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324" codeName="{899C9086-67A9-5B14-2C2D-5A8001700F7D}"/>
  <workbookPr codeName="ThisWorkbook" defaultThemeVersion="124226"/>
  <mc:AlternateContent xmlns:mc="http://schemas.openxmlformats.org/markup-compatibility/2006">
    <mc:Choice Requires="x15">
      <x15ac:absPath xmlns:x15ac="http://schemas.microsoft.com/office/spreadsheetml/2010/11/ac" url="C:\Users\helen\AppData\Local\Dynamita\Sumo24\Process code\Model base\Focus models\"/>
    </mc:Choice>
  </mc:AlternateContent>
  <xr:revisionPtr revIDLastSave="0" documentId="13_ncr:1_{A5F45C82-D71F-4A6F-B407-E5DCF173808A}" xr6:coauthVersionLast="47" xr6:coauthVersionMax="47" xr10:uidLastSave="{00000000-0000-0000-0000-000000000000}"/>
  <bookViews>
    <workbookView xWindow="0" yWindow="30" windowWidth="25140" windowHeight="15450" tabRatio="693" xr2:uid="{00000000-000D-0000-FFFF-FFFF00000000}"/>
  </bookViews>
  <sheets>
    <sheet name="Help" sheetId="29" r:id="rId1"/>
    <sheet name="Concepts" sheetId="36" r:id="rId2"/>
    <sheet name="Parameters" sheetId="9" r:id="rId3"/>
    <sheet name="PU parameters" sheetId="37" r:id="rId4"/>
    <sheet name="Model" sheetId="1" r:id="rId5"/>
    <sheet name="pH" sheetId="4" r:id="rId6"/>
    <sheet name="Species" sheetId="20" r:id="rId7"/>
    <sheet name="Tableau" sheetId="17" state="hidden" r:id="rId8"/>
    <sheet name="Components" sheetId="2" r:id="rId9"/>
    <sheet name="Algebraic model" sheetId="13" state="hidden" r:id="rId10"/>
    <sheet name="Expert knowledge" sheetId="14" state="hidden" r:id="rId11"/>
    <sheet name="Calculated variables" sheetId="5" r:id="rId12"/>
    <sheet name="Functions" sheetId="3" state="hidden" r:id="rId13"/>
    <sheet name="Code" sheetId="10" state="hidden" r:id="rId14"/>
    <sheet name="Alert" sheetId="15" state="veryHidden" r:id="rId15"/>
    <sheet name="Security" sheetId="16" state="veryHidden" r:id="rId16"/>
    <sheet name="systemcode_functions" sheetId="34" state="hidden" r:id="rId17"/>
    <sheet name="systemcode_constants" sheetId="35" state="hidden" r:id="rId18"/>
    <sheet name="other parameters" sheetId="27" state="hidden" r:id="rId19"/>
  </sheets>
  <functionGroups builtInGroupCount="19"/>
  <definedNames>
    <definedName name="µ_AHO">Parameters!$D$29</definedName>
    <definedName name="µ_AHO_T">'Calculated variables'!$E$507</definedName>
    <definedName name="µ_ALGAE">Parameters!$D$172</definedName>
    <definedName name="µ_ALGAE_T">'Calculated variables'!$E$528</definedName>
    <definedName name="µ_AMETO">Parameters!$D$149</definedName>
    <definedName name="µ_AMETO_T">'Calculated variables'!$E$524</definedName>
    <definedName name="µ_AMX">Parameters!$D$137</definedName>
    <definedName name="µ_AMX_T">'Calculated variables'!$E$522</definedName>
    <definedName name="µ_AOB">Parameters!$D$107</definedName>
    <definedName name="µ_AOB_T">'Calculated variables'!$E$518</definedName>
    <definedName name="µ_CASTO">Parameters!$D$57</definedName>
    <definedName name="µ_CASTO_T">'Calculated variables'!$E$509</definedName>
    <definedName name="µ_FERM_OHO">Parameters!$D$8</definedName>
    <definedName name="µ_FERM_OHO_T">'Calculated variables'!$E$503</definedName>
    <definedName name="µ_FERM_PAO">Parameters!$D$59</definedName>
    <definedName name="µ_FERM_PAO_T">'Calculated variables'!$E$511</definedName>
    <definedName name="µ_HMETO">Parameters!$D$162</definedName>
    <definedName name="µ_HMETO_T">'Calculated variables'!$E$526</definedName>
    <definedName name="µ_MEOLO">Parameters!$D$45</definedName>
    <definedName name="µ_MEOLO_T">'Calculated variables'!$E$505</definedName>
    <definedName name="µ_NOB">Parameters!$D$123</definedName>
    <definedName name="µ_NOB_T">'Calculated variables'!$E$520</definedName>
    <definedName name="µ_OHO">Parameters!$D$7</definedName>
    <definedName name="µ_OHO_T">'Calculated variables'!$E$502</definedName>
    <definedName name="µ_PAO_lim">Parameters!$D$60</definedName>
    <definedName name="µ_PAO_lim_T">'Calculated variables'!$E$510</definedName>
    <definedName name="A_AR">'Calculated variables'!$E$143</definedName>
    <definedName name="A_Davies">'Calculated variables'!$E$545</definedName>
    <definedName name="A_H2O">systemcode_constants!$D$37</definedName>
    <definedName name="A_MAc">systemcode_constants!$D$166</definedName>
    <definedName name="A_MAg">systemcode_constants!$D$124</definedName>
    <definedName name="A_MAl">systemcode_constants!$D$90</definedName>
    <definedName name="A_MAm">systemcode_constants!$D$172</definedName>
    <definedName name="A_MAr">systemcode_constants!$D$95</definedName>
    <definedName name="A_MAs">systemcode_constants!$D$110</definedName>
    <definedName name="A_MAt">systemcode_constants!$D$162</definedName>
    <definedName name="A_MAu">systemcode_constants!$D$156</definedName>
    <definedName name="A_MB">systemcode_constants!$D$82</definedName>
    <definedName name="A_MBa">systemcode_constants!$D$133</definedName>
    <definedName name="A_MBe">systemcode_constants!$D$81</definedName>
    <definedName name="A_MBh">systemcode_constants!$D$184</definedName>
    <definedName name="A_MBi">systemcode_constants!$D$160</definedName>
    <definedName name="A_MBk">systemcode_constants!$D$174</definedName>
    <definedName name="A_MBr">systemcode_constants!$D$112</definedName>
    <definedName name="A_MC">systemcode_constants!$D$83</definedName>
    <definedName name="A_MCa">systemcode_constants!$D$97</definedName>
    <definedName name="A_MCd">systemcode_constants!$D$125</definedName>
    <definedName name="A_MCe">systemcode_constants!$D$135</definedName>
    <definedName name="A_MCf">systemcode_constants!$D$175</definedName>
    <definedName name="A_MCl">systemcode_constants!$D$94</definedName>
    <definedName name="A_MCm">systemcode_constants!$D$173</definedName>
    <definedName name="A_MCn">systemcode_constants!$D$189</definedName>
    <definedName name="A_MCo">systemcode_constants!$D$104</definedName>
    <definedName name="A_MCr">systemcode_constants!$D$101</definedName>
    <definedName name="A_MCs">systemcode_constants!$D$132</definedName>
    <definedName name="A_MCu">systemcode_constants!$D$106</definedName>
    <definedName name="A_MDb">systemcode_constants!$D$182</definedName>
    <definedName name="A_MDs">systemcode_constants!$D$187</definedName>
    <definedName name="A_MDy">systemcode_constants!$D$143</definedName>
    <definedName name="A_MEr">systemcode_constants!$D$145</definedName>
    <definedName name="A_MEs">systemcode_constants!$D$176</definedName>
    <definedName name="A_MEu">systemcode_constants!$D$140</definedName>
    <definedName name="A_MF">systemcode_constants!$D$86</definedName>
    <definedName name="A_MFe">systemcode_constants!$D$103</definedName>
    <definedName name="A_MFl">systemcode_constants!$D$191</definedName>
    <definedName name="A_MFm">systemcode_constants!$D$177</definedName>
    <definedName name="A_MFr">systemcode_constants!$D$164</definedName>
    <definedName name="A_MGa">systemcode_constants!$D$108</definedName>
    <definedName name="A_MGd">systemcode_constants!$D$141</definedName>
    <definedName name="A_MGe">systemcode_constants!$D$109</definedName>
    <definedName name="A_MH">systemcode_constants!$D$78</definedName>
    <definedName name="A_MHe">systemcode_constants!$D$79</definedName>
    <definedName name="A_MHf">systemcode_constants!$D$149</definedName>
    <definedName name="A_MHg">systemcode_constants!$D$157</definedName>
    <definedName name="A_MHo">systemcode_constants!$D$144</definedName>
    <definedName name="A_MHs">systemcode_constants!$D$185</definedName>
    <definedName name="A_MI">systemcode_constants!$D$130</definedName>
    <definedName name="A_MIn">systemcode_constants!$D$126</definedName>
    <definedName name="A_MIr">systemcode_constants!$D$154</definedName>
    <definedName name="A_MK">systemcode_constants!$D$96</definedName>
    <definedName name="A_MKr">systemcode_constants!$D$113</definedName>
    <definedName name="A_MLa">systemcode_constants!$D$134</definedName>
    <definedName name="A_MLi">systemcode_constants!$D$80</definedName>
    <definedName name="A_MLr">systemcode_constants!$D$180</definedName>
    <definedName name="A_MLu">systemcode_constants!$D$148</definedName>
    <definedName name="A_MLv">systemcode_constants!$D$193</definedName>
    <definedName name="A_MMd">systemcode_constants!$D$178</definedName>
    <definedName name="A_MMg">systemcode_constants!$D$89</definedName>
    <definedName name="A_MMn">systemcode_constants!$D$102</definedName>
    <definedName name="A_MMo">systemcode_constants!$D$119</definedName>
    <definedName name="A_MMt">systemcode_constants!$D$186</definedName>
    <definedName name="A_MN">systemcode_constants!$D$84</definedName>
    <definedName name="A_MNa">systemcode_constants!$D$88</definedName>
    <definedName name="A_MNb">systemcode_constants!$D$118</definedName>
    <definedName name="A_MNd">systemcode_constants!$D$137</definedName>
    <definedName name="A_MNe">systemcode_constants!$D$87</definedName>
    <definedName name="A_MNi">systemcode_constants!$D$105</definedName>
    <definedName name="A_MNo">systemcode_constants!$D$179</definedName>
    <definedName name="A_MNp">systemcode_constants!$D$170</definedName>
    <definedName name="A_MO">systemcode_constants!$D$85</definedName>
    <definedName name="A_MOs">systemcode_constants!$D$153</definedName>
    <definedName name="A_MP">systemcode_constants!$D$92</definedName>
    <definedName name="A_MPa">systemcode_constants!$D$168</definedName>
    <definedName name="A_MPb">systemcode_constants!$D$159</definedName>
    <definedName name="A_MPd">systemcode_constants!$D$123</definedName>
    <definedName name="A_MPm">systemcode_constants!$D$138</definedName>
    <definedName name="A_MPo">systemcode_constants!$D$161</definedName>
    <definedName name="A_MPr">systemcode_constants!$D$136</definedName>
    <definedName name="A_MPt">systemcode_constants!$D$155</definedName>
    <definedName name="A_MPu">systemcode_constants!$D$171</definedName>
    <definedName name="A_MRa">systemcode_constants!$D$165</definedName>
    <definedName name="A_MRb">systemcode_constants!$D$114</definedName>
    <definedName name="A_MRe">systemcode_constants!$D$152</definedName>
    <definedName name="A_MRf">systemcode_constants!$D$181</definedName>
    <definedName name="A_MRg">systemcode_constants!$D$188</definedName>
    <definedName name="A_MRh">systemcode_constants!$D$122</definedName>
    <definedName name="A_MRn">systemcode_constants!$D$163</definedName>
    <definedName name="A_MRu">systemcode_constants!$D$121</definedName>
    <definedName name="A_MS">systemcode_constants!$D$93</definedName>
    <definedName name="A_MSb">systemcode_constants!$D$128</definedName>
    <definedName name="A_MSc">systemcode_constants!$D$98</definedName>
    <definedName name="A_MSe">systemcode_constants!$D$111</definedName>
    <definedName name="A_MSg">systemcode_constants!$D$183</definedName>
    <definedName name="A_MSi">systemcode_constants!$D$91</definedName>
    <definedName name="A_MSm">systemcode_constants!$D$139</definedName>
    <definedName name="A_MSn">systemcode_constants!$D$127</definedName>
    <definedName name="A_MSr">systemcode_constants!$D$115</definedName>
    <definedName name="A_MTa">systemcode_constants!$D$150</definedName>
    <definedName name="A_MTb">systemcode_constants!$D$142</definedName>
    <definedName name="A_MTc">systemcode_constants!$D$120</definedName>
    <definedName name="A_MTe">systemcode_constants!$D$129</definedName>
    <definedName name="A_MTh">systemcode_constants!$D$167</definedName>
    <definedName name="A_MTi">systemcode_constants!$D$99</definedName>
    <definedName name="A_MTl">systemcode_constants!$D$158</definedName>
    <definedName name="A_MTm">systemcode_constants!$D$146</definedName>
    <definedName name="A_MU">systemcode_constants!$D$169</definedName>
    <definedName name="A_MUuo">systemcode_constants!$D$195</definedName>
    <definedName name="A_MUup">systemcode_constants!$D$192</definedName>
    <definedName name="A_MUus">systemcode_constants!$D$194</definedName>
    <definedName name="A_MUut">systemcode_constants!$D$190</definedName>
    <definedName name="A_MV">systemcode_constants!$D$100</definedName>
    <definedName name="A_MW">systemcode_constants!$D$151</definedName>
    <definedName name="A_MXe">systemcode_constants!$D$131</definedName>
    <definedName name="A_MY">systemcode_constants!$D$116</definedName>
    <definedName name="A_MYb">systemcode_constants!$D$147</definedName>
    <definedName name="A_MZn">systemcode_constants!$D$107</definedName>
    <definedName name="A_MZr">systemcode_constants!$D$117</definedName>
    <definedName name="A_SFHAO_H">Parameters!$D$432</definedName>
    <definedName name="A_SFHAO_L">Parameters!$D$433</definedName>
    <definedName name="A_SFHFO_H">Parameters!$D$425</definedName>
    <definedName name="A_SFHFO_L">Parameters!$D$426</definedName>
    <definedName name="A_UR">'Calculated variables'!$E$135</definedName>
    <definedName name="actferm_PAO_ORP">'Calculated variables'!$E$79</definedName>
    <definedName name="actGAO">'Calculated variables'!$E$74</definedName>
    <definedName name="actPAO">'Calculated variables'!$E$73</definedName>
    <definedName name="actsto_GAO_ORP">'Calculated variables'!$E$77</definedName>
    <definedName name="actsto_PAO_ORP">'Calculated variables'!$E$78</definedName>
    <definedName name="b_AHO">Parameters!$D$41</definedName>
    <definedName name="b_AHO_T">'Calculated variables'!$E$508</definedName>
    <definedName name="b_ALGAE">Parameters!$D$173</definedName>
    <definedName name="b_ALGAE_T">'Calculated variables'!$E$529</definedName>
    <definedName name="b_AMETO">Parameters!$D$150</definedName>
    <definedName name="b_AMETO_T">'Calculated variables'!$E$525</definedName>
    <definedName name="b_AMX">Parameters!$D$138</definedName>
    <definedName name="b_AMX_T">'Calculated variables'!$E$523</definedName>
    <definedName name="b_AOB">Parameters!$D$108</definedName>
    <definedName name="b_AOB_T">'Calculated variables'!$E$519</definedName>
    <definedName name="b_CASTO">Parameters!$D$61</definedName>
    <definedName name="b_CASTO_T">'Calculated variables'!$E$517</definedName>
    <definedName name="B_ellinhpH">'Calculated variables'!$E$334</definedName>
    <definedName name="B_ellinhpH_AMETO">'Calculated variables'!$E$340</definedName>
    <definedName name="B_ellinhpH_AOB">'Calculated variables'!$E$336</definedName>
    <definedName name="B_ellinhpH_FLOC_HAO">'Calculated variables'!$E$346</definedName>
    <definedName name="B_ellinhpH_FLOC_HFO">'Calculated variables'!$E$344</definedName>
    <definedName name="B_ellinhpH_HMETO">'Calculated variables'!$E$342</definedName>
    <definedName name="B_ellinhpH_NOB">'Calculated variables'!$E$338</definedName>
    <definedName name="B_H2O">systemcode_constants!$D$38</definedName>
    <definedName name="b_HMETO">Parameters!$D$163</definedName>
    <definedName name="b_HMETO_T">'Calculated variables'!$E$527</definedName>
    <definedName name="b_MEOLO">Parameters!$D$46</definedName>
    <definedName name="b_MEOLO_T">'Calculated variables'!$E$506</definedName>
    <definedName name="b_NOB">Parameters!$D$124</definedName>
    <definedName name="b_NOB_T">'Calculated variables'!$E$521</definedName>
    <definedName name="b_OHO">Parameters!$D$9</definedName>
    <definedName name="b_OHO_T">'Calculated variables'!$E$504</definedName>
    <definedName name="b_PP_ana">Parameters!$D$63</definedName>
    <definedName name="b_PP_ana_T">'Calculated variables'!$E$516</definedName>
    <definedName name="b_STC">Parameters!$D$62</definedName>
    <definedName name="b_STC_T">'Calculated variables'!$E$515</definedName>
    <definedName name="C_B">Components!$E$8</definedName>
    <definedName name="c_cm_m">systemcode_constants!$D$389</definedName>
    <definedName name="c_cm2_m2">systemcode_constants!$D$390</definedName>
    <definedName name="c_cm3_m3">systemcode_constants!$D$391</definedName>
    <definedName name="c_d_mon">systemcode_constants!$D$375</definedName>
    <definedName name="c_d_w">systemcode_constants!$D$374</definedName>
    <definedName name="c_d_y">systemcode_constants!$D$376</definedName>
    <definedName name="c_ft_m">systemcode_constants!$D$397</definedName>
    <definedName name="c_ft2_m2">systemcode_constants!$D$396</definedName>
    <definedName name="c_ft3_m3">systemcode_constants!$D$395</definedName>
    <definedName name="c_g_kg">systemcode_constants!$D$378</definedName>
    <definedName name="c_G_m3">systemcode_constants!$D$393</definedName>
    <definedName name="c_g_ton">systemcode_constants!$D$379</definedName>
    <definedName name="c_h_d">systemcode_constants!$D$369</definedName>
    <definedName name="C_H2O">systemcode_constants!$D$39</definedName>
    <definedName name="c_hargebalance">pH!$Z$20</definedName>
    <definedName name="c_hargebalanceerror">'Calculated variables'!$E$642</definedName>
    <definedName name="c_kJ_MJ">systemcode_constants!$D$381</definedName>
    <definedName name="c_L_m3">systemcode_constants!$D$380</definedName>
    <definedName name="c_lbs_g">systemcode_constants!$D$394</definedName>
    <definedName name="c_mg_g">systemcode_constants!$D$377</definedName>
    <definedName name="c_MG_m3">systemcode_constants!$D$392</definedName>
    <definedName name="c_micron_m">systemcode_constants!$D$387</definedName>
    <definedName name="c_min_d">systemcode_constants!$D$367</definedName>
    <definedName name="c_min_h">systemcode_constants!$D$368</definedName>
    <definedName name="c_mm_m">systemcode_constants!$D$388</definedName>
    <definedName name="c_mmol_mol">systemcode_constants!$D$363</definedName>
    <definedName name="c_ms_d">systemcode_constants!$D$370</definedName>
    <definedName name="c_ms_h">systemcode_constants!$D$371</definedName>
    <definedName name="c_ms_min">systemcode_constants!$D$372</definedName>
    <definedName name="c_ms_s">systemcode_constants!$D$373</definedName>
    <definedName name="c_oeffdamp_ALPHA">Parameters!$D$451</definedName>
    <definedName name="c_oefflead_TSS_α_mech">Parameters!$D$456</definedName>
    <definedName name="c_oefflin_TSS_α_mech">Parameters!$D$457</definedName>
    <definedName name="c_onstTSS_α_mech">Parameters!$D$458</definedName>
    <definedName name="c_orrh_diff_α">'Calculated variables'!$E$750</definedName>
    <definedName name="c_orrTSS_α">'Calculated variables'!$E$751</definedName>
    <definedName name="C_OUR">'Calculated variables'!$E$131</definedName>
    <definedName name="c_p_water">systemcode_constants!$D$66</definedName>
    <definedName name="c_Pa_bar">systemcode_constants!$D$385</definedName>
    <definedName name="c_Pa_Hgmm">systemcode_constants!$D$384</definedName>
    <definedName name="c_Pa_mbar">systemcode_constants!$D$386</definedName>
    <definedName name="c_Pa_MPa">systemcode_constants!$D$383</definedName>
    <definedName name="c_percent_fraction">systemcode_constants!$D$362</definedName>
    <definedName name="c_percent_Vconc">systemcode_constants!$D$361</definedName>
    <definedName name="c_ppm_Vconc">systemcode_constants!$D$360</definedName>
    <definedName name="c_s_d">systemcode_constants!$D$364</definedName>
    <definedName name="c_s_h">systemcode_constants!$D$365</definedName>
    <definedName name="c_s_min">systemcode_constants!$D$366</definedName>
    <definedName name="C_U">Components!$E$12</definedName>
    <definedName name="c_W_kW">systemcode_constants!$D$382</definedName>
    <definedName name="conc_Acm_I">Species!$D$19</definedName>
    <definedName name="conc_Acm_Ieq">'Calculated variables'!$E$594</definedName>
    <definedName name="conc_ANm_I">Species!$D$24</definedName>
    <definedName name="conc_Ca2p_I">Species!$D$20</definedName>
    <definedName name="conc_CATp_I">Species!$D$22</definedName>
    <definedName name="conc_CO32m_I">Species!$D$13</definedName>
    <definedName name="conc_Fe2p_I">Species!$D$25</definedName>
    <definedName name="conc_H2CO3_I">Species!$D$11</definedName>
    <definedName name="conc_H2PO4m_I">Species!$D$15</definedName>
    <definedName name="conc_H2PO4m_Ieq">'Calculated variables'!$E$593</definedName>
    <definedName name="conc_H3PO4_I">Species!$D$14</definedName>
    <definedName name="conc_HAc_I">Species!$D$18</definedName>
    <definedName name="conc_HCO3m_I">Species!$D$12</definedName>
    <definedName name="conc_HNO2_I">Species!$D$8</definedName>
    <definedName name="conc_Hp_I">Species!$D$4</definedName>
    <definedName name="conc_Hp_Ieq">systemcode_constants!$D$352</definedName>
    <definedName name="conc_HPO42m_I">Species!$D$16</definedName>
    <definedName name="conc_HPO42m_Ieq">'Calculated variables'!$E$592</definedName>
    <definedName name="conc_Kp_I">Species!$D$23</definedName>
    <definedName name="conc_Mg2p_I">Species!$D$21</definedName>
    <definedName name="conc_NH3_I">Species!$D$6</definedName>
    <definedName name="conc_NH4p_I">Species!$D$7</definedName>
    <definedName name="conc_NO2m_I">Species!$D$9</definedName>
    <definedName name="conc_NO2m_Ieq">'Calculated variables'!$E$595</definedName>
    <definedName name="conc_NO3m_I">Species!$D$10</definedName>
    <definedName name="conc_OHm_I">Species!$D$5</definedName>
    <definedName name="conc_PO43m_I">Species!$D$17</definedName>
    <definedName name="d_ampALPHA">'Calculated variables'!$E$749</definedName>
    <definedName name="D_CB">systemcode_constants!$D$479</definedName>
    <definedName name="D_CU">systemcode_constants!$D$480</definedName>
    <definedName name="D_GCH4_25">systemcode_constants!$D$30</definedName>
    <definedName name="D_GCO2_25">systemcode_constants!$D$28</definedName>
    <definedName name="D_GH2_25">systemcode_constants!$D$29</definedName>
    <definedName name="D_GH2S_25">systemcode_constants!$D$33</definedName>
    <definedName name="D_GN2_25">systemcode_constants!$D$26</definedName>
    <definedName name="D_GN2O_25">systemcode_constants!$D$32</definedName>
    <definedName name="D_GNH3_25">systemcode_constants!$D$27</definedName>
    <definedName name="D_GNO_25">systemcode_constants!$D$31</definedName>
    <definedName name="D_GO2_25">systemcode_constants!$D$25</definedName>
    <definedName name="d_HCaCO3">systemcode_constants!$D$451</definedName>
    <definedName name="d_HCaH2PO4p">systemcode_constants!$D$455</definedName>
    <definedName name="d_HCaHCO3p">systemcode_constants!$D$452</definedName>
    <definedName name="d_HCaHPO4">systemcode_constants!$D$454</definedName>
    <definedName name="d_HCaOHp">systemcode_constants!$D$450</definedName>
    <definedName name="d_HCaPO4m">systemcode_constants!$D$453</definedName>
    <definedName name="d_Hdiss_But">systemcode_constants!$D$444</definedName>
    <definedName name="d_Hdiss_CO2_1">systemcode_constants!$D$437</definedName>
    <definedName name="d_Hdiss_CO2_2">systemcode_constants!$D$438</definedName>
    <definedName name="d_Hdiss_H2O">systemcode_constants!$D$434</definedName>
    <definedName name="d_Hdiss_NO2">systemcode_constants!$D$436</definedName>
    <definedName name="d_Hdiss_PO4_1">systemcode_constants!$D$439</definedName>
    <definedName name="d_Hdiss_PO4_2">systemcode_constants!$D$440</definedName>
    <definedName name="d_Hdiss_PO4_3">systemcode_constants!$D$441</definedName>
    <definedName name="d_Hdiss_Prop">systemcode_constants!$D$443</definedName>
    <definedName name="d_Hdiss_S_1">systemcode_constants!$D$446</definedName>
    <definedName name="d_Hdiss_S_2">systemcode_constants!$D$447</definedName>
    <definedName name="d_Hdiss_SO4_1">systemcode_constants!$D$448</definedName>
    <definedName name="d_Hdiss_SO4_2">systemcode_constants!$D$449</definedName>
    <definedName name="d_Hdiss_Val">systemcode_constants!$D$445</definedName>
    <definedName name="d_Hdiss_VFA">systemcode_constants!$D$442</definedName>
    <definedName name="d_Hion_amm">systemcode_constants!$D$435</definedName>
    <definedName name="d_HMgCO3">systemcode_constants!$D$457</definedName>
    <definedName name="d_HMgH2PO4p">systemcode_constants!$D$461</definedName>
    <definedName name="d_HMgHCO3p">systemcode_constants!$D$458</definedName>
    <definedName name="d_HMgHPO4">systemcode_constants!$D$459</definedName>
    <definedName name="d_HMgOHp">systemcode_constants!$D$456</definedName>
    <definedName name="d_HMgPO4m">systemcode_constants!$D$460</definedName>
    <definedName name="d_HNaHPO4m">systemcode_constants!$D$462</definedName>
    <definedName name="D_NBS">systemcode_constants!$D$489</definedName>
    <definedName name="D_NH3">systemcode_constants!$D$484</definedName>
    <definedName name="D_NO3">systemcode_constants!$D$485</definedName>
    <definedName name="D_NUS">systemcode_constants!$D$488</definedName>
    <definedName name="D_PO4">systemcode_constants!$D$486</definedName>
    <definedName name="D_SA">systemcode_constants!$D$467</definedName>
    <definedName name="D_SALK">systemcode_constants!$D$515</definedName>
    <definedName name="D_SALPHA">systemcode_constants!$D$473</definedName>
    <definedName name="D_SAN">systemcode_constants!$D$511</definedName>
    <definedName name="D_SB">systemcode_constants!$D$469</definedName>
    <definedName name="D_SB_mono">systemcode_constants!$D$470</definedName>
    <definedName name="D_SB_poly">systemcode_constants!$D$471</definedName>
    <definedName name="D_SBSA">systemcode_constants!$D$468</definedName>
    <definedName name="D_SBSC">systemcode_constants!$D$475</definedName>
    <definedName name="D_SCa">systemcode_constants!$D$508</definedName>
    <definedName name="D_SCAT">systemcode_constants!$D$510</definedName>
    <definedName name="D_SCH4">systemcode_constants!$D$504</definedName>
    <definedName name="D_SCO2">systemcode_constants!$D$506</definedName>
    <definedName name="D_SF">systemcode_constants!$D$474</definedName>
    <definedName name="D_SFe2">systemcode_constants!$D$514</definedName>
    <definedName name="D_SH2">systemcode_constants!$D$505</definedName>
    <definedName name="D_SH2S">systemcode_constants!$D$512</definedName>
    <definedName name="D_SHCO">systemcode_constants!$D$516</definedName>
    <definedName name="D_SI">systemcode_constants!$D$478</definedName>
    <definedName name="D_SK">systemcode_constants!$D$507</definedName>
    <definedName name="D_SMEOL">systemcode_constants!$D$476</definedName>
    <definedName name="D_SMg">systemcode_constants!$D$509</definedName>
    <definedName name="D_SMM_index">systemcode_constants!$D$517</definedName>
    <definedName name="D_SN_B">systemcode_constants!$D$497</definedName>
    <definedName name="D_SN2">systemcode_constants!$D$487</definedName>
    <definedName name="D_SN2O">systemcode_constants!$D$496</definedName>
    <definedName name="D_SND">systemcode_constants!$D$498</definedName>
    <definedName name="D_SNH">systemcode_constants!$D$483</definedName>
    <definedName name="D_SNH2OH">systemcode_constants!$D$492</definedName>
    <definedName name="D_SNH4">systemcode_constants!$D$482</definedName>
    <definedName name="D_SNHx">systemcode_constants!$D$481</definedName>
    <definedName name="D_SNO">systemcode_constants!$D$495</definedName>
    <definedName name="D_SNO2">systemcode_constants!$D$494</definedName>
    <definedName name="D_SNO3">systemcode_constants!$D$493</definedName>
    <definedName name="D_SNOx">systemcode_constants!$D$491</definedName>
    <definedName name="D_SO">systemcode_constants!$D$503</definedName>
    <definedName name="D_SO2">systemcode_constants!$D$502</definedName>
    <definedName name="D_SP_B">systemcode_constants!$D$501</definedName>
    <definedName name="D_SPO">systemcode_constants!$D$500</definedName>
    <definedName name="D_SPO4">systemcode_constants!$D$499</definedName>
    <definedName name="D_SS">systemcode_constants!$D$472</definedName>
    <definedName name="D_SSO4">systemcode_constants!$D$513</definedName>
    <definedName name="D_SU">systemcode_constants!$D$477</definedName>
    <definedName name="D_SUS">systemcode_constants!$D$490</definedName>
    <definedName name="D_SVFA">systemcode_constants!$D$466</definedName>
    <definedName name="E_EQFe2">systemcode_constants!$D$337</definedName>
    <definedName name="E_EQH2S">systemcode_constants!$D$339</definedName>
    <definedName name="E_EQN2">systemcode_constants!$D$324</definedName>
    <definedName name="E_EQN2_N2O">systemcode_constants!$D$335</definedName>
    <definedName name="E_EQN2_NO2">systemcode_constants!$D$332</definedName>
    <definedName name="E_EQN2_NO3">systemcode_constants!$D$336</definedName>
    <definedName name="E_EQN2O">systemcode_constants!$D$325</definedName>
    <definedName name="E_EQN2O_NO">systemcode_constants!$D$334</definedName>
    <definedName name="E_EQNH2OH">systemcode_constants!$D$329</definedName>
    <definedName name="E_EQNH2OH_NO">systemcode_constants!$D$330</definedName>
    <definedName name="E_EQNO">systemcode_constants!$D$326</definedName>
    <definedName name="E_EQNO_NO2">systemcode_constants!$D$333</definedName>
    <definedName name="E_EQNO2">systemcode_constants!$D$327</definedName>
    <definedName name="E_EQNO2_NO3">systemcode_constants!$D$331</definedName>
    <definedName name="E_EQNO3">systemcode_constants!$D$328</definedName>
    <definedName name="E_EQS">systemcode_constants!$D$338</definedName>
    <definedName name="e_rrorNHx_NOx">'Calculated variables'!$E$54</definedName>
    <definedName name="F__">systemcode_constants!$D$64</definedName>
    <definedName name="f_Ar_air">systemcode_constants!$D$48</definedName>
    <definedName name="f_bw_floc">'Calculated variables'!$E$58</definedName>
    <definedName name="f_C">Parameters!$D$367</definedName>
    <definedName name="f_C_BOD5_BODult">Parameters!$D$420</definedName>
    <definedName name="f_CO2_air">systemcode_constants!$D$49</definedName>
    <definedName name="f_di">'Calculated variables'!$E$555</definedName>
    <definedName name="f_di_IS_an">systemcode_constants!$D$346</definedName>
    <definedName name="f_di_IS_cat">systemcode_constants!$D$345</definedName>
    <definedName name="f_di_ISlim">'Calculated variables'!$E$552</definedName>
    <definedName name="f_E">Parameters!$D$366</definedName>
    <definedName name="f_EPS_VSS">'Calculated variables'!$E$66</definedName>
    <definedName name="f_H2O_HAO_TSS">Parameters!$D$434</definedName>
    <definedName name="f_H2O_HAO_VSS">Parameters!$D$435</definedName>
    <definedName name="f_H2O_HFO_TSS">Parameters!$D$427</definedName>
    <definedName name="f_H2O_HFO_VSS">Parameters!$D$428</definedName>
    <definedName name="f_kL_GCH4">Parameters!$D$444</definedName>
    <definedName name="f_kL_GCO2">Parameters!$D$443</definedName>
    <definedName name="f_kL_GH2">Parameters!$D$445</definedName>
    <definedName name="f_kL_GN2">Parameters!$D$442</definedName>
    <definedName name="f_kL_GNH3">Parameters!$D$446</definedName>
    <definedName name="f_KS">'other parameters'!$D$4</definedName>
    <definedName name="f_KS_biofilm">Parameters!$D$289</definedName>
    <definedName name="f_mono">'Calculated variables'!$E$554</definedName>
    <definedName name="f_mono_IS_an">systemcode_constants!$D$344</definedName>
    <definedName name="f_mono_IS_cat">systemcode_constants!$D$343</definedName>
    <definedName name="f_mono_ISlim">'Calculated variables'!$E$551</definedName>
    <definedName name="f_N2_air">systemcode_constants!$D$47</definedName>
    <definedName name="f_Na">Parameters!$D$409</definedName>
    <definedName name="f_O2_air">systemcode_constants!$D$46</definedName>
    <definedName name="f_O2_max_ALPHA">Parameters!$D$450</definedName>
    <definedName name="f_P_VFA">Parameters!$D$353</definedName>
    <definedName name="f_S_BOD5_BODult">Parameters!$D$419</definedName>
    <definedName name="f_TOC_1">Parameters!$D$489</definedName>
    <definedName name="f_TOC_2">Parameters!$D$490</definedName>
    <definedName name="f_tri">'Calculated variables'!$E$556</definedName>
    <definedName name="f_tri_IS_an">systemcode_constants!$D$348</definedName>
    <definedName name="f_tri_IS_cat">systemcode_constants!$D$347</definedName>
    <definedName name="f_tri_ISlim">'Calculated variables'!$E$553</definedName>
    <definedName name="f_VFA_DM">Parameters!$D$414</definedName>
    <definedName name="f_X_BOD5_BODult">Parameters!$D$421</definedName>
    <definedName name="G_CH4">Components!$E$81</definedName>
    <definedName name="G_CH4_atm">Components!$E$87</definedName>
    <definedName name="G_CO2">Components!$E$80</definedName>
    <definedName name="G_CO2_atm">Components!$E$86</definedName>
    <definedName name="g_grav">systemcode_constants!$D$65</definedName>
    <definedName name="G_H2">Components!$E$82</definedName>
    <definedName name="G_H2_atm">Components!$E$88</definedName>
    <definedName name="G_N2">Components!$E$85</definedName>
    <definedName name="G_N2_atm">Components!$E$91</definedName>
    <definedName name="G_NH3">Components!$E$84</definedName>
    <definedName name="G_NH3_atm">Components!$E$90</definedName>
    <definedName name="G_O2">Components!$E$83</definedName>
    <definedName name="G_O2_atm">Components!$E$89</definedName>
    <definedName name="H_Acm">systemcode_constants!$D$417</definedName>
    <definedName name="H_Ca2p">systemcode_constants!$D$424</definedName>
    <definedName name="H_CO32m">systemcode_constants!$D$411</definedName>
    <definedName name="h_diff">'other parameters'!$D$8</definedName>
    <definedName name="H_enryGCH4_25">systemcode_constants!$D$16</definedName>
    <definedName name="H_enryGCH4_dt">systemcode_constants!$D$17</definedName>
    <definedName name="H_enryGCO2_25">systemcode_constants!$D$6</definedName>
    <definedName name="H_enryGCO2_dt">systemcode_constants!$D$7</definedName>
    <definedName name="H_enryGH2_25">systemcode_constants!$D$14</definedName>
    <definedName name="H_enryGH2_dt">systemcode_constants!$D$15</definedName>
    <definedName name="H_enryGH2S_25">systemcode_constants!$D$20</definedName>
    <definedName name="H_enryGH2S_dt">systemcode_constants!$D$21</definedName>
    <definedName name="H_enryGN2_25">systemcode_constants!$D$12</definedName>
    <definedName name="H_enryGN2_dt">systemcode_constants!$D$13</definedName>
    <definedName name="H_enryGN2O_25">systemcode_constants!$D$10</definedName>
    <definedName name="H_enryGN2O_dt">systemcode_constants!$D$11</definedName>
    <definedName name="H_enryGNH3_25">systemcode_constants!$D$18</definedName>
    <definedName name="H_enryGNH3_dt">systemcode_constants!$D$19</definedName>
    <definedName name="H_enryGNO_25">systemcode_constants!$D$8</definedName>
    <definedName name="H_enryGNO_dt">systemcode_constants!$D$9</definedName>
    <definedName name="H_enryGO2_25">systemcode_constants!$D$4</definedName>
    <definedName name="H_enryGO2_dt">systemcode_constants!$D$5</definedName>
    <definedName name="H_H2CO3">systemcode_constants!$D$409</definedName>
    <definedName name="H_H2O">systemcode_constants!$D$430</definedName>
    <definedName name="H_H2PO4m">systemcode_constants!$D$413</definedName>
    <definedName name="H_H2S">systemcode_constants!$D$418</definedName>
    <definedName name="H_H2SO4">systemcode_constants!$D$421</definedName>
    <definedName name="H_H3Op">systemcode_constants!$D$402</definedName>
    <definedName name="H_H3PO4">systemcode_constants!$D$412</definedName>
    <definedName name="H_HAc">systemcode_constants!$D$416</definedName>
    <definedName name="H_HCO3m">systemcode_constants!$D$410</definedName>
    <definedName name="H_HNO2">systemcode_constants!$D$406</definedName>
    <definedName name="H_Hp">systemcode_constants!$D$401</definedName>
    <definedName name="H_HPO42m">systemcode_constants!$D$414</definedName>
    <definedName name="H_HSm">systemcode_constants!$D$419</definedName>
    <definedName name="H_HSO4m">systemcode_constants!$D$422</definedName>
    <definedName name="H_Mg2p">systemcode_constants!$D$425</definedName>
    <definedName name="H_Nap">systemcode_constants!$D$426</definedName>
    <definedName name="H_NH3">systemcode_constants!$D$404</definedName>
    <definedName name="H_NH4p">systemcode_constants!$D$405</definedName>
    <definedName name="H_NO2m">systemcode_constants!$D$407</definedName>
    <definedName name="H_NO3m">systemcode_constants!$D$408</definedName>
    <definedName name="H_OHm">systemcode_constants!$D$403</definedName>
    <definedName name="H_PO43m">systemcode_constants!$D$415</definedName>
    <definedName name="H_S2m">systemcode_constants!$D$420</definedName>
    <definedName name="H_satSVFA_AMETO">'Calculated variables'!$E$456</definedName>
    <definedName name="H_SO42m">systemcode_constants!$D$423</definedName>
    <definedName name="H_STP">systemcode_constants!$D$70</definedName>
    <definedName name="i_Ca_INORG">Parameters!$D$410</definedName>
    <definedName name="i_Ca_PP">Parameters!$D$406</definedName>
    <definedName name="i_CIT_ALGAE">Parameters!$D$397</definedName>
    <definedName name="i_CIT_BIO">Parameters!$D$396</definedName>
    <definedName name="i_CIT_CH4">Parameters!$D$402</definedName>
    <definedName name="i_CIT_MEOL">Parameters!$D$401</definedName>
    <definedName name="i_CIT_PHA">Parameters!$D$404</definedName>
    <definedName name="i_CIT_SB_mono">Parameters!$D$399</definedName>
    <definedName name="i_CIT_SB_poly">Parameters!$D$398</definedName>
    <definedName name="i_CIT_STC">'Calculated variables'!$E$82</definedName>
    <definedName name="i_CIT_VFA">Parameters!$D$403</definedName>
    <definedName name="i_CIT_XBe">Parameters!$D$400</definedName>
    <definedName name="i_CV_BIO">Parameters!$D$388</definedName>
    <definedName name="i_CV_CB">Parameters!$D$393</definedName>
    <definedName name="i_CV_CU">Parameters!$D$394</definedName>
    <definedName name="i_CV_PHA">Parameters!$D$395</definedName>
    <definedName name="i_CV_SB">Parameters!$D$391</definedName>
    <definedName name="i_CV_SU">Parameters!$D$392</definedName>
    <definedName name="i_CV_VFA">Parameters!$D$390</definedName>
    <definedName name="i_CV_XB">Parameters!$D$386</definedName>
    <definedName name="i_CV_XBe">'Calculated variables'!$E$59</definedName>
    <definedName name="i_CV_XE">Parameters!$D$389</definedName>
    <definedName name="i_CV_XU">Parameters!$D$387</definedName>
    <definedName name="i_EPS_XBIO">Parameters!$D$412</definedName>
    <definedName name="i_EPS_XE">Parameters!$D$413</definedName>
    <definedName name="i_INORG">Parameters!$D$405</definedName>
    <definedName name="i_iw_BIO">Parameters!$D$494</definedName>
    <definedName name="i_K_PP">Parameters!$D$408</definedName>
    <definedName name="i_Mg_INORG">Parameters!$D$411</definedName>
    <definedName name="i_Mg_PP">Parameters!$D$407</definedName>
    <definedName name="i_N_AHO">Parameters!$D$369</definedName>
    <definedName name="i_N_ALGAE">Parameters!$D$370</definedName>
    <definedName name="i_N_BIO">Parameters!$D$368</definedName>
    <definedName name="i_N_CB">Parameters!$D$372</definedName>
    <definedName name="i_N_CU">Parameters!$D$373</definedName>
    <definedName name="i_N_SU">Parameters!$D$374</definedName>
    <definedName name="i_N_XE">Parameters!$D$371</definedName>
    <definedName name="i_N_XSTR">Parameters!$D$375</definedName>
    <definedName name="i_P_AHO">Parameters!$D$377</definedName>
    <definedName name="i_P_ALGAE">Parameters!$D$378</definedName>
    <definedName name="i_P_BIO">Parameters!$D$376</definedName>
    <definedName name="i_P_CB">Parameters!$D$379</definedName>
    <definedName name="i_P_CU">Parameters!$D$380</definedName>
    <definedName name="i_P_SU">Parameters!$D$381</definedName>
    <definedName name="i_P_XACP">Parameters!$D$383</definedName>
    <definedName name="i_P_XBSH">Parameters!$D$384</definedName>
    <definedName name="i_P_XSTR">Parameters!$D$382</definedName>
    <definedName name="i_P_XVivi">Parameters!$D$385</definedName>
    <definedName name="I_S">'Calculated variables'!$E$600</definedName>
    <definedName name="I_Scalc">pH!$Z$21</definedName>
    <definedName name="I_Serror">'Calculated variables'!$E$643</definedName>
    <definedName name="I_Sinput_AS">Parameters!$D$481</definedName>
    <definedName name="I_Sinput_DIG">Parameters!$D$482</definedName>
    <definedName name="I_Sinput_sidestream">Parameters!$D$483</definedName>
    <definedName name="I_Slim">Parameters!$D$484</definedName>
    <definedName name="i_TSS_PP">Parameters!$D$354</definedName>
    <definedName name="i_vw_BIO">Parameters!$D$501</definedName>
    <definedName name="i_vw_CB">Parameters!$D$503</definedName>
    <definedName name="i_vw_CU">Parameters!$D$504</definedName>
    <definedName name="i_vw_EPS">Parameters!$D$506</definedName>
    <definedName name="i_vw_PHA">Parameters!$D$505</definedName>
    <definedName name="i_vw_XB">Parameters!$D$498</definedName>
    <definedName name="i_vw_XBe">Parameters!$D$499</definedName>
    <definedName name="i_vw_XE">Parameters!$D$502</definedName>
    <definedName name="i_vw_XU">Parameters!$D$500</definedName>
    <definedName name="i_wh_BIO">Parameters!$D$513</definedName>
    <definedName name="i_wh_EPS">Parameters!$D$516</definedName>
    <definedName name="i_wh_PHA">Parameters!$D$515</definedName>
    <definedName name="i_wh_XB">Parameters!$D$510</definedName>
    <definedName name="i_wh_XBe">Parameters!$D$511</definedName>
    <definedName name="i_wh_XE">Parameters!$D$514</definedName>
    <definedName name="i_wh_XU">Parameters!$D$512</definedName>
    <definedName name="J_photosynt_solar">'other parameters'!$D$79</definedName>
    <definedName name="J_photosynt_solar_opt">'other parameters'!$D$80</definedName>
    <definedName name="K_Ac">'Calculated variables'!$E$578</definedName>
    <definedName name="K_Ac_param">systemcode_constants!$D$301</definedName>
    <definedName name="K_Ac_T">'Calculated variables'!$E$566</definedName>
    <definedName name="K_ACP_DISS">Parameters!$D$193</definedName>
    <definedName name="K_AN">'Calculated variables'!$E$292</definedName>
    <definedName name="K_AN_AS">Parameters!$D$236</definedName>
    <definedName name="K_BSH_DISS">Parameters!$D$194</definedName>
    <definedName name="K_But_param">systemcode_constants!$D$303</definedName>
    <definedName name="K_C1">'Calculated variables'!$E$573</definedName>
    <definedName name="K_C1_param">systemcode_constants!$D$296</definedName>
    <definedName name="K_C1_T">'Calculated variables'!$E$561</definedName>
    <definedName name="K_C2">'Calculated variables'!$E$574</definedName>
    <definedName name="K_C2_param">systemcode_constants!$D$297</definedName>
    <definedName name="K_C2_T">'Calculated variables'!$E$562</definedName>
    <definedName name="K_Ca_BIO">'Calculated variables'!$E$296</definedName>
    <definedName name="K_Ca_BIO_AS">Parameters!$D$238</definedName>
    <definedName name="K_Ca_PAO">'Calculated variables'!$E$255</definedName>
    <definedName name="K_Ca_PAO_AS">Parameters!$D$90</definedName>
    <definedName name="K_CaCO3_DISS">Parameters!$D$195</definedName>
    <definedName name="K_CAT">'Calculated variables'!$E$290</definedName>
    <definedName name="K_CAT_AS">Parameters!$D$235</definedName>
    <definedName name="K_CB_FLOC">Parameters!$D$264</definedName>
    <definedName name="K_CB_FLOC_HAO">Parameters!$D$268</definedName>
    <definedName name="K_CB_FLOC_HFO">Parameters!$D$266</definedName>
    <definedName name="K_CO2_ALGAE">Parameters!$D$174</definedName>
    <definedName name="K_CO2_AMX_pH">'Calculated variables'!$E$183</definedName>
    <definedName name="K_CO2_AMX_pH_AS">Parameters!$D$141</definedName>
    <definedName name="K_CO2_AOB_pH">'Calculated variables'!$E$154</definedName>
    <definedName name="K_CO2_AOB_pH_AS">Parameters!$D$110</definedName>
    <definedName name="K_CO2_AOB_pH_sidestream">Parameters!$D$112</definedName>
    <definedName name="K_CO2_BIO">'Calculated variables'!$E$288</definedName>
    <definedName name="K_CO2_BIO_AS">Parameters!$D$234</definedName>
    <definedName name="K_CO2_NOB_pH">'Calculated variables'!$E$168</definedName>
    <definedName name="K_CO2_NOB_pH_AS">Parameters!$D$126</definedName>
    <definedName name="K_CU_FLOC">Parameters!$D$265</definedName>
    <definedName name="K_CU_FLOC_HAO">Parameters!$D$269</definedName>
    <definedName name="K_CU_FLOC_HFO">Parameters!$D$267</definedName>
    <definedName name="K_H2_HMETO">'Calculated variables'!$E$275</definedName>
    <definedName name="K_H2_HMETO_AS">Parameters!$D$164</definedName>
    <definedName name="K_H2S_param">systemcode_constants!$D$309</definedName>
    <definedName name="K_HYD">'Calculated variables'!$E$298</definedName>
    <definedName name="K_HYD_AS">Parameters!$D$261</definedName>
    <definedName name="K_iHNO2_AMX_pH">'Calculated variables'!$E$188</definedName>
    <definedName name="K_iHNO2_AMX_pH_AS">Parameters!$D$145</definedName>
    <definedName name="K_iHNO2_AOB_pH">'Calculated variables'!$E$161</definedName>
    <definedName name="K_iHNO2_AOB_pH_AS">Parameters!$D$117</definedName>
    <definedName name="K_iNH3_AMETO_pH">'Calculated variables'!$E$266</definedName>
    <definedName name="K_iNH3_AMETO_pH_AS">Parameters!$D$153</definedName>
    <definedName name="K_iNH3_NOB_pH">'Calculated variables'!$E$174</definedName>
    <definedName name="K_iNH3_NOB_pH_AS">Parameters!$D$131</definedName>
    <definedName name="K_iNHx_ALGAE">Parameters!$D$178</definedName>
    <definedName name="K_iNHx_ASSIM">'Calculated variables'!$E$300</definedName>
    <definedName name="K_iNHx_ASSIM_AS">Parameters!$D$279</definedName>
    <definedName name="K_iO2_AHO">'Calculated variables'!$E$219</definedName>
    <definedName name="K_iO2_AHO_AS">Parameters!$D$35</definedName>
    <definedName name="K_iO2_AMETO">'Calculated variables'!$E$268</definedName>
    <definedName name="K_iO2_AMETO_AS">Parameters!$D$155</definedName>
    <definedName name="K_iO2_AMX">'Calculated variables'!$E$184</definedName>
    <definedName name="K_iO2_AMX_AS">Parameters!$D$143</definedName>
    <definedName name="K_iO2_EPS">Parameters!$D$472</definedName>
    <definedName name="K_iO2_HMETO">'Calculated variables'!$E$277</definedName>
    <definedName name="K_iO2_HMETO_AS">Parameters!$D$165</definedName>
    <definedName name="K_iO2_MEOLO">'Calculated variables'!$E$230</definedName>
    <definedName name="K_iO2_MEOLO_AS">Parameters!$D$49</definedName>
    <definedName name="K_iP_HAO_DESORP">Parameters!$D$228</definedName>
    <definedName name="K_iP_HAO_DISS">Parameters!$D$226</definedName>
    <definedName name="K_iP_HFO_DESORP">Parameters!$D$213</definedName>
    <definedName name="K_iP_HFO_DISS">Parameters!$D$211</definedName>
    <definedName name="K_iPHA_GAO_max">Parameters!$D$97</definedName>
    <definedName name="K_iPHA_PAO_max">Parameters!$D$86</definedName>
    <definedName name="K_iPO4_lim">'Calculated variables'!$E$257</definedName>
    <definedName name="K_iPO4_lim_AS">Parameters!$D$92</definedName>
    <definedName name="K_iPP_PAO_max">Parameters!$D$83</definedName>
    <definedName name="K_iSTO_AHO_max">Parameters!$D$33</definedName>
    <definedName name="K_iVFA_AMETO">'Calculated variables'!$E$264</definedName>
    <definedName name="K_iVFA_AMETO_AS">Parameters!$D$152</definedName>
    <definedName name="K_K_PAO">'Calculated variables'!$E$253</definedName>
    <definedName name="K_K_PAO_AS">Parameters!$D$89</definedName>
    <definedName name="k_L_GCH4_bub">'Calculated variables'!$E$737</definedName>
    <definedName name="k_L_GCH4_sur">'Calculated variables'!$E$742</definedName>
    <definedName name="k_L_GCO2_bub">'Calculated variables'!$E$736</definedName>
    <definedName name="k_L_GCO2_sur">'Calculated variables'!$E$741</definedName>
    <definedName name="k_L_GH2_bub">'Calculated variables'!$E$738</definedName>
    <definedName name="k_L_GH2_sur">'Calculated variables'!$E$743</definedName>
    <definedName name="k_L_GN2_bub">'Calculated variables'!$E$735</definedName>
    <definedName name="k_L_GN2_sur">'Calculated variables'!$E$740</definedName>
    <definedName name="k_L_GNH3_bub">'Calculated variables'!$E$739</definedName>
    <definedName name="k_L_GNH3_sur">'Calculated variables'!$E$744</definedName>
    <definedName name="k_L_GO2_bub">Parameters!$D$439</definedName>
    <definedName name="k_L_GO2_PondSurface">Parameters!$D$441</definedName>
    <definedName name="k_L_GO2_sur">Parameters!$D$440</definedName>
    <definedName name="k_LaGCH4_bub">'other parameters'!$D$12</definedName>
    <definedName name="k_LaGCH4_sur">'other parameters'!$D$29</definedName>
    <definedName name="k_LaGCO2_bub">'other parameters'!$D$11</definedName>
    <definedName name="k_LaGCO2_sur">'other parameters'!$D$28</definedName>
    <definedName name="k_LaGH2_bub">'other parameters'!$D$13</definedName>
    <definedName name="k_LaGH2_sur">'other parameters'!$D$30</definedName>
    <definedName name="k_LaGH2S_bub">'other parameters'!$D$9</definedName>
    <definedName name="k_LaGH2S_sur">'other parameters'!$D$26</definedName>
    <definedName name="k_LaGN2_bub">'other parameters'!$D$15</definedName>
    <definedName name="k_LaGN2_sur">'other parameters'!$D$32</definedName>
    <definedName name="k_LaGNH3_bub">'other parameters'!$D$14</definedName>
    <definedName name="k_LaGNH3_sur">'other parameters'!$D$31</definedName>
    <definedName name="k_LaGO2_bub">'other parameters'!$D$10</definedName>
    <definedName name="k_LaGO2_sur">'other parameters'!$D$27</definedName>
    <definedName name="K_MEOL">'Calculated variables'!$E$228</definedName>
    <definedName name="K_MEOL_AS">Parameters!$D$48</definedName>
    <definedName name="K_MEOL_OHO">'Calculated variables'!$E$199</definedName>
    <definedName name="K_MEOL_OHO_AS">Parameters!$D$15</definedName>
    <definedName name="K_MEOL_SNO2">'Calculated variables'!$E$234</definedName>
    <definedName name="K_MEOL_SNO2_AS">Parameters!$D$52</definedName>
    <definedName name="K_Mg_BIO">'Calculated variables'!$E$294</definedName>
    <definedName name="K_Mg_BIO_AS">Parameters!$D$237</definedName>
    <definedName name="K_Mg_PAO">'Calculated variables'!$E$251</definedName>
    <definedName name="K_Mg_PAO_AS">Parameters!$D$88</definedName>
    <definedName name="K_NH3">'Calculated variables'!$E$580</definedName>
    <definedName name="K_NH3_param">systemcode_constants!$D$294</definedName>
    <definedName name="K_NH3_T">'Calculated variables'!$E$568</definedName>
    <definedName name="K_NHx_ALGAE">Parameters!$D$177</definedName>
    <definedName name="K_NHx_AMX">'Calculated variables'!$E$179</definedName>
    <definedName name="K_NHx_AMX_AS">Parameters!$D$139</definedName>
    <definedName name="K_NHx_AOB">'Calculated variables'!$E$152</definedName>
    <definedName name="K_NHx_AOB_AS">Parameters!$D$109</definedName>
    <definedName name="K_NHx_BIO">'Calculated variables'!$E$284</definedName>
    <definedName name="K_NHx_BIO_AS">Parameters!$D$232</definedName>
    <definedName name="K_NO2">'Calculated variables'!$E$579</definedName>
    <definedName name="K_NO2_AHO">'Calculated variables'!$E$221</definedName>
    <definedName name="K_NO2_AHO_AS">Parameters!$D$38</definedName>
    <definedName name="K_NO2_AMX">'Calculated variables'!$E$181</definedName>
    <definedName name="K_NO2_AMX_AS">Parameters!$D$140</definedName>
    <definedName name="K_NO2_ASSIM">'Calculated variables'!$E$302</definedName>
    <definedName name="K_NO2_ASSIM_AS">Parameters!$D$280</definedName>
    <definedName name="K_NO2_CASTO">'Calculated variables'!$E$243</definedName>
    <definedName name="K_NO2_CASTO_AS">Parameters!$D$80</definedName>
    <definedName name="K_NO2_EPS">Parameters!$D$474</definedName>
    <definedName name="K_NO2_MEOLO">'Calculated variables'!$E$232</definedName>
    <definedName name="K_NO2_MEOLO_AS">Parameters!$D$51</definedName>
    <definedName name="K_NO2_NOB">'Calculated variables'!$E$166</definedName>
    <definedName name="K_NO2_NOB_AS">Parameters!$D$125</definedName>
    <definedName name="K_NO2_OHO">'Calculated variables'!$E$201</definedName>
    <definedName name="K_NO2_OHO_AS">Parameters!$D$19</definedName>
    <definedName name="K_NO2_param">systemcode_constants!$D$295</definedName>
    <definedName name="K_NO2_T">'Calculated variables'!$E$567</definedName>
    <definedName name="K_NO3_AHO">'Calculated variables'!$E$223</definedName>
    <definedName name="K_NO3_AHO_AS">Parameters!$D$37</definedName>
    <definedName name="K_NO3_ASSIM">'Calculated variables'!$E$304</definedName>
    <definedName name="K_NO3_ASSIM_AS">Parameters!$D$281</definedName>
    <definedName name="K_NO3_CASTO">'Calculated variables'!$E$245</definedName>
    <definedName name="K_NO3_CASTO_AS">Parameters!$D$79</definedName>
    <definedName name="K_NO3_EPS">Parameters!$D$473</definedName>
    <definedName name="K_NO3_MEOLO">'Calculated variables'!$E$236</definedName>
    <definedName name="K_NO3_MEOLO_AS">Parameters!$D$50</definedName>
    <definedName name="K_NO3_OHO">'Calculated variables'!$E$205</definedName>
    <definedName name="K_NO3_OHO_AS">Parameters!$D$16</definedName>
    <definedName name="K_NOx_ALGAE">Parameters!$D$175</definedName>
    <definedName name="K_NOx_AMETO">'Calculated variables'!$E$270</definedName>
    <definedName name="K_NOx_AMETO_AS">Parameters!$D$156</definedName>
    <definedName name="K_NOx_AMX">'Calculated variables'!$E$186</definedName>
    <definedName name="K_NOx_AMX_AS">Parameters!$D$144</definedName>
    <definedName name="K_NOx_AOB">'Calculated variables'!$E$159</definedName>
    <definedName name="K_NOx_AOB_AS">Parameters!$D$116</definedName>
    <definedName name="K_NOx_HMETO">'Calculated variables'!$E$279</definedName>
    <definedName name="K_NOx_HMETO_AS">Parameters!$D$166</definedName>
    <definedName name="K_NOx_NOB">'Calculated variables'!$E$172</definedName>
    <definedName name="K_NOx_NOB_AS">Parameters!$D$130</definedName>
    <definedName name="K_O2_AHO">'Calculated variables'!$E$217</definedName>
    <definedName name="K_O2_AHO_AS">Parameters!$D$36</definedName>
    <definedName name="K_O2_ALGAE">Parameters!$D$176</definedName>
    <definedName name="K_O2_ALPHA">Parameters!$D$449</definedName>
    <definedName name="K_O2_AOB">'Calculated variables'!$E$156</definedName>
    <definedName name="K_O2_AOB_AS">Parameters!$D$115</definedName>
    <definedName name="K_O2_AOB_sidestream">Parameters!$D$114</definedName>
    <definedName name="K_O2_CASTO">'Calculated variables'!$E$241</definedName>
    <definedName name="K_O2_CASTO_AS">Parameters!$D$78</definedName>
    <definedName name="K_O2_EPS">Parameters!$D$471</definedName>
    <definedName name="K_O2_NOB">'Calculated variables'!$E$169</definedName>
    <definedName name="K_O2_NOB_AS">Parameters!$D$129</definedName>
    <definedName name="K_O2_NOB_sidestream">Parameters!$D$128</definedName>
    <definedName name="K_O2_OHO">'Calculated variables'!$E$197</definedName>
    <definedName name="K_O2_OHO_AS">Parameters!$D$13</definedName>
    <definedName name="K_OC_PFOA_EQ">Parameters!$D$284</definedName>
    <definedName name="K_OC_PFOS_EQ">Parameters!$D$285</definedName>
    <definedName name="K_ORP_ana">Parameters!$D$467</definedName>
    <definedName name="K_ORP_SNOx">Parameters!$D$466</definedName>
    <definedName name="K_ORP_SO2">Parameters!$D$465</definedName>
    <definedName name="k_ORPswitch">Parameters!$D$102</definedName>
    <definedName name="K_P_HAO_BIND">Parameters!$D$225</definedName>
    <definedName name="K_P_HFO_BIND">Parameters!$D$214</definedName>
    <definedName name="K_P1">'Calculated variables'!$E$575</definedName>
    <definedName name="K_P1_param">systemcode_constants!$D$298</definedName>
    <definedName name="K_P1_T">'Calculated variables'!$E$563</definedName>
    <definedName name="K_P2">'Calculated variables'!$E$576</definedName>
    <definedName name="K_P2_param">systemcode_constants!$D$299</definedName>
    <definedName name="K_P2_T">'Calculated variables'!$E$564</definedName>
    <definedName name="K_P3">'Calculated variables'!$E$577</definedName>
    <definedName name="K_P3_param">systemcode_constants!$D$300</definedName>
    <definedName name="K_P3_T">'Calculated variables'!$E$565</definedName>
    <definedName name="K_PHA">Parameters!$D$76</definedName>
    <definedName name="K_PHA_cle">Parameters!$D$75</definedName>
    <definedName name="K_PHA_GAO">Parameters!$D$96</definedName>
    <definedName name="K_PO4_BIO">'Calculated variables'!$E$286</definedName>
    <definedName name="K_PO4_BIO_AS">Parameters!$D$233</definedName>
    <definedName name="K_PO4_PAO">'Calculated variables'!$E$249</definedName>
    <definedName name="K_PO4_PAO_AS">Parameters!$D$72</definedName>
    <definedName name="K_PP">Parameters!$D$82</definedName>
    <definedName name="K_PP_lim">Parameters!$D$91</definedName>
    <definedName name="K_Prop_param">systemcode_constants!$D$302</definedName>
    <definedName name="K_S1_param">systemcode_constants!$D$305</definedName>
    <definedName name="K_S2_param">systemcode_constants!$D$306</definedName>
    <definedName name="K_SB_mono">'Calculated variables'!$E$215</definedName>
    <definedName name="K_SB_mono_AS">Parameters!$D$30</definedName>
    <definedName name="K_SB_poly">'Calculated variables'!$E$193</definedName>
    <definedName name="K_SB_poly_ana">'Calculated variables'!$E$209</definedName>
    <definedName name="K_SB_poly_ana_AS">Parameters!$D$24</definedName>
    <definedName name="K_SB_poly_ana_DIG">Parameters!$D$25</definedName>
    <definedName name="K_SB_poly_AS">Parameters!$D$12</definedName>
    <definedName name="K_SO41_param">systemcode_constants!$D$307</definedName>
    <definedName name="K_SO42_param">systemcode_constants!$D$308</definedName>
    <definedName name="K_sp_ACP">'Calculated variables'!$E$587</definedName>
    <definedName name="K_sp_ACP_param">systemcode_constants!$D$315</definedName>
    <definedName name="K_sp_BSH">'Calculated variables'!$E$588</definedName>
    <definedName name="K_sp_BSH_param">systemcode_constants!$D$316</definedName>
    <definedName name="K_sp_CaCO3">'Calculated variables'!$E$584</definedName>
    <definedName name="K_sp_CaCO3_param">systemcode_constants!$D$313</definedName>
    <definedName name="K_sp_FeS_param">systemcode_constants!$D$318</definedName>
    <definedName name="K_sp_HDP_param">systemcode_constants!$D$319</definedName>
    <definedName name="K_sp_MKP_param">systemcode_constants!$D$320</definedName>
    <definedName name="K_sp_STR">'Calculated variables'!$E$585</definedName>
    <definedName name="K_sp_STR_param">systemcode_constants!$D$314</definedName>
    <definedName name="K_sp_Vivi">'Calculated variables'!$E$586</definedName>
    <definedName name="K_sp_Vivi_param">systemcode_constants!$D$317</definedName>
    <definedName name="K_STC">Parameters!$D$77</definedName>
    <definedName name="K_STO">Parameters!$D$32</definedName>
    <definedName name="K_STR_DISS">Parameters!$D$192</definedName>
    <definedName name="k_transfer_GCO2_bub">'Calculated variables'!$E$728</definedName>
    <definedName name="k_transfer_GCO2_sur">'Calculated variables'!$E$730</definedName>
    <definedName name="k_transfer_GNH3_bub">'Calculated variables'!$E$729</definedName>
    <definedName name="k_transfer_GNH3_sur">'Calculated variables'!$E$731</definedName>
    <definedName name="K_Val_param">systemcode_constants!$D$304</definedName>
    <definedName name="K_VFA">'Calculated variables'!$E$195</definedName>
    <definedName name="K_VFA_AMETO">'Calculated variables'!$E$262</definedName>
    <definedName name="K_VFA_AMETO_AS">Parameters!$D$151</definedName>
    <definedName name="K_VFA_AS">Parameters!$D$14</definedName>
    <definedName name="K_VFA_CASTO">'Calculated variables'!$E$247</definedName>
    <definedName name="K_VFA_CASTO_AS">Parameters!$D$81</definedName>
    <definedName name="K_VFA_FERM">'Calculated variables'!$E$207</definedName>
    <definedName name="K_VFA_FERM_AS">Parameters!$D$22</definedName>
    <definedName name="K_VFA_OHO_SNO2">'Calculated variables'!$E$203</definedName>
    <definedName name="K_VFA_OHO_SNO2_AS">Parameters!$D$20</definedName>
    <definedName name="K_Vivi_DISS">Parameters!$D$196</definedName>
    <definedName name="K_W">'Calculated variables'!$E$572</definedName>
    <definedName name="K_W_param">systemcode_constants!$D$293</definedName>
    <definedName name="K_W_T">'Calculated variables'!$E$560</definedName>
    <definedName name="K_XB_HYD">Parameters!$D$270</definedName>
    <definedName name="K_XBe_HYD">Parameters!$D$271</definedName>
    <definedName name="K_XEana_HYD">Parameters!$D$272</definedName>
    <definedName name="K_XTSS_lightextinction">'other parameters'!$D$81</definedName>
    <definedName name="K_XU">Parameters!$D$277</definedName>
    <definedName name="L_ightSwitch">'Calculated variables'!$E$103</definedName>
    <definedName name="L_oginhORP_HFO">'Calculated variables'!$E$99</definedName>
    <definedName name="L_oginhORP_PAO">'Calculated variables'!$E$94</definedName>
    <definedName name="L_oginhpHNH3_AMETO">'Calculated variables'!$E$354</definedName>
    <definedName name="L_oginhSMEOL_KMEOL_SNO2">'Calculated variables'!$E$407</definedName>
    <definedName name="L_oginhSNO3_KNO3_MEOLO">'Calculated variables'!$E$409</definedName>
    <definedName name="L_oginhSNO3_KNO3_OHO">'Calculated variables'!$E$385</definedName>
    <definedName name="L_oginhSPO4_KiP_HAO_DISS">'Calculated variables'!$E$491</definedName>
    <definedName name="L_oginhSPO4_KiP_HFO_DISS">'Calculated variables'!$E$488</definedName>
    <definedName name="L_oginhSVFA_KVFA_FERM">'Calculated variables'!$E$384</definedName>
    <definedName name="L_oginhSVFA_KVFA_OHO_SNO2">'Calculated variables'!$E$388</definedName>
    <definedName name="L_oginhXHET_HYD_lim">'Calculated variables'!$E$483</definedName>
    <definedName name="L_oginhXPHA_XGAO_max">'Calculated variables'!$E$449</definedName>
    <definedName name="L_oginhXPHA_XPAO_max">'Calculated variables'!$E$447</definedName>
    <definedName name="L_oginhXPP_XPAO_max">'Calculated variables'!$E$448</definedName>
    <definedName name="L_oginhXSTO_XAHO_max">'Calculated variables'!$E$391</definedName>
    <definedName name="L_ograngeCO2_AMX_pH_AS">Parameters!$D$142</definedName>
    <definedName name="L_ograngeCO2_AOB_pH_AS">Parameters!$D$111</definedName>
    <definedName name="L_ograngeCO2_AOB_pH_sidestream">Parameters!$D$113</definedName>
    <definedName name="L_ograngeCO2_NOB_pH_AS">Parameters!$D$127</definedName>
    <definedName name="L_ograngeKMEOL_SNO2">Parameters!$D$53</definedName>
    <definedName name="L_ograngeKSNO3">Parameters!$D$18</definedName>
    <definedName name="L_ograngeKVFA_SNO2">Parameters!$D$21</definedName>
    <definedName name="L_ograngeNH3_AMETO">Parameters!$D$154</definedName>
    <definedName name="L_ograngeP_HAO_DISS">Parameters!$D$227</definedName>
    <definedName name="L_ograngeP_HFO_DISS">Parameters!$D$212</definedName>
    <definedName name="L_ograngePHA_GAO_inh">Parameters!$D$98</definedName>
    <definedName name="L_ograngePHA_PAO_inh">Parameters!$D$87</definedName>
    <definedName name="L_ograngePO4_PAO_AS_sat">Parameters!$D$73</definedName>
    <definedName name="L_ograngePP_PAO_AS_sat">Parameters!$D$74</definedName>
    <definedName name="L_ograngePP_PAO_inh">Parameters!$D$84</definedName>
    <definedName name="L_ograngeSNO3">Parameters!$D$17</definedName>
    <definedName name="L_ograngeSTO_AHO_inh">Parameters!$D$34</definedName>
    <definedName name="L_ograngeVFA_FERM_AS">Parameters!$D$23</definedName>
    <definedName name="L_ograngeXHET_HYD_lim">Parameters!$D$263</definedName>
    <definedName name="L_ogsatORP_GAO_Half_15">Parameters!$D$99</definedName>
    <definedName name="L_ogsatORP_GAO_Half_25">Parameters!$D$100</definedName>
    <definedName name="L_ogsatORP_GAO_Half_T">'Calculated variables'!$E$97</definedName>
    <definedName name="L_ogsatORP_GAO_Slope">Parameters!$D$101</definedName>
    <definedName name="L_ogsatORP_GAO_T">'Calculated variables'!$E$98</definedName>
    <definedName name="L_ogsatORP_HFO_Half">Parameters!$D$208</definedName>
    <definedName name="L_ogsatORP_HFO_Slope">Parameters!$D$209</definedName>
    <definedName name="L_ogsatORP_PAO_Half">Parameters!$D$93</definedName>
    <definedName name="L_ogsatORP_PAO_Slope">Parameters!$D$94</definedName>
    <definedName name="L_ogsatpHCO2_AMX">'Calculated variables'!$E$352</definedName>
    <definedName name="L_ogsatpHCO2_AOB">'Calculated variables'!$E$349</definedName>
    <definedName name="L_ogsatpHCO2_NOB">'Calculated variables'!$E$351</definedName>
    <definedName name="L_ogsatSMEOL_KMEOL_SNO2">'Calculated variables'!$E$406</definedName>
    <definedName name="L_ogsatSNO3_KNO3_MEOLO">'Calculated variables'!$E$408</definedName>
    <definedName name="L_ogsatSNO3_KNO3_OHO">'Calculated variables'!$E$386</definedName>
    <definedName name="L_ogsatSPO4_KPO4_PAO">'Calculated variables'!$E$442</definedName>
    <definedName name="L_ogsatSVFA_KVFA_FERM">'Calculated variables'!$E$383</definedName>
    <definedName name="L_ogsatSVFA_KVFA_OHO_SNO2">'Calculated variables'!$E$387</definedName>
    <definedName name="L_ogsatXHET_HYD_lim">'Calculated variables'!$E$482</definedName>
    <definedName name="L_ogsatXPP_KPO4_PAO">'Calculated variables'!$E$445</definedName>
    <definedName name="L_ogslopeCO2_AMX_pH">'Calculated variables'!$E$320</definedName>
    <definedName name="L_ogslopeCO2_AOB_pH">'Calculated variables'!$E$317</definedName>
    <definedName name="L_ogslopeCO2_NOB_pH">'Calculated variables'!$E$319</definedName>
    <definedName name="L_ogslopeKMEOL_SNO2">'Calculated variables'!$E$314</definedName>
    <definedName name="L_ogslopeKSNO3">'Calculated variables'!$E$310</definedName>
    <definedName name="L_ogslopeKSNO3_MEOLO">'Calculated variables'!$E$315</definedName>
    <definedName name="L_ogslopeKVFA_SNO2">'Calculated variables'!$E$311</definedName>
    <definedName name="L_ogslopeNH3_AMETO_pH">'Calculated variables'!$E$328</definedName>
    <definedName name="L_ogslopeP_HAO_DISS">'Calculated variables'!$E$330</definedName>
    <definedName name="L_ogslopeP_HFO_DISS">'Calculated variables'!$E$329</definedName>
    <definedName name="L_ogslopePHA_GAO_inh">'Calculated variables'!$E$327</definedName>
    <definedName name="L_ogslopePHA_PAO_inh">'Calculated variables'!$E$325</definedName>
    <definedName name="L_ogslopePO4_PAO_sat">'Calculated variables'!$E$321</definedName>
    <definedName name="L_ogslopePP_PAO_inh">'Calculated variables'!$E$326</definedName>
    <definedName name="L_ogslopePP_PAO_sat">'Calculated variables'!$E$323</definedName>
    <definedName name="L_ogslopeSNO3">'Calculated variables'!$E$309</definedName>
    <definedName name="L_ogslopeSTO_AHO_inh">'Calculated variables'!$E$316</definedName>
    <definedName name="L_ogslopeVFA_FERM">'Calculated variables'!$E$312</definedName>
    <definedName name="L_ogslopeXHET_HYD_lim">'Calculated variables'!$E$481</definedName>
    <definedName name="M_EPS">'Calculated variables'!$E$67</definedName>
    <definedName name="M_inhpHHNO2_AMX">'Calculated variables'!$E$353</definedName>
    <definedName name="M_inhpHHNO2_AOB">'Calculated variables'!$E$348</definedName>
    <definedName name="M_inhpHNH3_NOB">'Calculated variables'!$E$350</definedName>
    <definedName name="M_inhSNHx_KiNHx_ALGAE">'Calculated variables'!$E$467</definedName>
    <definedName name="M_inhSNHx_KiNHx_ASSIM">'Calculated variables'!$E$468</definedName>
    <definedName name="M_inhSNO2_KNO2_AHO">'Calculated variables'!$E$392</definedName>
    <definedName name="M_inhSNO2_KNO2_ASSIM">'Calculated variables'!$E$487</definedName>
    <definedName name="M_inhSNO2_KNO2_CASTO">'Calculated variables'!$E$426</definedName>
    <definedName name="M_inhSNO2_KNO2_EPS">'Calculated variables'!$E$370</definedName>
    <definedName name="M_inhSNO2_KNO2_MEOLO">'Calculated variables'!$E$400</definedName>
    <definedName name="M_inhSNO2_KNO2_OHO">'Calculated variables'!$E$372</definedName>
    <definedName name="M_inhSNO3_KNO3_AHO">'Calculated variables'!$E$393</definedName>
    <definedName name="M_inhSNO3_KNO3_CASTO">'Calculated variables'!$E$427</definedName>
    <definedName name="M_inhSNO3_KNO3_EPS">'Calculated variables'!$E$371</definedName>
    <definedName name="M_inhSNO3_KNO3_MEOLO">'Calculated variables'!$E$401</definedName>
    <definedName name="M_inhSNO3_KNO3_OHO">'Calculated variables'!$E$373</definedName>
    <definedName name="M_inhSNOx_KNO3_AMETO">'Calculated variables'!$E$452</definedName>
    <definedName name="M_inhSNOx_KNO3_HMETO">'Calculated variables'!$E$457</definedName>
    <definedName name="M_inhSNOx_KNOx_AMX">'Calculated variables'!$E$420</definedName>
    <definedName name="M_inhSNOx_KNOx_AOB">'Calculated variables'!$E$410</definedName>
    <definedName name="M_inhSNOx_KNOx_NOB">'Calculated variables'!$E$415</definedName>
    <definedName name="M_inhSO2_KiO2_AHO">'Calculated variables'!$E$395</definedName>
    <definedName name="M_inhSO2_KiO2_AMETO">'Calculated variables'!$E$453</definedName>
    <definedName name="M_inhSO2_KiO2_AMX">'Calculated variables'!$E$421</definedName>
    <definedName name="M_inhSO2_KiO2_EPS">'Calculated variables'!$E$369</definedName>
    <definedName name="M_inhSO2_KiO2_HMETO">'Calculated variables'!$E$458</definedName>
    <definedName name="M_inhSO2_KiO2_MEOLO">'Calculated variables'!$E$399</definedName>
    <definedName name="M_inhSO2_KO2_AHO">'Calculated variables'!$E$394</definedName>
    <definedName name="M_inhSO2_KO2_ALGAE">'Calculated variables'!$E$466</definedName>
    <definedName name="M_inhSO2_KO2_AOB">'Calculated variables'!$E$411</definedName>
    <definedName name="M_inhSO2_KO2_CASTO">'Calculated variables'!$E$428</definedName>
    <definedName name="M_inhSO2_KO2_EPS">'Calculated variables'!$E$368</definedName>
    <definedName name="M_inhSO2_KO2_NOB">'Calculated variables'!$E$416</definedName>
    <definedName name="M_inhSO2_KO2_OHO">'Calculated variables'!$E$374</definedName>
    <definedName name="M_inhSPO4_KiP_HAO_DESORP">'Calculated variables'!$E$492</definedName>
    <definedName name="M_inhSPO4_KiP_HFO_DESORP">'Calculated variables'!$E$489</definedName>
    <definedName name="M_inhSPO4_KiPO4_lim">'Calculated variables'!$E$429</definedName>
    <definedName name="M_inhSVFA_KVFA">'Calculated variables'!$E$375</definedName>
    <definedName name="M_MACP">systemcode_constants!$D$212</definedName>
    <definedName name="M_Mair">systemcode_constants!$D$199</definedName>
    <definedName name="M_MAl2SO43">systemcode_constants!$D$213</definedName>
    <definedName name="M_MAlCl3">systemcode_constants!$D$214</definedName>
    <definedName name="M_MAlOH3">systemcode_constants!$D$215</definedName>
    <definedName name="M_MAlPO4">systemcode_constants!$D$216</definedName>
    <definedName name="M_MBSH">systemcode_constants!$D$217</definedName>
    <definedName name="M_MCaCl2">systemcode_constants!$D$218</definedName>
    <definedName name="M_MCaCO3">systemcode_constants!$D$219</definedName>
    <definedName name="M_MCaH2PO4">systemcode_constants!$D$220</definedName>
    <definedName name="M_MCaHCO3">systemcode_constants!$D$221</definedName>
    <definedName name="M_MCaHPO4">systemcode_constants!$D$222</definedName>
    <definedName name="M_MCaOH">systemcode_constants!$D$223</definedName>
    <definedName name="M_MCaOH2">systemcode_constants!$D$224</definedName>
    <definedName name="M_MCaPO4">systemcode_constants!$D$225</definedName>
    <definedName name="M_MCH3COOH">systemcode_constants!$D$226</definedName>
    <definedName name="M_MCH3OH">systemcode_constants!$D$227</definedName>
    <definedName name="M_MCO2">systemcode_constants!$D$228</definedName>
    <definedName name="M_MCO3">systemcode_constants!$D$229</definedName>
    <definedName name="M_MEQ_GCH4">systemcode_constants!$D$287</definedName>
    <definedName name="M_MEQ_GCO2">systemcode_constants!$D$285</definedName>
    <definedName name="M_MEQ_GH2">systemcode_constants!$D$288</definedName>
    <definedName name="M_MEQ_GH2S">systemcode_constants!$D$289</definedName>
    <definedName name="M_MEQ_GN2">systemcode_constants!$D$281</definedName>
    <definedName name="M_MEQ_GN2O">systemcode_constants!$D$284</definedName>
    <definedName name="M_MEQ_GNH3">systemcode_constants!$D$282</definedName>
    <definedName name="M_MEQ_GNO">systemcode_constants!$D$283</definedName>
    <definedName name="M_MEQ_GO2">systemcode_constants!$D$286</definedName>
    <definedName name="M_MFe2O3">systemcode_constants!$D$230</definedName>
    <definedName name="M_MFe2SO43">systemcode_constants!$D$231</definedName>
    <definedName name="M_MFeCl2">systemcode_constants!$D$232</definedName>
    <definedName name="M_MFeCl3">systemcode_constants!$D$233</definedName>
    <definedName name="M_MFeOH3">systemcode_constants!$D$234</definedName>
    <definedName name="M_MFeS">systemcode_constants!$D$235</definedName>
    <definedName name="M_MFeSO4">systemcode_constants!$D$236</definedName>
    <definedName name="M_MGCH4">systemcode_constants!$D$201</definedName>
    <definedName name="M_MGCO2">systemcode_constants!$D$202</definedName>
    <definedName name="M_MGH2">systemcode_constants!$D$200</definedName>
    <definedName name="M_MGH2S">systemcode_constants!$D$208</definedName>
    <definedName name="M_MGN2">systemcode_constants!$D$204</definedName>
    <definedName name="M_MGN2O">systemcode_constants!$D$207</definedName>
    <definedName name="M_MGNH3">systemcode_constants!$D$203</definedName>
    <definedName name="M_MGNO">systemcode_constants!$D$206</definedName>
    <definedName name="M_MGO2">systemcode_constants!$D$205</definedName>
    <definedName name="M_MH2CO3">systemcode_constants!$D$237</definedName>
    <definedName name="M_MH2O">systemcode_constants!$D$238</definedName>
    <definedName name="M_MH2S">systemcode_constants!$D$240</definedName>
    <definedName name="M_MH2SO4">systemcode_constants!$D$241</definedName>
    <definedName name="M_MH3PO4">systemcode_constants!$D$239</definedName>
    <definedName name="M_MHAP">systemcode_constants!$D$242</definedName>
    <definedName name="M_MHCl">systemcode_constants!$D$243</definedName>
    <definedName name="M_MHCO3">systemcode_constants!$D$244</definedName>
    <definedName name="M_MHDP">systemcode_constants!$D$245</definedName>
    <definedName name="M_MHNO3">systemcode_constants!$D$246</definedName>
    <definedName name="M_MHSO4">systemcode_constants!$D$247</definedName>
    <definedName name="M_MKNO2">systemcode_constants!$D$263</definedName>
    <definedName name="M_MKNO3">systemcode_constants!$D$264</definedName>
    <definedName name="M_MMgCO3">systemcode_constants!$D$248</definedName>
    <definedName name="M_MMgH2PO4">systemcode_constants!$D$249</definedName>
    <definedName name="M_MMgHCO3">systemcode_constants!$D$250</definedName>
    <definedName name="M_MMgHPO4">systemcode_constants!$D$251</definedName>
    <definedName name="M_MMgOH">systemcode_constants!$D$252</definedName>
    <definedName name="M_MMgOH2">systemcode_constants!$D$253</definedName>
    <definedName name="M_MMgPO4">systemcode_constants!$D$254</definedName>
    <definedName name="M_MMKP">systemcode_constants!$D$255</definedName>
    <definedName name="M_MMMC">systemcode_constants!$D$256</definedName>
    <definedName name="M_MN2">systemcode_constants!$D$257</definedName>
    <definedName name="M_MN2O">systemcode_constants!$D$258</definedName>
    <definedName name="M_MNa2CO3">systemcode_constants!$D$259</definedName>
    <definedName name="M_MNaCl">systemcode_constants!$D$260</definedName>
    <definedName name="M_MNaHCO3">systemcode_constants!$D$261</definedName>
    <definedName name="M_MNaHPO4">systemcode_constants!$D$262</definedName>
    <definedName name="M_MNaOH">systemcode_constants!$D$265</definedName>
    <definedName name="M_MNH3">systemcode_constants!$D$266</definedName>
    <definedName name="M_MNH4">systemcode_constants!$D$267</definedName>
    <definedName name="M_MNH4HCO3">systemcode_constants!$D$268</definedName>
    <definedName name="M_MNO">systemcode_constants!$D$269</definedName>
    <definedName name="M_MNO2">systemcode_constants!$D$270</definedName>
    <definedName name="M_MNO3">systemcode_constants!$D$271</definedName>
    <definedName name="M_MO2">systemcode_constants!$D$272</definedName>
    <definedName name="M_MPO4">systemcode_constants!$D$273</definedName>
    <definedName name="M_MSiO2">systemcode_constants!$D$274</definedName>
    <definedName name="M_MSO4">systemcode_constants!$D$275</definedName>
    <definedName name="M_MSTR">systemcode_constants!$D$276</definedName>
    <definedName name="M_MVivi">systemcode_constants!$D$277</definedName>
    <definedName name="M_RinhXPHA_XGAO_KPHA">'Calculated variables'!$E$450</definedName>
    <definedName name="M_RinhXPHA_XPAO_KPHA_cle">'Calculated variables'!$E$432</definedName>
    <definedName name="M_RinhXPP_XPAO_KPP">'Calculated variables'!$E$434</definedName>
    <definedName name="M_RinhXSTC_XCASTO_KSTC">'Calculated variables'!$E$433</definedName>
    <definedName name="M_RsatXB_XHET_KHYD">'Calculated variables'!$E$475</definedName>
    <definedName name="M_RsatXBe_XHET_KHYD">'Calculated variables'!$E$476</definedName>
    <definedName name="M_RsatXEana_XHET_KHYD">'Calculated variables'!$E$477</definedName>
    <definedName name="M_RsatXPHA_XGAO_KPHA">'Calculated variables'!$E$451</definedName>
    <definedName name="M_RsatXPHA_XPAO_KPHA">'Calculated variables'!$E$431</definedName>
    <definedName name="M_RsatXPP_XPAO_KPP">'Calculated variables'!$E$435</definedName>
    <definedName name="M_RsatXSTC_XCASTO_KSTC">'Calculated variables'!$E$430</definedName>
    <definedName name="M_RsatXSTO_XAHO_KSTO">'Calculated variables'!$E$390</definedName>
    <definedName name="M_satCB_KCB_FLOC">'Calculated variables'!$E$469</definedName>
    <definedName name="M_satCB_KCB_FLOC_HAO">'Calculated variables'!$E$473</definedName>
    <definedName name="M_satCB_KCB_FLOC_HFO">'Calculated variables'!$E$471</definedName>
    <definedName name="M_satCU_KCU_FLOC">'Calculated variables'!$E$470</definedName>
    <definedName name="M_satCU_KCU_FLOC_HAO">'Calculated variables'!$E$474</definedName>
    <definedName name="M_satCU_KCU_FLOC_HFO">'Calculated variables'!$E$472</definedName>
    <definedName name="M_satSAN_KAN">'Calculated variables'!$E$358</definedName>
    <definedName name="M_satSB_KSB_mono">'Calculated variables'!$E$389</definedName>
    <definedName name="M_satSB_KSB_poly">'Calculated variables'!$E$376</definedName>
    <definedName name="M_satSB_KSB_poly_ana">'Calculated variables'!$E$377</definedName>
    <definedName name="M_satSCa_KCa">'Calculated variables'!$E$360</definedName>
    <definedName name="M_satSCa_KCa_PAO">'Calculated variables'!$E$436</definedName>
    <definedName name="M_satSCAT_KCAT">'Calculated variables'!$E$359</definedName>
    <definedName name="M_satSCO2_KCO2_ALGAE">'Calculated variables'!$E$462</definedName>
    <definedName name="M_satSCO2_KCO2_BIO">'Calculated variables'!$E$362</definedName>
    <definedName name="M_satSH2_KH2_HMETO">'Calculated variables'!$E$459</definedName>
    <definedName name="M_satSK_KK_PAO">'Calculated variables'!$E$437</definedName>
    <definedName name="M_satSMEOL_KMEOL">'Calculated variables'!$E$402</definedName>
    <definedName name="M_satSMEOL_KMEOL_OHO">'Calculated variables'!$E$378</definedName>
    <definedName name="M_satSMg_KMg">'Calculated variables'!$E$361</definedName>
    <definedName name="M_satSMg_KMg_PAO">'Calculated variables'!$E$438</definedName>
    <definedName name="M_satSNHx_KNHx_ALGAE">'Calculated variables'!$E$464</definedName>
    <definedName name="M_satSNHx_KNHx_AMX">'Calculated variables'!$E$422</definedName>
    <definedName name="M_satSNHx_KNHx_AOB">'Calculated variables'!$E$412</definedName>
    <definedName name="M_satSNHx_KNHx_BIO">'Calculated variables'!$E$363</definedName>
    <definedName name="M_satSNO2_KNO2_AHO">'Calculated variables'!$E$396</definedName>
    <definedName name="M_satSNO2_KNO2_AMX">'Calculated variables'!$E$423</definedName>
    <definedName name="M_satSNO2_KNO2_ASSIM">'Calculated variables'!$E$485</definedName>
    <definedName name="M_satSNO2_KNO2_CASTO">'Calculated variables'!$E$439</definedName>
    <definedName name="M_satSNO2_KNO2_EPS">'Calculated variables'!$E$366</definedName>
    <definedName name="M_satSNO2_KNO2_MEOLO">'Calculated variables'!$E$403</definedName>
    <definedName name="M_satSNO2_KNO2_NOB">'Calculated variables'!$E$417</definedName>
    <definedName name="M_satSNO2_KNO2_OHO">'Calculated variables'!$E$379</definedName>
    <definedName name="M_satSNO3_KNO3_AHO">'Calculated variables'!$E$397</definedName>
    <definedName name="M_satSNO3_KNO3_ASSIM">'Calculated variables'!$E$486</definedName>
    <definedName name="M_satSNO3_KNO3_CASTO">'Calculated variables'!$E$440</definedName>
    <definedName name="M_satSNO3_KNO3_EPS">'Calculated variables'!$E$367</definedName>
    <definedName name="M_satSNO3_KNO3_MEOLO">'Calculated variables'!$E$404</definedName>
    <definedName name="M_satSNO3_KNO3_OHO">'Calculated variables'!$E$380</definedName>
    <definedName name="M_satSNOx_KNO3_AMETO">'Calculated variables'!$E$454</definedName>
    <definedName name="M_satSNOx_KNO3_HMETO">'Calculated variables'!$E$460</definedName>
    <definedName name="M_satSNOx_KNOx_ALGAE">'Calculated variables'!$E$463</definedName>
    <definedName name="M_satSNOx_KNOx_AMX">'Calculated variables'!$E$424</definedName>
    <definedName name="M_satSNOx_KNOx_AOB">'Calculated variables'!$E$413</definedName>
    <definedName name="M_satSNOx_KNOx_NOB">'Calculated variables'!$E$418</definedName>
    <definedName name="M_satSO2_KiO2_AMETO">'Calculated variables'!$E$455</definedName>
    <definedName name="M_satSO2_KiO2_AMX">'Calculated variables'!$E$425</definedName>
    <definedName name="M_satSO2_KiO2_HMETO">'Calculated variables'!$E$461</definedName>
    <definedName name="M_satSO2_KiO2_MEOLO">'Calculated variables'!$E$405</definedName>
    <definedName name="M_satSO2_KO2_AHO">'Calculated variables'!$E$398</definedName>
    <definedName name="M_satSO2_KO2_ALGAE">'Calculated variables'!$E$465</definedName>
    <definedName name="M_satSO2_KO2_AOB">'Calculated variables'!$E$414</definedName>
    <definedName name="M_satSO2_KO2_CASTO">'Calculated variables'!$E$441</definedName>
    <definedName name="M_satSO2_KO2_EPS">'Calculated variables'!$E$365</definedName>
    <definedName name="M_satSO2_KO2_NOB">'Calculated variables'!$E$419</definedName>
    <definedName name="M_satSO2_KO2_OHO">'Calculated variables'!$E$381</definedName>
    <definedName name="M_satSPO4_KP_HAO_BIND">'Calculated variables'!$E$493</definedName>
    <definedName name="M_satSPO4_KP_HFO_BIND">'Calculated variables'!$E$490</definedName>
    <definedName name="M_satSPO4_KPO4_BIO">'Calculated variables'!$E$364</definedName>
    <definedName name="M_satSPO4_KPO4_PAO">'Calculated variables'!$E$443</definedName>
    <definedName name="M_satSVFA_KVFA">'Calculated variables'!$E$382</definedName>
    <definedName name="M_satSVFA_KVFA_CASTO">'Calculated variables'!$E$444</definedName>
    <definedName name="M_satXACP_KACP_DISS">'Calculated variables'!$E$494</definedName>
    <definedName name="M_satXB_KXB_HYD">'Calculated variables'!$E$478</definedName>
    <definedName name="M_satXBe_KXBe_HYD">'Calculated variables'!$E$479</definedName>
    <definedName name="M_satXBSH_KBSH_DISS">'Calculated variables'!$E$495</definedName>
    <definedName name="M_satXCaCO3_KCaCO3_DISS">'Calculated variables'!$E$496</definedName>
    <definedName name="M_satXEana_KXEana_HYD">'Calculated variables'!$E$480</definedName>
    <definedName name="M_satXPP_KPP_lim">'Calculated variables'!$E$446</definedName>
    <definedName name="M_satXSTR_KSTR_DISS">'Calculated variables'!$E$497</definedName>
    <definedName name="M_satXU_KXU">'Calculated variables'!$E$484</definedName>
    <definedName name="M_satXVivi_KVivi_DISS">'Calculated variables'!$E$498</definedName>
    <definedName name="m_tox_aer">Parameters!$D$242</definedName>
    <definedName name="m_tox_ana">'Calculated variables'!$E$148</definedName>
    <definedName name="m_tox_ana_max">Parameters!$D$243</definedName>
    <definedName name="m_tox_anox">Parameters!$D$241</definedName>
    <definedName name="N_2UR">'Calculated variables'!$E$134</definedName>
    <definedName name="N_3UR">'Calculated variables'!$E$133</definedName>
    <definedName name="N_OUR">'Calculated variables'!$E$132</definedName>
    <definedName name="N_URAMX">'Calculated variables'!$E$136</definedName>
    <definedName name="o_ffsetORPswitch">Parameters!$D$103</definedName>
    <definedName name="O_RP">'Calculated variables'!$E$90</definedName>
    <definedName name="O_RPana">'Calculated variables'!$E$89</definedName>
    <definedName name="O_RPbase">Parameters!$D$462</definedName>
    <definedName name="O_RPmax_SNOx">Parameters!$D$464</definedName>
    <definedName name="O_RPmax_SO2">Parameters!$D$463</definedName>
    <definedName name="O_RPNOx">'Calculated variables'!$E$87</definedName>
    <definedName name="O_RPO2">'Calculated variables'!$E$86</definedName>
    <definedName name="O_UR">'Calculated variables'!$E$130</definedName>
    <definedName name="p_H">'Calculated variables'!$E$612</definedName>
    <definedName name="p_Hfield">Parameters!$D$480</definedName>
    <definedName name="p_Hhigh">Parameters!$D$245</definedName>
    <definedName name="p_Hhigh_AMETO">Parameters!$D$158</definedName>
    <definedName name="p_Hhigh_AOB">Parameters!$D$119</definedName>
    <definedName name="p_Hhigh_FLOC_HAO">Parameters!$D$260</definedName>
    <definedName name="p_Hhigh_FLOC_HFO">Parameters!$D$258</definedName>
    <definedName name="p_Hhigh_HMETO">Parameters!$D$168</definedName>
    <definedName name="p_Hhigh_NOB">Parameters!$D$133</definedName>
    <definedName name="p_Hlow">Parameters!$D$244</definedName>
    <definedName name="p_Hlow_AMETO">Parameters!$D$157</definedName>
    <definedName name="p_Hlow_AOB">Parameters!$D$118</definedName>
    <definedName name="p_Hlow_FLOC_HAO">Parameters!$D$259</definedName>
    <definedName name="p_Hlow_FLOC_HFO">Parameters!$D$257</definedName>
    <definedName name="p_Hlow_HMETO">Parameters!$D$167</definedName>
    <definedName name="p_Hlow_NOB">Parameters!$D$132</definedName>
    <definedName name="p_i">systemcode_constants!$D$74</definedName>
    <definedName name="p_NTP">systemcode_constants!$D$52</definedName>
    <definedName name="p_owdamp_ALPHA">Parameters!$D$452</definedName>
    <definedName name="P_recipDrivingForceACP">'Calculated variables'!$E$111</definedName>
    <definedName name="P_recipDrivingForceBSH">'Calculated variables'!$E$115</definedName>
    <definedName name="P_recipDrivingForceCaCO3">'Calculated variables'!$E$119</definedName>
    <definedName name="P_recipDrivingForceSTR">'Calculated variables'!$E$107</definedName>
    <definedName name="P_recipDrivingForceVivi">'Calculated variables'!$E$123</definedName>
    <definedName name="P_RR">'Calculated variables'!$E$141</definedName>
    <definedName name="p_STP">systemcode_constants!$D$51</definedName>
    <definedName name="P_UR">'Calculated variables'!$E$137</definedName>
    <definedName name="P_URBIO">'Calculated variables'!$E$138</definedName>
    <definedName name="P_URBIOP">'Calculated variables'!$E$139</definedName>
    <definedName name="P_URCHEM">'Calculated variables'!$E$140</definedName>
    <definedName name="q_ACP">'Calculated variables'!$E$114</definedName>
    <definedName name="q_ACP_DISS">Parameters!$D$187</definedName>
    <definedName name="q_ACP_PREC">Parameters!$D$186</definedName>
    <definedName name="q_AHO_STO">Parameters!$D$31</definedName>
    <definedName name="q_ALPHA">Parameters!$D$447</definedName>
    <definedName name="q_ALPHA_O2">'Calculated variables'!$E$748</definedName>
    <definedName name="q_AMMON">Parameters!$D$273</definedName>
    <definedName name="q_AMMON_T">'Calculated variables'!$E$535</definedName>
    <definedName name="q_ASSIM">Parameters!$D$278</definedName>
    <definedName name="q_ASSIM_T">'Calculated variables'!$E$539</definedName>
    <definedName name="q_BSH">'Calculated variables'!$E$118</definedName>
    <definedName name="q_BSH_DISS">Parameters!$D$189</definedName>
    <definedName name="q_BSH_PREC">Parameters!$D$188</definedName>
    <definedName name="q_CaCO3">'Calculated variables'!$E$122</definedName>
    <definedName name="q_CaCO3_DISS">Parameters!$D$183</definedName>
    <definedName name="q_CaCO3_PREC">Parameters!$D$182</definedName>
    <definedName name="q_Fe2_OX">Parameters!$D$210</definedName>
    <definedName name="q_Fe2_OX_T">'Calculated variables'!$E$540</definedName>
    <definedName name="q_FLOC">Parameters!$D$254</definedName>
    <definedName name="q_FLOC_HAO">Parameters!$D$256</definedName>
    <definedName name="q_FLOC_HAO_T">'Calculated variables'!$E$532</definedName>
    <definedName name="q_FLOC_HFO">Parameters!$D$255</definedName>
    <definedName name="q_FLOC_HFO_T">'Calculated variables'!$E$531</definedName>
    <definedName name="q_FLOC_T">'Calculated variables'!$E$530</definedName>
    <definedName name="q_GAO_PHA">Parameters!$D$65</definedName>
    <definedName name="q_GAO_PHA_T">'Calculated variables'!$E$514</definedName>
    <definedName name="q_HAO_DISS">Parameters!$D$224</definedName>
    <definedName name="q_HAOH_AGING">Parameters!$D$218</definedName>
    <definedName name="q_HAOH_DESORP">Parameters!$D$222</definedName>
    <definedName name="q_HAOL_AGING">Parameters!$D$219</definedName>
    <definedName name="q_HAOL_DESORP">Parameters!$D$223</definedName>
    <definedName name="q_HFO_DISS">Parameters!$D$206</definedName>
    <definedName name="q_HFO_RED">Parameters!$D$207</definedName>
    <definedName name="q_HFO_RED_T">'Calculated variables'!$E$541</definedName>
    <definedName name="q_HFOH_AGING">Parameters!$D$200</definedName>
    <definedName name="q_HFOH_DESORP">Parameters!$D$204</definedName>
    <definedName name="q_HFOL_AGING">Parameters!$D$201</definedName>
    <definedName name="q_HFOL_DESORP">Parameters!$D$205</definedName>
    <definedName name="q_HYD_XB">Parameters!$D$249</definedName>
    <definedName name="q_HYD_XB_T">'Calculated variables'!$E$533</definedName>
    <definedName name="q_HYD_XBe">Parameters!$D$250</definedName>
    <definedName name="q_HYD_XBe_T">'Calculated variables'!$E$534</definedName>
    <definedName name="q_MEOL">Parameters!$D$47</definedName>
    <definedName name="q_P_HAO_BIND">Parameters!$D$221</definedName>
    <definedName name="q_P_HAO_COPREC">Parameters!$D$220</definedName>
    <definedName name="q_P_HFO_BIND">Parameters!$D$203</definedName>
    <definedName name="q_P_HFO_COPREC">Parameters!$D$202</definedName>
    <definedName name="q_PAO_PHA">Parameters!$D$64</definedName>
    <definedName name="q_PAO_PHA_T">'Calculated variables'!$E$513</definedName>
    <definedName name="q_PAO_PP">Parameters!$D$58</definedName>
    <definedName name="q_PAO_PP_T">'Calculated variables'!$E$512</definedName>
    <definedName name="q_PFOA_SORP">Parameters!$D$282</definedName>
    <definedName name="q_PFOS_SORP">Parameters!$D$283</definedName>
    <definedName name="q_SB_mono">Parameters!$D$253</definedName>
    <definedName name="q_SPB">Parameters!$D$274</definedName>
    <definedName name="q_SPB_T">'Calculated variables'!$E$536</definedName>
    <definedName name="q_STR">'Calculated variables'!$E$110</definedName>
    <definedName name="q_STR_DISS">Parameters!$D$185</definedName>
    <definedName name="q_STR_PREC">Parameters!$D$184</definedName>
    <definedName name="q_Vivi">'Calculated variables'!$E$126</definedName>
    <definedName name="q_Vivi_DISS">Parameters!$D$191</definedName>
    <definedName name="q_Vivi_PREC">Parameters!$D$190</definedName>
    <definedName name="q_XE">Parameters!$D$275</definedName>
    <definedName name="q_XE_T">'Calculated variables'!$E$537</definedName>
    <definedName name="q_XU">Parameters!$D$276</definedName>
    <definedName name="q_XU_T">'Calculated variables'!$E$538</definedName>
    <definedName name="R__">systemcode_constants!$D$60</definedName>
    <definedName name="r_1">Model!$CO$134</definedName>
    <definedName name="r_10">Model!$CO$143</definedName>
    <definedName name="r_100">Model!$CO$233</definedName>
    <definedName name="r_101">Model!$CO$234</definedName>
    <definedName name="r_102">Model!$CO$235</definedName>
    <definedName name="r_103">Model!$CO$236</definedName>
    <definedName name="r_104">Model!$CO$237</definedName>
    <definedName name="r_105">Model!$CO$238</definedName>
    <definedName name="r_106">Model!$CO$239</definedName>
    <definedName name="r_107">Model!$CO$240</definedName>
    <definedName name="r_108">Model!$CO$241</definedName>
    <definedName name="r_109">Model!$CO$242</definedName>
    <definedName name="r_11">Model!$CO$144</definedName>
    <definedName name="r_110">Model!$CO$243</definedName>
    <definedName name="r_111">Model!$CO$244</definedName>
    <definedName name="r_12">Model!$CO$145</definedName>
    <definedName name="r_13">Model!$CO$146</definedName>
    <definedName name="r_14">Model!$CO$147</definedName>
    <definedName name="r_15">Model!$CO$148</definedName>
    <definedName name="r_16">Model!$CO$149</definedName>
    <definedName name="r_17">Model!$CO$150</definedName>
    <definedName name="r_18">Model!$CO$151</definedName>
    <definedName name="r_19">Model!$CO$152</definedName>
    <definedName name="r_2">Model!$CO$135</definedName>
    <definedName name="r_20">Model!$CO$153</definedName>
    <definedName name="r_21">Model!$CO$154</definedName>
    <definedName name="r_22">Model!$CO$155</definedName>
    <definedName name="r_23">Model!$CO$156</definedName>
    <definedName name="r_24">Model!$CO$157</definedName>
    <definedName name="r_25">Model!$CO$158</definedName>
    <definedName name="r_26">Model!$CO$159</definedName>
    <definedName name="r_27">Model!$CO$160</definedName>
    <definedName name="r_28">Model!$CO$161</definedName>
    <definedName name="r_29">Model!$CO$162</definedName>
    <definedName name="r_3">Model!$CO$136</definedName>
    <definedName name="r_30">Model!$CO$163</definedName>
    <definedName name="r_31">Model!$CO$164</definedName>
    <definedName name="r_32">Model!$CO$165</definedName>
    <definedName name="r_33">Model!$CO$166</definedName>
    <definedName name="r_34">Model!$CO$167</definedName>
    <definedName name="r_35">Model!$CO$168</definedName>
    <definedName name="r_36">Model!$CO$169</definedName>
    <definedName name="r_37">Model!$CO$170</definedName>
    <definedName name="r_38">Model!$CO$171</definedName>
    <definedName name="r_39">Model!$CO$172</definedName>
    <definedName name="r_4">Model!$CO$137</definedName>
    <definedName name="r_40">Model!$CO$173</definedName>
    <definedName name="r_41">Model!$CO$174</definedName>
    <definedName name="r_42">Model!$CO$175</definedName>
    <definedName name="r_43">Model!$CO$176</definedName>
    <definedName name="r_44">Model!$CO$177</definedName>
    <definedName name="r_45">Model!$CO$178</definedName>
    <definedName name="r_46">Model!$CO$179</definedName>
    <definedName name="r_47">Model!$CO$180</definedName>
    <definedName name="r_48">Model!$CO$181</definedName>
    <definedName name="r_49">Model!$CO$182</definedName>
    <definedName name="r_5">Model!$CO$138</definedName>
    <definedName name="r_50">Model!$CO$183</definedName>
    <definedName name="r_51">Model!$CO$184</definedName>
    <definedName name="r_52">Model!$CO$185</definedName>
    <definedName name="r_53">Model!$CO$186</definedName>
    <definedName name="r_54">Model!$CO$187</definedName>
    <definedName name="r_55">Model!$CO$188</definedName>
    <definedName name="r_56">Model!$CO$189</definedName>
    <definedName name="r_57">Model!$CO$190</definedName>
    <definedName name="r_58">Model!$CO$191</definedName>
    <definedName name="r_59">Model!$CO$192</definedName>
    <definedName name="r_6">Model!$CO$139</definedName>
    <definedName name="r_60">Model!$CO$193</definedName>
    <definedName name="r_61">Model!$CO$194</definedName>
    <definedName name="r_62">Model!$CO$195</definedName>
    <definedName name="r_63">Model!$CO$196</definedName>
    <definedName name="r_64">Model!$CO$197</definedName>
    <definedName name="r_65">Model!$CO$198</definedName>
    <definedName name="r_66">Model!$CO$199</definedName>
    <definedName name="r_67">Model!$CO$200</definedName>
    <definedName name="r_68">Model!$CO$201</definedName>
    <definedName name="r_69">Model!$CO$202</definedName>
    <definedName name="r_7">Model!$CO$140</definedName>
    <definedName name="r_70">Model!$CO$203</definedName>
    <definedName name="r_71">Model!$CO$204</definedName>
    <definedName name="r_72">Model!$CO$205</definedName>
    <definedName name="r_73">Model!$CO$206</definedName>
    <definedName name="r_74">Model!$CO$207</definedName>
    <definedName name="r_75">Model!$CO$208</definedName>
    <definedName name="r_76">Model!$CO$209</definedName>
    <definedName name="r_77">Model!$CO$210</definedName>
    <definedName name="r_78">Model!$CO$211</definedName>
    <definedName name="r_79">Model!$CO$212</definedName>
    <definedName name="r_8">Model!$CO$141</definedName>
    <definedName name="r_80">Model!$CO$213</definedName>
    <definedName name="r_81">Model!$CO$214</definedName>
    <definedName name="r_82">Model!$CO$215</definedName>
    <definedName name="r_83">Model!$CO$216</definedName>
    <definedName name="r_84">Model!$CO$217</definedName>
    <definedName name="r_85">Model!$CO$218</definedName>
    <definedName name="r_86">Model!$CO$219</definedName>
    <definedName name="r_87">Model!$CO$220</definedName>
    <definedName name="r_88">Model!$CO$221</definedName>
    <definedName name="r_89">Model!$CO$222</definedName>
    <definedName name="r_9">Model!$CO$142</definedName>
    <definedName name="r_90">Model!$CO$223</definedName>
    <definedName name="r_91">Model!$CO$224</definedName>
    <definedName name="r_92">Model!$CO$225</definedName>
    <definedName name="r_93">Model!$CO$226</definedName>
    <definedName name="r_94">Model!$CO$227</definedName>
    <definedName name="r_95">Model!$CO$228</definedName>
    <definedName name="r_96">Model!$CO$229</definedName>
    <definedName name="r_97">Model!$CO$230</definedName>
    <definedName name="r_98">Model!$CO$231</definedName>
    <definedName name="r_99">Model!$CO$232</definedName>
    <definedName name="R_air">systemcode_constants!$D$61</definedName>
    <definedName name="r_ateFLOC_CB_polymer">'other parameters'!$D$43</definedName>
    <definedName name="r_ateFLOC_CU_polymer">'other parameters'!$D$44</definedName>
    <definedName name="r_atioAAR_rbCODDR">'Calculated variables'!$E$88</definedName>
    <definedName name="r_atioVSS_TSS">'Calculated variables'!$E$55</definedName>
    <definedName name="r_bCODDR">'Calculated variables'!$E$142</definedName>
    <definedName name="S_ALK">'Calculated variables'!$E$596</definedName>
    <definedName name="S_ALK_calc">'Calculated variables'!$E$56</definedName>
    <definedName name="S_ALK_input">'other parameters'!$D$45</definedName>
    <definedName name="S_ALPHA">Components!$E$78</definedName>
    <definedName name="S_ALPHA_sat">Parameters!$D$448</definedName>
    <definedName name="S_AN">Components!$E$49</definedName>
    <definedName name="S_AN_ini">'other parameters'!$D$47</definedName>
    <definedName name="S_B_mono">Components!$E$5</definedName>
    <definedName name="S_B_poly">Components!$E$6</definedName>
    <definedName name="S_BOD_5">'Calculated variables'!$E$28</definedName>
    <definedName name="S_BOD_ult">'Calculated variables'!$E$25</definedName>
    <definedName name="S_Ca">Components!$E$50</definedName>
    <definedName name="S_CAT">Components!$E$48</definedName>
    <definedName name="S_CAT_ini">'other parameters'!$D$46</definedName>
    <definedName name="S_CCOD">'Calculated variables'!$E$32</definedName>
    <definedName name="S_CH4">Components!$E$44</definedName>
    <definedName name="S_CO2">Components!$E$46</definedName>
    <definedName name="S_COD">'Calculated variables'!$E$31</definedName>
    <definedName name="S_Fe2">Components!$E$53</definedName>
    <definedName name="S_GCH4_bub_sat">'other parameters'!$D$19</definedName>
    <definedName name="S_GCH4_sur_sat">'other parameters'!$D$36</definedName>
    <definedName name="S_GCO2_bub_sat">'other parameters'!$D$18</definedName>
    <definedName name="S_GCO2_sur_sat">'other parameters'!$D$35</definedName>
    <definedName name="S_GH2_bub_sat">'other parameters'!$D$20</definedName>
    <definedName name="S_GH2_sur_sat">'other parameters'!$D$37</definedName>
    <definedName name="S_GH2S_bub_sat">'other parameters'!$D$16</definedName>
    <definedName name="S_GH2S_sur_sat">'other parameters'!$D$33</definedName>
    <definedName name="S_GN2_bub_sat">'other parameters'!$D$22</definedName>
    <definedName name="S_GN2_sur_sat">'other parameters'!$D$39</definedName>
    <definedName name="S_GNH3_bub_sat">'other parameters'!$D$21</definedName>
    <definedName name="S_GNH3_sur_sat">'other parameters'!$D$38</definedName>
    <definedName name="S_GO2_bub_sat">'other parameters'!$D$17</definedName>
    <definedName name="S_GO2_sur_sat">'other parameters'!$D$34</definedName>
    <definedName name="S_H">Components!$E$77</definedName>
    <definedName name="S_H2">Components!$E$45</definedName>
    <definedName name="S_K">Components!$E$52</definedName>
    <definedName name="S_KN">'Calculated variables'!$E$40</definedName>
    <definedName name="s_lh_diff_α">Parameters!$D$453</definedName>
    <definedName name="S_lopeIS_corr">Parameters!$D$485</definedName>
    <definedName name="s_lORP_GAO_Half_T">'Calculated variables'!$E$95</definedName>
    <definedName name="s_lTSS_α_coarse">Parameters!$D$455</definedName>
    <definedName name="s_lTSS_α_def">Parameters!$D$454</definedName>
    <definedName name="S_MEOL">Components!$E$7</definedName>
    <definedName name="S_Mg">Components!$E$51</definedName>
    <definedName name="S_N_B">Components!$E$33</definedName>
    <definedName name="S_N2">Components!$E$32</definedName>
    <definedName name="S_NHx">Components!$E$29</definedName>
    <definedName name="S_NO2">Components!$E$30</definedName>
    <definedName name="S_NO3">Components!$E$31</definedName>
    <definedName name="S_NOx">'Calculated variables'!$E$42</definedName>
    <definedName name="S_O2">Components!$E$43</definedName>
    <definedName name="S_ORPswitch">Components!$E$79</definedName>
    <definedName name="S_P">'Calculated variables'!$E$45</definedName>
    <definedName name="S_P_B">Components!$E$39</definedName>
    <definedName name="S_PFOA">Components!$E$73</definedName>
    <definedName name="S_PFOS">Components!$E$75</definedName>
    <definedName name="S_PO4">Components!$E$37</definedName>
    <definedName name="S_rbCOD">'Calculated variables'!$E$7</definedName>
    <definedName name="S_U">Components!$E$11</definedName>
    <definedName name="S_U_N">'Calculated variables'!$E$41</definedName>
    <definedName name="S_umo__pHEffects">'other parameters'!$D$52</definedName>
    <definedName name="S_VFA">Components!$E$4</definedName>
    <definedName name="T__">'Calculated variables'!$E$761</definedName>
    <definedName name="T_Al">'Calculated variables'!$E$49</definedName>
    <definedName name="T_base">Parameters!$D$332</definedName>
    <definedName name="T_BOD_5">'Calculated variables'!$E$30</definedName>
    <definedName name="T_BOD_ult">'Calculated variables'!$E$27</definedName>
    <definedName name="T_Ca">'Calculated variables'!$E$50</definedName>
    <definedName name="T_COD">'Calculated variables'!$E$33</definedName>
    <definedName name="T_COD_Th">'Calculated variables'!$E$34</definedName>
    <definedName name="T_Fe">'Calculated variables'!$E$48</definedName>
    <definedName name="T_IN">'Calculated variables'!$E$37</definedName>
    <definedName name="T_K">'Calculated variables'!$E$760</definedName>
    <definedName name="T_KN">'Calculated variables'!$E$35</definedName>
    <definedName name="T_KN_B">'Calculated variables'!$E$36</definedName>
    <definedName name="T_Mg">'Calculated variables'!$E$51</definedName>
    <definedName name="T_N">'Calculated variables'!$E$38</definedName>
    <definedName name="T_NTP_K">systemcode_constants!$D$68</definedName>
    <definedName name="T_OC">'Calculated variables'!$E$57</definedName>
    <definedName name="T_P">'Calculated variables'!$E$43</definedName>
    <definedName name="T_PFOA">'Calculated variables'!$E$60</definedName>
    <definedName name="T_PFOS">'Calculated variables'!$E$61</definedName>
    <definedName name="T_st_K">systemcode_constants!$D$67</definedName>
    <definedName name="T_STP_K">systemcode_constants!$D$69</definedName>
    <definedName name="v_1_CB">Model!$I$134</definedName>
    <definedName name="v_1_CU">Model!$M$134</definedName>
    <definedName name="v_1_GCH4">Model!$CD$134</definedName>
    <definedName name="v_1_GCH4_atm">Model!$CJ$134</definedName>
    <definedName name="v_1_GCO2">Model!$CC$134</definedName>
    <definedName name="v_1_GCO2_atm">Model!$CI$134</definedName>
    <definedName name="v_1_GH2">Model!$CE$134</definedName>
    <definedName name="v_1_GH2_atm">Model!$CK$134</definedName>
    <definedName name="v_1_GN2">Model!$CH$134</definedName>
    <definedName name="v_1_GN2_atm">Model!$CN$134</definedName>
    <definedName name="v_1_GNH3">Model!$CG$134</definedName>
    <definedName name="v_1_GNH3_atm">Model!$CM$134</definedName>
    <definedName name="v_1_GO2">Model!$CF$134</definedName>
    <definedName name="v_1_GO2_atm">Model!$CL$134</definedName>
    <definedName name="v_1_SALPHA">Model!$CA$134</definedName>
    <definedName name="v_1_SAN">Model!$AX$134</definedName>
    <definedName name="v_1_SB_mono">Model!$F$134</definedName>
    <definedName name="v_1_SB_poly">Model!$G$134</definedName>
    <definedName name="v_1_SCa">Model!$AY$134</definedName>
    <definedName name="v_1_SCAT">Model!$AW$134</definedName>
    <definedName name="v_1_SCH4">Model!$AS$134</definedName>
    <definedName name="v_1_SCO2">Model!$AU$134</definedName>
    <definedName name="v_1_SFe2">Model!$BB$134</definedName>
    <definedName name="v_1_SH">Model!$BZ$134</definedName>
    <definedName name="v_1_SH2">Model!$AT$134</definedName>
    <definedName name="v_1_SK">Model!$BA$134</definedName>
    <definedName name="v_1_SMEOL">Model!$H$134</definedName>
    <definedName name="v_1_SMg">Model!$AZ$134</definedName>
    <definedName name="v_1_SN_B">Model!$AH$134</definedName>
    <definedName name="v_1_SN2">Model!$AG$134</definedName>
    <definedName name="v_1_SNHx">Model!$AD$134</definedName>
    <definedName name="v_1_SNO2">Model!$AE$134</definedName>
    <definedName name="v_1_SNO3">Model!$AF$134</definedName>
    <definedName name="v_1_SO2">Model!$AR$134</definedName>
    <definedName name="v_1_SORPswitch">Model!$CB$134</definedName>
    <definedName name="v_1_SP_B">Model!$AN$134</definedName>
    <definedName name="v_1_SPFOA">Model!$BV$134</definedName>
    <definedName name="v_1_SPFOS">Model!$BX$134</definedName>
    <definedName name="v_1_SPO4">Model!$AL$134</definedName>
    <definedName name="v_1_SU">Model!$L$134</definedName>
    <definedName name="v_1_SVFA">Model!$E$134</definedName>
    <definedName name="v_1_XACP">Model!$BR$134</definedName>
    <definedName name="v_1_XAHO">Model!$U$134</definedName>
    <definedName name="v_1_XALGAE">Model!$AC$134</definedName>
    <definedName name="v_1_XAMETO">Model!$AA$134</definedName>
    <definedName name="v_1_XAMX">Model!$Z$134</definedName>
    <definedName name="v_1_XAOB">Model!$X$134</definedName>
    <definedName name="v_1_XB">Model!$J$134</definedName>
    <definedName name="v_1_XB_e">Model!$K$134</definedName>
    <definedName name="v_1_XBSH">Model!$BS$134</definedName>
    <definedName name="v_1_XCaCO3">Model!$BQ$134</definedName>
    <definedName name="v_1_XCASTO">Model!$V$134</definedName>
    <definedName name="v_1_XE">Model!$R$134</definedName>
    <definedName name="v_1_XE_ana">Model!$S$134</definedName>
    <definedName name="v_1_XHAO_H">Model!$BJ$134</definedName>
    <definedName name="v_1_XHAO_H_P">Model!$BM$134</definedName>
    <definedName name="v_1_XHAO_H_P_old">Model!$BO$134</definedName>
    <definedName name="v_1_XHAO_L">Model!$BK$134</definedName>
    <definedName name="v_1_XHAO_L_P">Model!$BN$134</definedName>
    <definedName name="v_1_XHAO_L_P_old">Model!$BP$134</definedName>
    <definedName name="v_1_XHAO_old">Model!$BL$134</definedName>
    <definedName name="v_1_XHFO_H">Model!$BC$134</definedName>
    <definedName name="v_1_XHFO_H_P">Model!$BF$134</definedName>
    <definedName name="v_1_XHFO_H_P_old">Model!$BH$134</definedName>
    <definedName name="v_1_XHFO_L">Model!$BD$134</definedName>
    <definedName name="v_1_XHFO_L_P">Model!$BG$134</definedName>
    <definedName name="v_1_XHFO_L_P_old">Model!$BI$134</definedName>
    <definedName name="v_1_XHFO_old">Model!$BE$134</definedName>
    <definedName name="v_1_XHMETO">Model!$AB$134</definedName>
    <definedName name="v_1_XINORG">Model!$AV$134</definedName>
    <definedName name="v_1_XMEOLO">Model!$W$134</definedName>
    <definedName name="v_1_XN_B">Model!$AI$134</definedName>
    <definedName name="v_1_XN_Be">Model!$AJ$134</definedName>
    <definedName name="v_1_XN_U">Model!$AK$134</definedName>
    <definedName name="v_1_XNOB">Model!$Y$134</definedName>
    <definedName name="v_1_XOHO">Model!$T$134</definedName>
    <definedName name="v_1_XP_B">Model!$AO$134</definedName>
    <definedName name="v_1_XP_Be">Model!$AP$134</definedName>
    <definedName name="v_1_XP_U">Model!$AQ$134</definedName>
    <definedName name="v_1_XPFOA">Model!$BW$134</definedName>
    <definedName name="v_1_XPFOS">Model!$BY$134</definedName>
    <definedName name="v_1_XPHA_GAO">Model!$Q$134</definedName>
    <definedName name="v_1_XPHA_PAO">Model!$P$134</definedName>
    <definedName name="v_1_XPP">Model!$AM$134</definedName>
    <definedName name="v_1_XSTO">Model!$O$134</definedName>
    <definedName name="v_1_XSTR">Model!$BT$134</definedName>
    <definedName name="v_1_XU">Model!$N$134</definedName>
    <definedName name="v_1_XVivi">Model!$BU$134</definedName>
    <definedName name="v_10_CB">Model!$I$143</definedName>
    <definedName name="v_10_CU">Model!$M$143</definedName>
    <definedName name="v_10_GCH4">Model!$CD$143</definedName>
    <definedName name="v_10_GCH4_atm">Model!$CJ$143</definedName>
    <definedName name="v_10_GCO2">Model!$CC$143</definedName>
    <definedName name="v_10_GCO2_atm">Model!$CI$143</definedName>
    <definedName name="v_10_GH2">Model!$CE$143</definedName>
    <definedName name="v_10_GH2_atm">Model!$CK$143</definedName>
    <definedName name="v_10_GN2">Model!$CH$143</definedName>
    <definedName name="v_10_GN2_atm">Model!$CN$143</definedName>
    <definedName name="v_10_GNH3">Model!$CG$143</definedName>
    <definedName name="v_10_GNH3_atm">Model!$CM$143</definedName>
    <definedName name="v_10_GO2">Model!$CF$143</definedName>
    <definedName name="v_10_GO2_atm">Model!$CL$143</definedName>
    <definedName name="v_10_SALPHA">Model!$CA$143</definedName>
    <definedName name="v_10_SAN">Model!$AX$143</definedName>
    <definedName name="v_10_SB_mono">Model!$F$143</definedName>
    <definedName name="v_10_SB_poly">Model!$G$143</definedName>
    <definedName name="v_10_SCa">Model!$AY$143</definedName>
    <definedName name="v_10_SCAT">Model!$AW$143</definedName>
    <definedName name="v_10_SCH4">Model!$AS$143</definedName>
    <definedName name="v_10_SCO2">Model!$AU$143</definedName>
    <definedName name="v_10_SFe2">Model!$BB$143</definedName>
    <definedName name="v_10_SH">Model!$BZ$143</definedName>
    <definedName name="v_10_SH2">Model!$AT$143</definedName>
    <definedName name="v_10_SK">Model!$BA$143</definedName>
    <definedName name="v_10_SMEOL">Model!$H$143</definedName>
    <definedName name="v_10_SMg">Model!$AZ$143</definedName>
    <definedName name="v_10_SN_B">Model!$AH$143</definedName>
    <definedName name="v_10_SN2">Model!$AG$143</definedName>
    <definedName name="v_10_SNHx">Model!$AD$143</definedName>
    <definedName name="v_10_SNO2">Model!$AE$143</definedName>
    <definedName name="v_10_SNO3">Model!$AF$143</definedName>
    <definedName name="v_10_SO2">Model!$AR$143</definedName>
    <definedName name="v_10_SORPswitch">Model!$CB$143</definedName>
    <definedName name="v_10_SP_B">Model!$AN$143</definedName>
    <definedName name="v_10_SPFOA">Model!$BV$143</definedName>
    <definedName name="v_10_SPFOS">Model!$BX$143</definedName>
    <definedName name="v_10_SPO4">Model!$AL$143</definedName>
    <definedName name="v_10_SU">Model!$L$143</definedName>
    <definedName name="v_10_SVFA">Model!$E$143</definedName>
    <definedName name="v_10_XACP">Model!$BR$143</definedName>
    <definedName name="v_10_XAHO">Model!$U$143</definedName>
    <definedName name="v_10_XALGAE">Model!$AC$143</definedName>
    <definedName name="v_10_XAMETO">Model!$AA$143</definedName>
    <definedName name="v_10_XAMX">Model!$Z$143</definedName>
    <definedName name="v_10_XAOB">Model!$X$143</definedName>
    <definedName name="v_10_XB">Model!$J$143</definedName>
    <definedName name="v_10_XB_e">Model!$K$143</definedName>
    <definedName name="v_10_XBSH">Model!$BS$143</definedName>
    <definedName name="v_10_XCaCO3">Model!$BQ$143</definedName>
    <definedName name="v_10_XCASTO">Model!$V$143</definedName>
    <definedName name="v_10_XE">Model!$R$143</definedName>
    <definedName name="v_10_XE_ana">Model!$S$143</definedName>
    <definedName name="v_10_XHAO_H">Model!$BJ$143</definedName>
    <definedName name="v_10_XHAO_H_P">Model!$BM$143</definedName>
    <definedName name="v_10_XHAO_H_P_old">Model!$BO$143</definedName>
    <definedName name="v_10_XHAO_L">Model!$BK$143</definedName>
    <definedName name="v_10_XHAO_L_P">Model!$BN$143</definedName>
    <definedName name="v_10_XHAO_L_P_old">Model!$BP$143</definedName>
    <definedName name="v_10_XHAO_old">Model!$BL$143</definedName>
    <definedName name="v_10_XHFO_H">Model!$BC$143</definedName>
    <definedName name="v_10_XHFO_H_P">Model!$BF$143</definedName>
    <definedName name="v_10_XHFO_H_P_old">Model!$BH$143</definedName>
    <definedName name="v_10_XHFO_L">Model!$BD$143</definedName>
    <definedName name="v_10_XHFO_L_P">Model!$BG$143</definedName>
    <definedName name="v_10_XHFO_L_P_old">Model!$BI$143</definedName>
    <definedName name="v_10_XHFO_old">Model!$BE$143</definedName>
    <definedName name="v_10_XHMETO">Model!$AB$143</definedName>
    <definedName name="v_10_XINORG">Model!$AV$143</definedName>
    <definedName name="v_10_XMEOLO">Model!$W$143</definedName>
    <definedName name="v_10_XN_B">Model!$AI$143</definedName>
    <definedName name="v_10_XN_Be">Model!$AJ$143</definedName>
    <definedName name="v_10_XN_U">Model!$AK$143</definedName>
    <definedName name="v_10_XNOB">Model!$Y$143</definedName>
    <definedName name="v_10_XOHO">Model!$T$143</definedName>
    <definedName name="v_10_XP_B">Model!$AO$143</definedName>
    <definedName name="v_10_XP_Be">Model!$AP$143</definedName>
    <definedName name="v_10_XP_U">Model!$AQ$143</definedName>
    <definedName name="v_10_XPFOA">Model!$BW$143</definedName>
    <definedName name="v_10_XPFOS">Model!$BY$143</definedName>
    <definedName name="v_10_XPHA_GAO">Model!$Q$143</definedName>
    <definedName name="v_10_XPHA_PAO">Model!$P$143</definedName>
    <definedName name="v_10_XPP">Model!$AM$143</definedName>
    <definedName name="v_10_XSTO">Model!$O$143</definedName>
    <definedName name="v_10_XSTR">Model!$BT$143</definedName>
    <definedName name="v_10_XU">Model!$N$143</definedName>
    <definedName name="v_10_XVivi">Model!$BU$143</definedName>
    <definedName name="v_100_CB">Model!$I$233</definedName>
    <definedName name="v_100_CU">Model!$M$233</definedName>
    <definedName name="v_100_GCH4">Model!$CD$233</definedName>
    <definedName name="v_100_GCH4_atm">Model!$CJ$233</definedName>
    <definedName name="v_100_GCO2">Model!$CC$233</definedName>
    <definedName name="v_100_GCO2_atm">Model!$CI$233</definedName>
    <definedName name="v_100_GH2">Model!$CE$233</definedName>
    <definedName name="v_100_GH2_atm">Model!$CK$233</definedName>
    <definedName name="v_100_GN2">Model!$CH$233</definedName>
    <definedName name="v_100_GN2_atm">Model!$CN$233</definedName>
    <definedName name="v_100_GNH3">Model!$CG$233</definedName>
    <definedName name="v_100_GNH3_atm">Model!$CM$233</definedName>
    <definedName name="v_100_GO2">Model!$CF$233</definedName>
    <definedName name="v_100_GO2_atm">Model!$CL$233</definedName>
    <definedName name="v_100_SALPHA">Model!$CA$233</definedName>
    <definedName name="v_100_SAN">Model!$AX$233</definedName>
    <definedName name="v_100_SB_mono">Model!$F$233</definedName>
    <definedName name="v_100_SB_poly">Model!$G$233</definedName>
    <definedName name="v_100_SCa">Model!$AY$233</definedName>
    <definedName name="v_100_SCAT">Model!$AW$233</definedName>
    <definedName name="v_100_SCH4">Model!$AS$233</definedName>
    <definedName name="v_100_SCO2">Model!$AU$233</definedName>
    <definedName name="v_100_SFe2">Model!$BB$233</definedName>
    <definedName name="v_100_SH">Model!$BZ$233</definedName>
    <definedName name="v_100_SH2">Model!$AT$233</definedName>
    <definedName name="v_100_SK">Model!$BA$233</definedName>
    <definedName name="v_100_SMEOL">Model!$H$233</definedName>
    <definedName name="v_100_SMg">Model!$AZ$233</definedName>
    <definedName name="v_100_SN_B">Model!$AH$233</definedName>
    <definedName name="v_100_SN2">Model!$AG$233</definedName>
    <definedName name="v_100_SNHx">Model!$AD$233</definedName>
    <definedName name="v_100_SNO2">Model!$AE$233</definedName>
    <definedName name="v_100_SNO3">Model!$AF$233</definedName>
    <definedName name="v_100_SO2">Model!$AR$233</definedName>
    <definedName name="v_100_SORPswitch">Model!$CB$233</definedName>
    <definedName name="v_100_SP_B">Model!$AN$233</definedName>
    <definedName name="v_100_SPFOA">Model!$BV$233</definedName>
    <definedName name="v_100_SPFOS">Model!$BX$233</definedName>
    <definedName name="v_100_SPO4">Model!$AL$233</definedName>
    <definedName name="v_100_SU">Model!$L$233</definedName>
    <definedName name="v_100_SVFA">Model!$E$233</definedName>
    <definedName name="v_100_XACP">Model!$BR$233</definedName>
    <definedName name="v_100_XAHO">Model!$U$233</definedName>
    <definedName name="v_100_XALGAE">Model!$AC$233</definedName>
    <definedName name="v_100_XAMETO">Model!$AA$233</definedName>
    <definedName name="v_100_XAMX">Model!$Z$233</definedName>
    <definedName name="v_100_XAOB">Model!$X$233</definedName>
    <definedName name="v_100_XB">Model!$J$233</definedName>
    <definedName name="v_100_XB_e">Model!$K$233</definedName>
    <definedName name="v_100_XBSH">Model!$BS$233</definedName>
    <definedName name="v_100_XCaCO3">Model!$BQ$233</definedName>
    <definedName name="v_100_XCASTO">Model!$V$233</definedName>
    <definedName name="v_100_XE">Model!$R$233</definedName>
    <definedName name="v_100_XE_ana">Model!$S$233</definedName>
    <definedName name="v_100_XHAO_H">Model!$BJ$233</definedName>
    <definedName name="v_100_XHAO_H_P">Model!$BM$233</definedName>
    <definedName name="v_100_XHAO_H_P_old">Model!$BO$233</definedName>
    <definedName name="v_100_XHAO_L">Model!$BK$233</definedName>
    <definedName name="v_100_XHAO_L_P">Model!$BN$233</definedName>
    <definedName name="v_100_XHAO_L_P_old">Model!$BP$233</definedName>
    <definedName name="v_100_XHAO_old">Model!$BL$233</definedName>
    <definedName name="v_100_XHFO_H">Model!$BC$233</definedName>
    <definedName name="v_100_XHFO_H_P">Model!$BF$233</definedName>
    <definedName name="v_100_XHFO_H_P_old">Model!$BH$233</definedName>
    <definedName name="v_100_XHFO_L">Model!$BD$233</definedName>
    <definedName name="v_100_XHFO_L_P">Model!$BG$233</definedName>
    <definedName name="v_100_XHFO_L_P_old">Model!$BI$233</definedName>
    <definedName name="v_100_XHFO_old">Model!$BE$233</definedName>
    <definedName name="v_100_XHMETO">Model!$AB$233</definedName>
    <definedName name="v_100_XINORG">Model!$AV$233</definedName>
    <definedName name="v_100_XMEOLO">Model!$W$233</definedName>
    <definedName name="v_100_XN_B">Model!$AI$233</definedName>
    <definedName name="v_100_XN_Be">Model!$AJ$233</definedName>
    <definedName name="v_100_XN_U">Model!$AK$233</definedName>
    <definedName name="v_100_XNOB">Model!$Y$233</definedName>
    <definedName name="v_100_XOHO">Model!$T$233</definedName>
    <definedName name="v_100_XP_B">Model!$AO$233</definedName>
    <definedName name="v_100_XP_Be">Model!$AP$233</definedName>
    <definedName name="v_100_XP_U">Model!$AQ$233</definedName>
    <definedName name="v_100_XPFOA">Model!$BW$233</definedName>
    <definedName name="v_100_XPFOS">Model!$BY$233</definedName>
    <definedName name="v_100_XPHA_GAO">Model!$Q$233</definedName>
    <definedName name="v_100_XPHA_PAO">Model!$P$233</definedName>
    <definedName name="v_100_XPP">Model!$AM$233</definedName>
    <definedName name="v_100_XSTO">Model!$O$233</definedName>
    <definedName name="v_100_XSTR">Model!$BT$233</definedName>
    <definedName name="v_100_XU">Model!$N$233</definedName>
    <definedName name="v_100_XVivi">Model!$BU$233</definedName>
    <definedName name="v_101_CB">Model!$I$234</definedName>
    <definedName name="v_101_CU">Model!$M$234</definedName>
    <definedName name="v_101_GCH4">Model!$CD$234</definedName>
    <definedName name="v_101_GCH4_atm">Model!$CJ$234</definedName>
    <definedName name="v_101_GCO2">Model!$CC$234</definedName>
    <definedName name="v_101_GCO2_atm">Model!$CI$234</definedName>
    <definedName name="v_101_GH2">Model!$CE$234</definedName>
    <definedName name="v_101_GH2_atm">Model!$CK$234</definedName>
    <definedName name="v_101_GN2">Model!$CH$234</definedName>
    <definedName name="v_101_GN2_atm">Model!$CN$234</definedName>
    <definedName name="v_101_GNH3">Model!$CG$234</definedName>
    <definedName name="v_101_GNH3_atm">Model!$CM$234</definedName>
    <definedName name="v_101_GO2">Model!$CF$234</definedName>
    <definedName name="v_101_GO2_atm">Model!$CL$234</definedName>
    <definedName name="v_101_SALPHA">Model!$CA$234</definedName>
    <definedName name="v_101_SAN">Model!$AX$234</definedName>
    <definedName name="v_101_SB_mono">Model!$F$234</definedName>
    <definedName name="v_101_SB_poly">Model!$G$234</definedName>
    <definedName name="v_101_SCa">Model!$AY$234</definedName>
    <definedName name="v_101_SCAT">Model!$AW$234</definedName>
    <definedName name="v_101_SCH4">Model!$AS$234</definedName>
    <definedName name="v_101_SCO2">Model!$AU$234</definedName>
    <definedName name="v_101_SFe2">Model!$BB$234</definedName>
    <definedName name="v_101_SH">Model!$BZ$234</definedName>
    <definedName name="v_101_SH2">Model!$AT$234</definedName>
    <definedName name="v_101_SK">Model!$BA$234</definedName>
    <definedName name="v_101_SMEOL">Model!$H$234</definedName>
    <definedName name="v_101_SMg">Model!$AZ$234</definedName>
    <definedName name="v_101_SN_B">Model!$AH$234</definedName>
    <definedName name="v_101_SN2">Model!$AG$234</definedName>
    <definedName name="v_101_SNHx">Model!$AD$234</definedName>
    <definedName name="v_101_SNO2">Model!$AE$234</definedName>
    <definedName name="v_101_SNO3">Model!$AF$234</definedName>
    <definedName name="v_101_SO2">Model!$AR$234</definedName>
    <definedName name="v_101_SORPswitch">Model!$CB$234</definedName>
    <definedName name="v_101_SP_B">Model!$AN$234</definedName>
    <definedName name="v_101_SPFOA">Model!$BV$234</definedName>
    <definedName name="v_101_SPFOS">Model!$BX$234</definedName>
    <definedName name="v_101_SPO4">Model!$AL$234</definedName>
    <definedName name="v_101_SU">Model!$L$234</definedName>
    <definedName name="v_101_SVFA">Model!$E$234</definedName>
    <definedName name="v_101_XACP">Model!$BR$234</definedName>
    <definedName name="v_101_XAHO">Model!$U$234</definedName>
    <definedName name="v_101_XALGAE">Model!$AC$234</definedName>
    <definedName name="v_101_XAMETO">Model!$AA$234</definedName>
    <definedName name="v_101_XAMX">Model!$Z$234</definedName>
    <definedName name="v_101_XAOB">Model!$X$234</definedName>
    <definedName name="v_101_XB">Model!$J$234</definedName>
    <definedName name="v_101_XB_e">Model!$K$234</definedName>
    <definedName name="v_101_XBSH">Model!$BS$234</definedName>
    <definedName name="v_101_XCaCO3">Model!$BQ$234</definedName>
    <definedName name="v_101_XCASTO">Model!$V$234</definedName>
    <definedName name="v_101_XE">Model!$R$234</definedName>
    <definedName name="v_101_XE_ana">Model!$S$234</definedName>
    <definedName name="v_101_XHAO_H">Model!$BJ$234</definedName>
    <definedName name="v_101_XHAO_H_P">Model!$BM$234</definedName>
    <definedName name="v_101_XHAO_H_P_old">Model!$BO$234</definedName>
    <definedName name="v_101_XHAO_L">Model!$BK$234</definedName>
    <definedName name="v_101_XHAO_L_P">Model!$BN$234</definedName>
    <definedName name="v_101_XHAO_L_P_old">Model!$BP$234</definedName>
    <definedName name="v_101_XHAO_old">Model!$BL$234</definedName>
    <definedName name="v_101_XHFO_H">Model!$BC$234</definedName>
    <definedName name="v_101_XHFO_H_P">Model!$BF$234</definedName>
    <definedName name="v_101_XHFO_H_P_old">Model!$BH$234</definedName>
    <definedName name="v_101_XHFO_L">Model!$BD$234</definedName>
    <definedName name="v_101_XHFO_L_P">Model!$BG$234</definedName>
    <definedName name="v_101_XHFO_L_P_old">Model!$BI$234</definedName>
    <definedName name="v_101_XHFO_old">Model!$BE$234</definedName>
    <definedName name="v_101_XHMETO">Model!$AB$234</definedName>
    <definedName name="v_101_XINORG">Model!$AV$234</definedName>
    <definedName name="v_101_XMEOLO">Model!$W$234</definedName>
    <definedName name="v_101_XN_B">Model!$AI$234</definedName>
    <definedName name="v_101_XN_Be">Model!$AJ$234</definedName>
    <definedName name="v_101_XN_U">Model!$AK$234</definedName>
    <definedName name="v_101_XNOB">Model!$Y$234</definedName>
    <definedName name="v_101_XOHO">Model!$T$234</definedName>
    <definedName name="v_101_XP_B">Model!$AO$234</definedName>
    <definedName name="v_101_XP_Be">Model!$AP$234</definedName>
    <definedName name="v_101_XP_U">Model!$AQ$234</definedName>
    <definedName name="v_101_XPFOA">Model!$BW$234</definedName>
    <definedName name="v_101_XPFOS">Model!$BY$234</definedName>
    <definedName name="v_101_XPHA_GAO">Model!$Q$234</definedName>
    <definedName name="v_101_XPHA_PAO">Model!$P$234</definedName>
    <definedName name="v_101_XPP">Model!$AM$234</definedName>
    <definedName name="v_101_XSTO">Model!$O$234</definedName>
    <definedName name="v_101_XSTR">Model!$BT$234</definedName>
    <definedName name="v_101_XU">Model!$N$234</definedName>
    <definedName name="v_101_XVivi">Model!$BU$234</definedName>
    <definedName name="v_102_CB">Model!$I$235</definedName>
    <definedName name="v_102_CU">Model!$M$235</definedName>
    <definedName name="v_102_GCH4">Model!$CD$235</definedName>
    <definedName name="v_102_GCH4_atm">Model!$CJ$235</definedName>
    <definedName name="v_102_GCO2">Model!$CC$235</definedName>
    <definedName name="v_102_GCO2_atm">Model!$CI$235</definedName>
    <definedName name="v_102_GH2">Model!$CE$235</definedName>
    <definedName name="v_102_GH2_atm">Model!$CK$235</definedName>
    <definedName name="v_102_GN2">Model!$CH$235</definedName>
    <definedName name="v_102_GN2_atm">Model!$CN$235</definedName>
    <definedName name="v_102_GNH3">Model!$CG$235</definedName>
    <definedName name="v_102_GNH3_atm">Model!$CM$235</definedName>
    <definedName name="v_102_GO2">Model!$CF$235</definedName>
    <definedName name="v_102_GO2_atm">Model!$CL$235</definedName>
    <definedName name="v_102_SALPHA">Model!$CA$235</definedName>
    <definedName name="v_102_SAN">Model!$AX$235</definedName>
    <definedName name="v_102_SB_mono">Model!$F$235</definedName>
    <definedName name="v_102_SB_poly">Model!$G$235</definedName>
    <definedName name="v_102_SCa">Model!$AY$235</definedName>
    <definedName name="v_102_SCAT">Model!$AW$235</definedName>
    <definedName name="v_102_SCH4">Model!$AS$235</definedName>
    <definedName name="v_102_SCO2">Model!$AU$235</definedName>
    <definedName name="v_102_SFe2">Model!$BB$235</definedName>
    <definedName name="v_102_SH">Model!$BZ$235</definedName>
    <definedName name="v_102_SH2">Model!$AT$235</definedName>
    <definedName name="v_102_SK">Model!$BA$235</definedName>
    <definedName name="v_102_SMEOL">Model!$H$235</definedName>
    <definedName name="v_102_SMg">Model!$AZ$235</definedName>
    <definedName name="v_102_SN_B">Model!$AH$235</definedName>
    <definedName name="v_102_SN2">Model!$AG$235</definedName>
    <definedName name="v_102_SNHx">Model!$AD$235</definedName>
    <definedName name="v_102_SNO2">Model!$AE$235</definedName>
    <definedName name="v_102_SNO3">Model!$AF$235</definedName>
    <definedName name="v_102_SO2">Model!$AR$235</definedName>
    <definedName name="v_102_SORPswitch">Model!$CB$235</definedName>
    <definedName name="v_102_SP_B">Model!$AN$235</definedName>
    <definedName name="v_102_SPFOA">Model!$BV$235</definedName>
    <definedName name="v_102_SPFOS">Model!$BX$235</definedName>
    <definedName name="v_102_SPO4">Model!$AL$235</definedName>
    <definedName name="v_102_SU">Model!$L$235</definedName>
    <definedName name="v_102_SVFA">Model!$E$235</definedName>
    <definedName name="v_102_XACP">Model!$BR$235</definedName>
    <definedName name="v_102_XAHO">Model!$U$235</definedName>
    <definedName name="v_102_XALGAE">Model!$AC$235</definedName>
    <definedName name="v_102_XAMETO">Model!$AA$235</definedName>
    <definedName name="v_102_XAMX">Model!$Z$235</definedName>
    <definedName name="v_102_XAOB">Model!$X$235</definedName>
    <definedName name="v_102_XB">Model!$J$235</definedName>
    <definedName name="v_102_XB_e">Model!$K$235</definedName>
    <definedName name="v_102_XBSH">Model!$BS$235</definedName>
    <definedName name="v_102_XCaCO3">Model!$BQ$235</definedName>
    <definedName name="v_102_XCASTO">Model!$V$235</definedName>
    <definedName name="v_102_XE">Model!$R$235</definedName>
    <definedName name="v_102_XE_ana">Model!$S$235</definedName>
    <definedName name="v_102_XHAO_H">Model!$BJ$235</definedName>
    <definedName name="v_102_XHAO_H_P">Model!$BM$235</definedName>
    <definedName name="v_102_XHAO_H_P_old">Model!$BO$235</definedName>
    <definedName name="v_102_XHAO_L">Model!$BK$235</definedName>
    <definedName name="v_102_XHAO_L_P">Model!$BN$235</definedName>
    <definedName name="v_102_XHAO_L_P_old">Model!$BP$235</definedName>
    <definedName name="v_102_XHAO_old">Model!$BL$235</definedName>
    <definedName name="v_102_XHFO_H">Model!$BC$235</definedName>
    <definedName name="v_102_XHFO_H_P">Model!$BF$235</definedName>
    <definedName name="v_102_XHFO_H_P_old">Model!$BH$235</definedName>
    <definedName name="v_102_XHFO_L">Model!$BD$235</definedName>
    <definedName name="v_102_XHFO_L_P">Model!$BG$235</definedName>
    <definedName name="v_102_XHFO_L_P_old">Model!$BI$235</definedName>
    <definedName name="v_102_XHFO_old">Model!$BE$235</definedName>
    <definedName name="v_102_XHMETO">Model!$AB$235</definedName>
    <definedName name="v_102_XINORG">Model!$AV$235</definedName>
    <definedName name="v_102_XMEOLO">Model!$W$235</definedName>
    <definedName name="v_102_XN_B">Model!$AI$235</definedName>
    <definedName name="v_102_XN_Be">Model!$AJ$235</definedName>
    <definedName name="v_102_XN_U">Model!$AK$235</definedName>
    <definedName name="v_102_XNOB">Model!$Y$235</definedName>
    <definedName name="v_102_XOHO">Model!$T$235</definedName>
    <definedName name="v_102_XP_B">Model!$AO$235</definedName>
    <definedName name="v_102_XP_Be">Model!$AP$235</definedName>
    <definedName name="v_102_XP_U">Model!$AQ$235</definedName>
    <definedName name="v_102_XPFOA">Model!$BW$235</definedName>
    <definedName name="v_102_XPFOS">Model!$BY$235</definedName>
    <definedName name="v_102_XPHA_GAO">Model!$Q$235</definedName>
    <definedName name="v_102_XPHA_PAO">Model!$P$235</definedName>
    <definedName name="v_102_XPP">Model!$AM$235</definedName>
    <definedName name="v_102_XSTO">Model!$O$235</definedName>
    <definedName name="v_102_XSTR">Model!$BT$235</definedName>
    <definedName name="v_102_XU">Model!$N$235</definedName>
    <definedName name="v_102_XVivi">Model!$BU$235</definedName>
    <definedName name="v_103_CB">Model!$I$236</definedName>
    <definedName name="v_103_CU">Model!$M$236</definedName>
    <definedName name="v_103_GCH4">Model!$CD$236</definedName>
    <definedName name="v_103_GCH4_atm">Model!$CJ$236</definedName>
    <definedName name="v_103_GCO2">Model!$CC$236</definedName>
    <definedName name="v_103_GCO2_atm">Model!$CI$236</definedName>
    <definedName name="v_103_GH2">Model!$CE$236</definedName>
    <definedName name="v_103_GH2_atm">Model!$CK$236</definedName>
    <definedName name="v_103_GN2">Model!$CH$236</definedName>
    <definedName name="v_103_GN2_atm">Model!$CN$236</definedName>
    <definedName name="v_103_GNH3">Model!$CG$236</definedName>
    <definedName name="v_103_GNH3_atm">Model!$CM$236</definedName>
    <definedName name="v_103_GO2">Model!$CF$236</definedName>
    <definedName name="v_103_GO2_atm">Model!$CL$236</definedName>
    <definedName name="v_103_SALPHA">Model!$CA$236</definedName>
    <definedName name="v_103_SAN">Model!$AX$236</definedName>
    <definedName name="v_103_SB_mono">Model!$F$236</definedName>
    <definedName name="v_103_SB_poly">Model!$G$236</definedName>
    <definedName name="v_103_SCa">Model!$AY$236</definedName>
    <definedName name="v_103_SCAT">Model!$AW$236</definedName>
    <definedName name="v_103_SCH4">Model!$AS$236</definedName>
    <definedName name="v_103_SCO2">Model!$AU$236</definedName>
    <definedName name="v_103_SFe2">Model!$BB$236</definedName>
    <definedName name="v_103_SH">Model!$BZ$236</definedName>
    <definedName name="v_103_SH2">Model!$AT$236</definedName>
    <definedName name="v_103_SK">Model!$BA$236</definedName>
    <definedName name="v_103_SMEOL">Model!$H$236</definedName>
    <definedName name="v_103_SMg">Model!$AZ$236</definedName>
    <definedName name="v_103_SN_B">Model!$AH$236</definedName>
    <definedName name="v_103_SN2">Model!$AG$236</definedName>
    <definedName name="v_103_SNHx">Model!$AD$236</definedName>
    <definedName name="v_103_SNO2">Model!$AE$236</definedName>
    <definedName name="v_103_SNO3">Model!$AF$236</definedName>
    <definedName name="v_103_SO2">Model!$AR$236</definedName>
    <definedName name="v_103_SORPswitch">Model!$CB$236</definedName>
    <definedName name="v_103_SP_B">Model!$AN$236</definedName>
    <definedName name="v_103_SPFOA">Model!$BV$236</definedName>
    <definedName name="v_103_SPFOS">Model!$BX$236</definedName>
    <definedName name="v_103_SPO4">Model!$AL$236</definedName>
    <definedName name="v_103_SU">Model!$L$236</definedName>
    <definedName name="v_103_SVFA">Model!$E$236</definedName>
    <definedName name="v_103_XACP">Model!$BR$236</definedName>
    <definedName name="v_103_XAHO">Model!$U$236</definedName>
    <definedName name="v_103_XALGAE">Model!$AC$236</definedName>
    <definedName name="v_103_XAMETO">Model!$AA$236</definedName>
    <definedName name="v_103_XAMX">Model!$Z$236</definedName>
    <definedName name="v_103_XAOB">Model!$X$236</definedName>
    <definedName name="v_103_XB">Model!$J$236</definedName>
    <definedName name="v_103_XB_e">Model!$K$236</definedName>
    <definedName name="v_103_XBSH">Model!$BS$236</definedName>
    <definedName name="v_103_XCaCO3">Model!$BQ$236</definedName>
    <definedName name="v_103_XCASTO">Model!$V$236</definedName>
    <definedName name="v_103_XE">Model!$R$236</definedName>
    <definedName name="v_103_XE_ana">Model!$S$236</definedName>
    <definedName name="v_103_XHAO_H">Model!$BJ$236</definedName>
    <definedName name="v_103_XHAO_H_P">Model!$BM$236</definedName>
    <definedName name="v_103_XHAO_H_P_old">Model!$BO$236</definedName>
    <definedName name="v_103_XHAO_L">Model!$BK$236</definedName>
    <definedName name="v_103_XHAO_L_P">Model!$BN$236</definedName>
    <definedName name="v_103_XHAO_L_P_old">Model!$BP$236</definedName>
    <definedName name="v_103_XHAO_old">Model!$BL$236</definedName>
    <definedName name="v_103_XHFO_H">Model!$BC$236</definedName>
    <definedName name="v_103_XHFO_H_P">Model!$BF$236</definedName>
    <definedName name="v_103_XHFO_H_P_old">Model!$BH$236</definedName>
    <definedName name="v_103_XHFO_L">Model!$BD$236</definedName>
    <definedName name="v_103_XHFO_L_P">Model!$BG$236</definedName>
    <definedName name="v_103_XHFO_L_P_old">Model!$BI$236</definedName>
    <definedName name="v_103_XHFO_old">Model!$BE$236</definedName>
    <definedName name="v_103_XHMETO">Model!$AB$236</definedName>
    <definedName name="v_103_XINORG">Model!$AV$236</definedName>
    <definedName name="v_103_XMEOLO">Model!$W$236</definedName>
    <definedName name="v_103_XN_B">Model!$AI$236</definedName>
    <definedName name="v_103_XN_Be">Model!$AJ$236</definedName>
    <definedName name="v_103_XN_U">Model!$AK$236</definedName>
    <definedName name="v_103_XNOB">Model!$Y$236</definedName>
    <definedName name="v_103_XOHO">Model!$T$236</definedName>
    <definedName name="v_103_XP_B">Model!$AO$236</definedName>
    <definedName name="v_103_XP_Be">Model!$AP$236</definedName>
    <definedName name="v_103_XP_U">Model!$AQ$236</definedName>
    <definedName name="v_103_XPFOA">Model!$BW$236</definedName>
    <definedName name="v_103_XPFOS">Model!$BY$236</definedName>
    <definedName name="v_103_XPHA_GAO">Model!$Q$236</definedName>
    <definedName name="v_103_XPHA_PAO">Model!$P$236</definedName>
    <definedName name="v_103_XPP">Model!$AM$236</definedName>
    <definedName name="v_103_XSTO">Model!$O$236</definedName>
    <definedName name="v_103_XSTR">Model!$BT$236</definedName>
    <definedName name="v_103_XU">Model!$N$236</definedName>
    <definedName name="v_103_XVivi">Model!$BU$236</definedName>
    <definedName name="v_104_CB">Model!$I$237</definedName>
    <definedName name="v_104_CU">Model!$M$237</definedName>
    <definedName name="v_104_GCH4">Model!$CD$237</definedName>
    <definedName name="v_104_GCH4_atm">Model!$CJ$237</definedName>
    <definedName name="v_104_GCO2">Model!$CC$237</definedName>
    <definedName name="v_104_GCO2_atm">Model!$CI$237</definedName>
    <definedName name="v_104_GH2">Model!$CE$237</definedName>
    <definedName name="v_104_GH2_atm">Model!$CK$237</definedName>
    <definedName name="v_104_GN2">Model!$CH$237</definedName>
    <definedName name="v_104_GN2_atm">Model!$CN$237</definedName>
    <definedName name="v_104_GNH3">Model!$CG$237</definedName>
    <definedName name="v_104_GNH3_atm">Model!$CM$237</definedName>
    <definedName name="v_104_GO2">Model!$CF$237</definedName>
    <definedName name="v_104_GO2_atm">Model!$CL$237</definedName>
    <definedName name="v_104_SALPHA">Model!$CA$237</definedName>
    <definedName name="v_104_SAN">Model!$AX$237</definedName>
    <definedName name="v_104_SB_mono">Model!$F$237</definedName>
    <definedName name="v_104_SB_poly">Model!$G$237</definedName>
    <definedName name="v_104_SCa">Model!$AY$237</definedName>
    <definedName name="v_104_SCAT">Model!$AW$237</definedName>
    <definedName name="v_104_SCH4">Model!$AS$237</definedName>
    <definedName name="v_104_SCO2">Model!$AU$237</definedName>
    <definedName name="v_104_SFe2">Model!$BB$237</definedName>
    <definedName name="v_104_SH">Model!$BZ$237</definedName>
    <definedName name="v_104_SH2">Model!$AT$237</definedName>
    <definedName name="v_104_SK">Model!$BA$237</definedName>
    <definedName name="v_104_SMEOL">Model!$H$237</definedName>
    <definedName name="v_104_SMg">Model!$AZ$237</definedName>
    <definedName name="v_104_SN_B">Model!$AH$237</definedName>
    <definedName name="v_104_SN2">Model!$AG$237</definedName>
    <definedName name="v_104_SNHx">Model!$AD$237</definedName>
    <definedName name="v_104_SNO2">Model!$AE$237</definedName>
    <definedName name="v_104_SNO3">Model!$AF$237</definedName>
    <definedName name="v_104_SO2">Model!$AR$237</definedName>
    <definedName name="v_104_SORPswitch">Model!$CB$237</definedName>
    <definedName name="v_104_SP_B">Model!$AN$237</definedName>
    <definedName name="v_104_SPFOA">Model!$BV$237</definedName>
    <definedName name="v_104_SPFOS">Model!$BX$237</definedName>
    <definedName name="v_104_SPO4">Model!$AL$237</definedName>
    <definedName name="v_104_SU">Model!$L$237</definedName>
    <definedName name="v_104_SVFA">Model!$E$237</definedName>
    <definedName name="v_104_XACP">Model!$BR$237</definedName>
    <definedName name="v_104_XAHO">Model!$U$237</definedName>
    <definedName name="v_104_XALGAE">Model!$AC$237</definedName>
    <definedName name="v_104_XAMETO">Model!$AA$237</definedName>
    <definedName name="v_104_XAMX">Model!$Z$237</definedName>
    <definedName name="v_104_XAOB">Model!$X$237</definedName>
    <definedName name="v_104_XB">Model!$J$237</definedName>
    <definedName name="v_104_XB_e">Model!$K$237</definedName>
    <definedName name="v_104_XBSH">Model!$BS$237</definedName>
    <definedName name="v_104_XCaCO3">Model!$BQ$237</definedName>
    <definedName name="v_104_XCASTO">Model!$V$237</definedName>
    <definedName name="v_104_XE">Model!$R$237</definedName>
    <definedName name="v_104_XE_ana">Model!$S$237</definedName>
    <definedName name="v_104_XHAO_H">Model!$BJ$237</definedName>
    <definedName name="v_104_XHAO_H_P">Model!$BM$237</definedName>
    <definedName name="v_104_XHAO_H_P_old">Model!$BO$237</definedName>
    <definedName name="v_104_XHAO_L">Model!$BK$237</definedName>
    <definedName name="v_104_XHAO_L_P">Model!$BN$237</definedName>
    <definedName name="v_104_XHAO_L_P_old">Model!$BP$237</definedName>
    <definedName name="v_104_XHAO_old">Model!$BL$237</definedName>
    <definedName name="v_104_XHFO_H">Model!$BC$237</definedName>
    <definedName name="v_104_XHFO_H_P">Model!$BF$237</definedName>
    <definedName name="v_104_XHFO_H_P_old">Model!$BH$237</definedName>
    <definedName name="v_104_XHFO_L">Model!$BD$237</definedName>
    <definedName name="v_104_XHFO_L_P">Model!$BG$237</definedName>
    <definedName name="v_104_XHFO_L_P_old">Model!$BI$237</definedName>
    <definedName name="v_104_XHFO_old">Model!$BE$237</definedName>
    <definedName name="v_104_XHMETO">Model!$AB$237</definedName>
    <definedName name="v_104_XINORG">Model!$AV$237</definedName>
    <definedName name="v_104_XMEOLO">Model!$W$237</definedName>
    <definedName name="v_104_XN_B">Model!$AI$237</definedName>
    <definedName name="v_104_XN_Be">Model!$AJ$237</definedName>
    <definedName name="v_104_XN_U">Model!$AK$237</definedName>
    <definedName name="v_104_XNOB">Model!$Y$237</definedName>
    <definedName name="v_104_XOHO">Model!$T$237</definedName>
    <definedName name="v_104_XP_B">Model!$AO$237</definedName>
    <definedName name="v_104_XP_Be">Model!$AP$237</definedName>
    <definedName name="v_104_XP_U">Model!$AQ$237</definedName>
    <definedName name="v_104_XPFOA">Model!$BW$237</definedName>
    <definedName name="v_104_XPFOS">Model!$BY$237</definedName>
    <definedName name="v_104_XPHA_GAO">Model!$Q$237</definedName>
    <definedName name="v_104_XPHA_PAO">Model!$P$237</definedName>
    <definedName name="v_104_XPP">Model!$AM$237</definedName>
    <definedName name="v_104_XSTO">Model!$O$237</definedName>
    <definedName name="v_104_XSTR">Model!$BT$237</definedName>
    <definedName name="v_104_XU">Model!$N$237</definedName>
    <definedName name="v_104_XVivi">Model!$BU$237</definedName>
    <definedName name="v_105_CB">Model!$I$238</definedName>
    <definedName name="v_105_CU">Model!$M$238</definedName>
    <definedName name="v_105_GCH4">Model!$CD$238</definedName>
    <definedName name="v_105_GCH4_atm">Model!$CJ$238</definedName>
    <definedName name="v_105_GCO2">Model!$CC$238</definedName>
    <definedName name="v_105_GCO2_atm">Model!$CI$238</definedName>
    <definedName name="v_105_GH2">Model!$CE$238</definedName>
    <definedName name="v_105_GH2_atm">Model!$CK$238</definedName>
    <definedName name="v_105_GN2">Model!$CH$238</definedName>
    <definedName name="v_105_GN2_atm">Model!$CN$238</definedName>
    <definedName name="v_105_GNH3">Model!$CG$238</definedName>
    <definedName name="v_105_GNH3_atm">Model!$CM$238</definedName>
    <definedName name="v_105_GO2">Model!$CF$238</definedName>
    <definedName name="v_105_GO2_atm">Model!$CL$238</definedName>
    <definedName name="v_105_SALPHA">Model!$CA$238</definedName>
    <definedName name="v_105_SAN">Model!$AX$238</definedName>
    <definedName name="v_105_SB_mono">Model!$F$238</definedName>
    <definedName name="v_105_SB_poly">Model!$G$238</definedName>
    <definedName name="v_105_SCa">Model!$AY$238</definedName>
    <definedName name="v_105_SCAT">Model!$AW$238</definedName>
    <definedName name="v_105_SCH4">Model!$AS$238</definedName>
    <definedName name="v_105_SCO2">Model!$AU$238</definedName>
    <definedName name="v_105_SFe2">Model!$BB$238</definedName>
    <definedName name="v_105_SH">Model!$BZ$238</definedName>
    <definedName name="v_105_SH2">Model!$AT$238</definedName>
    <definedName name="v_105_SK">Model!$BA$238</definedName>
    <definedName name="v_105_SMEOL">Model!$H$238</definedName>
    <definedName name="v_105_SMg">Model!$AZ$238</definedName>
    <definedName name="v_105_SN_B">Model!$AH$238</definedName>
    <definedName name="v_105_SN2">Model!$AG$238</definedName>
    <definedName name="v_105_SNHx">Model!$AD$238</definedName>
    <definedName name="v_105_SNO2">Model!$AE$238</definedName>
    <definedName name="v_105_SNO3">Model!$AF$238</definedName>
    <definedName name="v_105_SO2">Model!$AR$238</definedName>
    <definedName name="v_105_SORPswitch">Model!$CB$238</definedName>
    <definedName name="v_105_SP_B">Model!$AN$238</definedName>
    <definedName name="v_105_SPFOA">Model!$BV$238</definedName>
    <definedName name="v_105_SPFOS">Model!$BX$238</definedName>
    <definedName name="v_105_SPO4">Model!$AL$238</definedName>
    <definedName name="v_105_SU">Model!$L$238</definedName>
    <definedName name="v_105_SVFA">Model!$E$238</definedName>
    <definedName name="v_105_XACP">Model!$BR$238</definedName>
    <definedName name="v_105_XAHO">Model!$U$238</definedName>
    <definedName name="v_105_XALGAE">Model!$AC$238</definedName>
    <definedName name="v_105_XAMETO">Model!$AA$238</definedName>
    <definedName name="v_105_XAMX">Model!$Z$238</definedName>
    <definedName name="v_105_XAOB">Model!$X$238</definedName>
    <definedName name="v_105_XB">Model!$J$238</definedName>
    <definedName name="v_105_XB_e">Model!$K$238</definedName>
    <definedName name="v_105_XBSH">Model!$BS$238</definedName>
    <definedName name="v_105_XCaCO3">Model!$BQ$238</definedName>
    <definedName name="v_105_XCASTO">Model!$V$238</definedName>
    <definedName name="v_105_XE">Model!$R$238</definedName>
    <definedName name="v_105_XE_ana">Model!$S$238</definedName>
    <definedName name="v_105_XHAO_H">Model!$BJ$238</definedName>
    <definedName name="v_105_XHAO_H_P">Model!$BM$238</definedName>
    <definedName name="v_105_XHAO_H_P_old">Model!$BO$238</definedName>
    <definedName name="v_105_XHAO_L">Model!$BK$238</definedName>
    <definedName name="v_105_XHAO_L_P">Model!$BN$238</definedName>
    <definedName name="v_105_XHAO_L_P_old">Model!$BP$238</definedName>
    <definedName name="v_105_XHAO_old">Model!$BL$238</definedName>
    <definedName name="v_105_XHFO_H">Model!$BC$238</definedName>
    <definedName name="v_105_XHFO_H_P">Model!$BF$238</definedName>
    <definedName name="v_105_XHFO_H_P_old">Model!$BH$238</definedName>
    <definedName name="v_105_XHFO_L">Model!$BD$238</definedName>
    <definedName name="v_105_XHFO_L_P">Model!$BG$238</definedName>
    <definedName name="v_105_XHFO_L_P_old">Model!$BI$238</definedName>
    <definedName name="v_105_XHFO_old">Model!$BE$238</definedName>
    <definedName name="v_105_XHMETO">Model!$AB$238</definedName>
    <definedName name="v_105_XINORG">Model!$AV$238</definedName>
    <definedName name="v_105_XMEOLO">Model!$W$238</definedName>
    <definedName name="v_105_XN_B">Model!$AI$238</definedName>
    <definedName name="v_105_XN_Be">Model!$AJ$238</definedName>
    <definedName name="v_105_XN_U">Model!$AK$238</definedName>
    <definedName name="v_105_XNOB">Model!$Y$238</definedName>
    <definedName name="v_105_XOHO">Model!$T$238</definedName>
    <definedName name="v_105_XP_B">Model!$AO$238</definedName>
    <definedName name="v_105_XP_Be">Model!$AP$238</definedName>
    <definedName name="v_105_XP_U">Model!$AQ$238</definedName>
    <definedName name="v_105_XPFOA">Model!$BW$238</definedName>
    <definedName name="v_105_XPFOS">Model!$BY$238</definedName>
    <definedName name="v_105_XPHA_GAO">Model!$Q$238</definedName>
    <definedName name="v_105_XPHA_PAO">Model!$P$238</definedName>
    <definedName name="v_105_XPP">Model!$AM$238</definedName>
    <definedName name="v_105_XSTO">Model!$O$238</definedName>
    <definedName name="v_105_XSTR">Model!$BT$238</definedName>
    <definedName name="v_105_XU">Model!$N$238</definedName>
    <definedName name="v_105_XVivi">Model!$BU$238</definedName>
    <definedName name="v_106_CB">Model!$I$239</definedName>
    <definedName name="v_106_CU">Model!$M$239</definedName>
    <definedName name="v_106_GCH4">Model!$CD$239</definedName>
    <definedName name="v_106_GCH4_atm">Model!$CJ$239</definedName>
    <definedName name="v_106_GCO2">Model!$CC$239</definedName>
    <definedName name="v_106_GCO2_atm">Model!$CI$239</definedName>
    <definedName name="v_106_GH2">Model!$CE$239</definedName>
    <definedName name="v_106_GH2_atm">Model!$CK$239</definedName>
    <definedName name="v_106_GN2">Model!$CH$239</definedName>
    <definedName name="v_106_GN2_atm">Model!$CN$239</definedName>
    <definedName name="v_106_GNH3">Model!$CG$239</definedName>
    <definedName name="v_106_GNH3_atm">Model!$CM$239</definedName>
    <definedName name="v_106_GO2">Model!$CF$239</definedName>
    <definedName name="v_106_GO2_atm">Model!$CL$239</definedName>
    <definedName name="v_106_SALPHA">Model!$CA$239</definedName>
    <definedName name="v_106_SAN">Model!$AX$239</definedName>
    <definedName name="v_106_SB_mono">Model!$F$239</definedName>
    <definedName name="v_106_SB_poly">Model!$G$239</definedName>
    <definedName name="v_106_SCa">Model!$AY$239</definedName>
    <definedName name="v_106_SCAT">Model!$AW$239</definedName>
    <definedName name="v_106_SCH4">Model!$AS$239</definedName>
    <definedName name="v_106_SCO2">Model!$AU$239</definedName>
    <definedName name="v_106_SFe2">Model!$BB$239</definedName>
    <definedName name="v_106_SH">Model!$BZ$239</definedName>
    <definedName name="v_106_SH2">Model!$AT$239</definedName>
    <definedName name="v_106_SK">Model!$BA$239</definedName>
    <definedName name="v_106_SMEOL">Model!$H$239</definedName>
    <definedName name="v_106_SMg">Model!$AZ$239</definedName>
    <definedName name="v_106_SN_B">Model!$AH$239</definedName>
    <definedName name="v_106_SN2">Model!$AG$239</definedName>
    <definedName name="v_106_SNHx">Model!$AD$239</definedName>
    <definedName name="v_106_SNO2">Model!$AE$239</definedName>
    <definedName name="v_106_SNO3">Model!$AF$239</definedName>
    <definedName name="v_106_SO2">Model!$AR$239</definedName>
    <definedName name="v_106_SORPswitch">Model!$CB$239</definedName>
    <definedName name="v_106_SP_B">Model!$AN$239</definedName>
    <definedName name="v_106_SPFOA">Model!$BV$239</definedName>
    <definedName name="v_106_SPFOS">Model!$BX$239</definedName>
    <definedName name="v_106_SPO4">Model!$AL$239</definedName>
    <definedName name="v_106_SU">Model!$L$239</definedName>
    <definedName name="v_106_SVFA">Model!$E$239</definedName>
    <definedName name="v_106_XACP">Model!$BR$239</definedName>
    <definedName name="v_106_XAHO">Model!$U$239</definedName>
    <definedName name="v_106_XALGAE">Model!$AC$239</definedName>
    <definedName name="v_106_XAMETO">Model!$AA$239</definedName>
    <definedName name="v_106_XAMX">Model!$Z$239</definedName>
    <definedName name="v_106_XAOB">Model!$X$239</definedName>
    <definedName name="v_106_XB">Model!$J$239</definedName>
    <definedName name="v_106_XB_e">Model!$K$239</definedName>
    <definedName name="v_106_XBSH">Model!$BS$239</definedName>
    <definedName name="v_106_XCaCO3">Model!$BQ$239</definedName>
    <definedName name="v_106_XCASTO">Model!$V$239</definedName>
    <definedName name="v_106_XE">Model!$R$239</definedName>
    <definedName name="v_106_XE_ana">Model!$S$239</definedName>
    <definedName name="v_106_XHAO_H">Model!$BJ$239</definedName>
    <definedName name="v_106_XHAO_H_P">Model!$BM$239</definedName>
    <definedName name="v_106_XHAO_H_P_old">Model!$BO$239</definedName>
    <definedName name="v_106_XHAO_L">Model!$BK$239</definedName>
    <definedName name="v_106_XHAO_L_P">Model!$BN$239</definedName>
    <definedName name="v_106_XHAO_L_P_old">Model!$BP$239</definedName>
    <definedName name="v_106_XHAO_old">Model!$BL$239</definedName>
    <definedName name="v_106_XHFO_H">Model!$BC$239</definedName>
    <definedName name="v_106_XHFO_H_P">Model!$BF$239</definedName>
    <definedName name="v_106_XHFO_H_P_old">Model!$BH$239</definedName>
    <definedName name="v_106_XHFO_L">Model!$BD$239</definedName>
    <definedName name="v_106_XHFO_L_P">Model!$BG$239</definedName>
    <definedName name="v_106_XHFO_L_P_old">Model!$BI$239</definedName>
    <definedName name="v_106_XHFO_old">Model!$BE$239</definedName>
    <definedName name="v_106_XHMETO">Model!$AB$239</definedName>
    <definedName name="v_106_XINORG">Model!$AV$239</definedName>
    <definedName name="v_106_XMEOLO">Model!$W$239</definedName>
    <definedName name="v_106_XN_B">Model!$AI$239</definedName>
    <definedName name="v_106_XN_Be">Model!$AJ$239</definedName>
    <definedName name="v_106_XN_U">Model!$AK$239</definedName>
    <definedName name="v_106_XNOB">Model!$Y$239</definedName>
    <definedName name="v_106_XOHO">Model!$T$239</definedName>
    <definedName name="v_106_XP_B">Model!$AO$239</definedName>
    <definedName name="v_106_XP_Be">Model!$AP$239</definedName>
    <definedName name="v_106_XP_U">Model!$AQ$239</definedName>
    <definedName name="v_106_XPFOA">Model!$BW$239</definedName>
    <definedName name="v_106_XPFOS">Model!$BY$239</definedName>
    <definedName name="v_106_XPHA_GAO">Model!$Q$239</definedName>
    <definedName name="v_106_XPHA_PAO">Model!$P$239</definedName>
    <definedName name="v_106_XPP">Model!$AM$239</definedName>
    <definedName name="v_106_XSTO">Model!$O$239</definedName>
    <definedName name="v_106_XSTR">Model!$BT$239</definedName>
    <definedName name="v_106_XU">Model!$N$239</definedName>
    <definedName name="v_106_XVivi">Model!$BU$239</definedName>
    <definedName name="v_107_CB">Model!$I$240</definedName>
    <definedName name="v_107_CU">Model!$M$240</definedName>
    <definedName name="v_107_GCH4">Model!$CD$240</definedName>
    <definedName name="v_107_GCH4_atm">Model!$CJ$240</definedName>
    <definedName name="v_107_GCO2">Model!$CC$240</definedName>
    <definedName name="v_107_GCO2_atm">Model!$CI$240</definedName>
    <definedName name="v_107_GH2">Model!$CE$240</definedName>
    <definedName name="v_107_GH2_atm">Model!$CK$240</definedName>
    <definedName name="v_107_GN2">Model!$CH$240</definedName>
    <definedName name="v_107_GN2_atm">Model!$CN$240</definedName>
    <definedName name="v_107_GNH3">Model!$CG$240</definedName>
    <definedName name="v_107_GNH3_atm">Model!$CM$240</definedName>
    <definedName name="v_107_GO2">Model!$CF$240</definedName>
    <definedName name="v_107_GO2_atm">Model!$CL$240</definedName>
    <definedName name="v_107_SALPHA">Model!$CA$240</definedName>
    <definedName name="v_107_SAN">Model!$AX$240</definedName>
    <definedName name="v_107_SB_mono">Model!$F$240</definedName>
    <definedName name="v_107_SB_poly">Model!$G$240</definedName>
    <definedName name="v_107_SCa">Model!$AY$240</definedName>
    <definedName name="v_107_SCAT">Model!$AW$240</definedName>
    <definedName name="v_107_SCH4">Model!$AS$240</definedName>
    <definedName name="v_107_SCO2">Model!$AU$240</definedName>
    <definedName name="v_107_SFe2">Model!$BB$240</definedName>
    <definedName name="v_107_SH">Model!$BZ$240</definedName>
    <definedName name="v_107_SH2">Model!$AT$240</definedName>
    <definedName name="v_107_SK">Model!$BA$240</definedName>
    <definedName name="v_107_SMEOL">Model!$H$240</definedName>
    <definedName name="v_107_SMg">Model!$AZ$240</definedName>
    <definedName name="v_107_SN_B">Model!$AH$240</definedName>
    <definedName name="v_107_SN2">Model!$AG$240</definedName>
    <definedName name="v_107_SNHx">Model!$AD$240</definedName>
    <definedName name="v_107_SNO2">Model!$AE$240</definedName>
    <definedName name="v_107_SNO3">Model!$AF$240</definedName>
    <definedName name="v_107_SO2">Model!$AR$240</definedName>
    <definedName name="v_107_SORPswitch">Model!$CB$240</definedName>
    <definedName name="v_107_SP_B">Model!$AN$240</definedName>
    <definedName name="v_107_SPFOA">Model!$BV$240</definedName>
    <definedName name="v_107_SPFOS">Model!$BX$240</definedName>
    <definedName name="v_107_SPO4">Model!$AL$240</definedName>
    <definedName name="v_107_SU">Model!$L$240</definedName>
    <definedName name="v_107_SVFA">Model!$E$240</definedName>
    <definedName name="v_107_XACP">Model!$BR$240</definedName>
    <definedName name="v_107_XAHO">Model!$U$240</definedName>
    <definedName name="v_107_XALGAE">Model!$AC$240</definedName>
    <definedName name="v_107_XAMETO">Model!$AA$240</definedName>
    <definedName name="v_107_XAMX">Model!$Z$240</definedName>
    <definedName name="v_107_XAOB">Model!$X$240</definedName>
    <definedName name="v_107_XB">Model!$J$240</definedName>
    <definedName name="v_107_XB_e">Model!$K$240</definedName>
    <definedName name="v_107_XBSH">Model!$BS$240</definedName>
    <definedName name="v_107_XCaCO3">Model!$BQ$240</definedName>
    <definedName name="v_107_XCASTO">Model!$V$240</definedName>
    <definedName name="v_107_XE">Model!$R$240</definedName>
    <definedName name="v_107_XE_ana">Model!$S$240</definedName>
    <definedName name="v_107_XHAO_H">Model!$BJ$240</definedName>
    <definedName name="v_107_XHAO_H_P">Model!$BM$240</definedName>
    <definedName name="v_107_XHAO_H_P_old">Model!$BO$240</definedName>
    <definedName name="v_107_XHAO_L">Model!$BK$240</definedName>
    <definedName name="v_107_XHAO_L_P">Model!$BN$240</definedName>
    <definedName name="v_107_XHAO_L_P_old">Model!$BP$240</definedName>
    <definedName name="v_107_XHAO_old">Model!$BL$240</definedName>
    <definedName name="v_107_XHFO_H">Model!$BC$240</definedName>
    <definedName name="v_107_XHFO_H_P">Model!$BF$240</definedName>
    <definedName name="v_107_XHFO_H_P_old">Model!$BH$240</definedName>
    <definedName name="v_107_XHFO_L">Model!$BD$240</definedName>
    <definedName name="v_107_XHFO_L_P">Model!$BG$240</definedName>
    <definedName name="v_107_XHFO_L_P_old">Model!$BI$240</definedName>
    <definedName name="v_107_XHFO_old">Model!$BE$240</definedName>
    <definedName name="v_107_XHMETO">Model!$AB$240</definedName>
    <definedName name="v_107_XINORG">Model!$AV$240</definedName>
    <definedName name="v_107_XMEOLO">Model!$W$240</definedName>
    <definedName name="v_107_XN_B">Model!$AI$240</definedName>
    <definedName name="v_107_XN_Be">Model!$AJ$240</definedName>
    <definedName name="v_107_XN_U">Model!$AK$240</definedName>
    <definedName name="v_107_XNOB">Model!$Y$240</definedName>
    <definedName name="v_107_XOHO">Model!$T$240</definedName>
    <definedName name="v_107_XP_B">Model!$AO$240</definedName>
    <definedName name="v_107_XP_Be">Model!$AP$240</definedName>
    <definedName name="v_107_XP_U">Model!$AQ$240</definedName>
    <definedName name="v_107_XPFOA">Model!$BW$240</definedName>
    <definedName name="v_107_XPFOS">Model!$BY$240</definedName>
    <definedName name="v_107_XPHA_GAO">Model!$Q$240</definedName>
    <definedName name="v_107_XPHA_PAO">Model!$P$240</definedName>
    <definedName name="v_107_XPP">Model!$AM$240</definedName>
    <definedName name="v_107_XSTO">Model!$O$240</definedName>
    <definedName name="v_107_XSTR">Model!$BT$240</definedName>
    <definedName name="v_107_XU">Model!$N$240</definedName>
    <definedName name="v_107_XVivi">Model!$BU$240</definedName>
    <definedName name="v_108_CB">Model!$I$241</definedName>
    <definedName name="v_108_CU">Model!$M$241</definedName>
    <definedName name="v_108_GCH4">Model!$CD$241</definedName>
    <definedName name="v_108_GCH4_atm">Model!$CJ$241</definedName>
    <definedName name="v_108_GCO2">Model!$CC$241</definedName>
    <definedName name="v_108_GCO2_atm">Model!$CI$241</definedName>
    <definedName name="v_108_GH2">Model!$CE$241</definedName>
    <definedName name="v_108_GH2_atm">Model!$CK$241</definedName>
    <definedName name="v_108_GN2">Model!$CH$241</definedName>
    <definedName name="v_108_GN2_atm">Model!$CN$241</definedName>
    <definedName name="v_108_GNH3">Model!$CG$241</definedName>
    <definedName name="v_108_GNH3_atm">Model!$CM$241</definedName>
    <definedName name="v_108_GO2">Model!$CF$241</definedName>
    <definedName name="v_108_GO2_atm">Model!$CL$241</definedName>
    <definedName name="v_108_SALPHA">Model!$CA$241</definedName>
    <definedName name="v_108_SAN">Model!$AX$241</definedName>
    <definedName name="v_108_SB_mono">Model!$F$241</definedName>
    <definedName name="v_108_SB_poly">Model!$G$241</definedName>
    <definedName name="v_108_SCa">Model!$AY$241</definedName>
    <definedName name="v_108_SCAT">Model!$AW$241</definedName>
    <definedName name="v_108_SCH4">Model!$AS$241</definedName>
    <definedName name="v_108_SCO2">Model!$AU$241</definedName>
    <definedName name="v_108_SFe2">Model!$BB$241</definedName>
    <definedName name="v_108_SH">Model!$BZ$241</definedName>
    <definedName name="v_108_SH2">Model!$AT$241</definedName>
    <definedName name="v_108_SK">Model!$BA$241</definedName>
    <definedName name="v_108_SMEOL">Model!$H$241</definedName>
    <definedName name="v_108_SMg">Model!$AZ$241</definedName>
    <definedName name="v_108_SN_B">Model!$AH$241</definedName>
    <definedName name="v_108_SN2">Model!$AG$241</definedName>
    <definedName name="v_108_SNHx">Model!$AD$241</definedName>
    <definedName name="v_108_SNO2">Model!$AE$241</definedName>
    <definedName name="v_108_SNO3">Model!$AF$241</definedName>
    <definedName name="v_108_SO2">Model!$AR$241</definedName>
    <definedName name="v_108_SORPswitch">Model!$CB$241</definedName>
    <definedName name="v_108_SP_B">Model!$AN$241</definedName>
    <definedName name="v_108_SPFOA">Model!$BV$241</definedName>
    <definedName name="v_108_SPFOS">Model!$BX$241</definedName>
    <definedName name="v_108_SPO4">Model!$AL$241</definedName>
    <definedName name="v_108_SU">Model!$L$241</definedName>
    <definedName name="v_108_SVFA">Model!$E$241</definedName>
    <definedName name="v_108_XACP">Model!$BR$241</definedName>
    <definedName name="v_108_XAHO">Model!$U$241</definedName>
    <definedName name="v_108_XALGAE">Model!$AC$241</definedName>
    <definedName name="v_108_XAMETO">Model!$AA$241</definedName>
    <definedName name="v_108_XAMX">Model!$Z$241</definedName>
    <definedName name="v_108_XAOB">Model!$X$241</definedName>
    <definedName name="v_108_XB">Model!$J$241</definedName>
    <definedName name="v_108_XB_e">Model!$K$241</definedName>
    <definedName name="v_108_XBSH">Model!$BS$241</definedName>
    <definedName name="v_108_XCaCO3">Model!$BQ$241</definedName>
    <definedName name="v_108_XCASTO">Model!$V$241</definedName>
    <definedName name="v_108_XE">Model!$R$241</definedName>
    <definedName name="v_108_XE_ana">Model!$S$241</definedName>
    <definedName name="v_108_XHAO_H">Model!$BJ$241</definedName>
    <definedName name="v_108_XHAO_H_P">Model!$BM$241</definedName>
    <definedName name="v_108_XHAO_H_P_old">Model!$BO$241</definedName>
    <definedName name="v_108_XHAO_L">Model!$BK$241</definedName>
    <definedName name="v_108_XHAO_L_P">Model!$BN$241</definedName>
    <definedName name="v_108_XHAO_L_P_old">Model!$BP$241</definedName>
    <definedName name="v_108_XHAO_old">Model!$BL$241</definedName>
    <definedName name="v_108_XHFO_H">Model!$BC$241</definedName>
    <definedName name="v_108_XHFO_H_P">Model!$BF$241</definedName>
    <definedName name="v_108_XHFO_H_P_old">Model!$BH$241</definedName>
    <definedName name="v_108_XHFO_L">Model!$BD$241</definedName>
    <definedName name="v_108_XHFO_L_P">Model!$BG$241</definedName>
    <definedName name="v_108_XHFO_L_P_old">Model!$BI$241</definedName>
    <definedName name="v_108_XHFO_old">Model!$BE$241</definedName>
    <definedName name="v_108_XHMETO">Model!$AB$241</definedName>
    <definedName name="v_108_XINORG">Model!$AV$241</definedName>
    <definedName name="v_108_XMEOLO">Model!$W$241</definedName>
    <definedName name="v_108_XN_B">Model!$AI$241</definedName>
    <definedName name="v_108_XN_Be">Model!$AJ$241</definedName>
    <definedName name="v_108_XN_U">Model!$AK$241</definedName>
    <definedName name="v_108_XNOB">Model!$Y$241</definedName>
    <definedName name="v_108_XOHO">Model!$T$241</definedName>
    <definedName name="v_108_XP_B">Model!$AO$241</definedName>
    <definedName name="v_108_XP_Be">Model!$AP$241</definedName>
    <definedName name="v_108_XP_U">Model!$AQ$241</definedName>
    <definedName name="v_108_XPFOA">Model!$BW$241</definedName>
    <definedName name="v_108_XPFOS">Model!$BY$241</definedName>
    <definedName name="v_108_XPHA_GAO">Model!$Q$241</definedName>
    <definedName name="v_108_XPHA_PAO">Model!$P$241</definedName>
    <definedName name="v_108_XPP">Model!$AM$241</definedName>
    <definedName name="v_108_XSTO">Model!$O$241</definedName>
    <definedName name="v_108_XSTR">Model!$BT$241</definedName>
    <definedName name="v_108_XU">Model!$N$241</definedName>
    <definedName name="v_108_XVivi">Model!$BU$241</definedName>
    <definedName name="v_109_CB">Model!$I$242</definedName>
    <definedName name="v_109_CU">Model!$M$242</definedName>
    <definedName name="v_109_GCH4">Model!$CD$242</definedName>
    <definedName name="v_109_GCH4_atm">Model!$CJ$242</definedName>
    <definedName name="v_109_GCO2">Model!$CC$242</definedName>
    <definedName name="v_109_GCO2_atm">Model!$CI$242</definedName>
    <definedName name="v_109_GH2">Model!$CE$242</definedName>
    <definedName name="v_109_GH2_atm">Model!$CK$242</definedName>
    <definedName name="v_109_GN2">Model!$CH$242</definedName>
    <definedName name="v_109_GN2_atm">Model!$CN$242</definedName>
    <definedName name="v_109_GNH3">Model!$CG$242</definedName>
    <definedName name="v_109_GNH3_atm">Model!$CM$242</definedName>
    <definedName name="v_109_GO2">Model!$CF$242</definedName>
    <definedName name="v_109_GO2_atm">Model!$CL$242</definedName>
    <definedName name="v_109_SALPHA">Model!$CA$242</definedName>
    <definedName name="v_109_SAN">Model!$AX$242</definedName>
    <definedName name="v_109_SB_mono">Model!$F$242</definedName>
    <definedName name="v_109_SB_poly">Model!$G$242</definedName>
    <definedName name="v_109_SCa">Model!$AY$242</definedName>
    <definedName name="v_109_SCAT">Model!$AW$242</definedName>
    <definedName name="v_109_SCH4">Model!$AS$242</definedName>
    <definedName name="v_109_SCO2">Model!$AU$242</definedName>
    <definedName name="v_109_SFe2">Model!$BB$242</definedName>
    <definedName name="v_109_SH">Model!$BZ$242</definedName>
    <definedName name="v_109_SH2">Model!$AT$242</definedName>
    <definedName name="v_109_SK">Model!$BA$242</definedName>
    <definedName name="v_109_SMEOL">Model!$H$242</definedName>
    <definedName name="v_109_SMg">Model!$AZ$242</definedName>
    <definedName name="v_109_SN_B">Model!$AH$242</definedName>
    <definedName name="v_109_SN2">Model!$AG$242</definedName>
    <definedName name="v_109_SNHx">Model!$AD$242</definedName>
    <definedName name="v_109_SNO2">Model!$AE$242</definedName>
    <definedName name="v_109_SNO3">Model!$AF$242</definedName>
    <definedName name="v_109_SO2">Model!$AR$242</definedName>
    <definedName name="v_109_SORPswitch">Model!$CB$242</definedName>
    <definedName name="v_109_SP_B">Model!$AN$242</definedName>
    <definedName name="v_109_SPFOA">Model!$BV$242</definedName>
    <definedName name="v_109_SPFOS">Model!$BX$242</definedName>
    <definedName name="v_109_SPO4">Model!$AL$242</definedName>
    <definedName name="v_109_SU">Model!$L$242</definedName>
    <definedName name="v_109_SVFA">Model!$E$242</definedName>
    <definedName name="v_109_XACP">Model!$BR$242</definedName>
    <definedName name="v_109_XAHO">Model!$U$242</definedName>
    <definedName name="v_109_XALGAE">Model!$AC$242</definedName>
    <definedName name="v_109_XAMETO">Model!$AA$242</definedName>
    <definedName name="v_109_XAMX">Model!$Z$242</definedName>
    <definedName name="v_109_XAOB">Model!$X$242</definedName>
    <definedName name="v_109_XB">Model!$J$242</definedName>
    <definedName name="v_109_XB_e">Model!$K$242</definedName>
    <definedName name="v_109_XBSH">Model!$BS$242</definedName>
    <definedName name="v_109_XCaCO3">Model!$BQ$242</definedName>
    <definedName name="v_109_XCASTO">Model!$V$242</definedName>
    <definedName name="v_109_XE">Model!$R$242</definedName>
    <definedName name="v_109_XE_ana">Model!$S$242</definedName>
    <definedName name="v_109_XHAO_H">Model!$BJ$242</definedName>
    <definedName name="v_109_XHAO_H_P">Model!$BM$242</definedName>
    <definedName name="v_109_XHAO_H_P_old">Model!$BO$242</definedName>
    <definedName name="v_109_XHAO_L">Model!$BK$242</definedName>
    <definedName name="v_109_XHAO_L_P">Model!$BN$242</definedName>
    <definedName name="v_109_XHAO_L_P_old">Model!$BP$242</definedName>
    <definedName name="v_109_XHAO_old">Model!$BL$242</definedName>
    <definedName name="v_109_XHFO_H">Model!$BC$242</definedName>
    <definedName name="v_109_XHFO_H_P">Model!$BF$242</definedName>
    <definedName name="v_109_XHFO_H_P_old">Model!$BH$242</definedName>
    <definedName name="v_109_XHFO_L">Model!$BD$242</definedName>
    <definedName name="v_109_XHFO_L_P">Model!$BG$242</definedName>
    <definedName name="v_109_XHFO_L_P_old">Model!$BI$242</definedName>
    <definedName name="v_109_XHFO_old">Model!$BE$242</definedName>
    <definedName name="v_109_XHMETO">Model!$AB$242</definedName>
    <definedName name="v_109_XINORG">Model!$AV$242</definedName>
    <definedName name="v_109_XMEOLO">Model!$W$242</definedName>
    <definedName name="v_109_XN_B">Model!$AI$242</definedName>
    <definedName name="v_109_XN_Be">Model!$AJ$242</definedName>
    <definedName name="v_109_XN_U">Model!$AK$242</definedName>
    <definedName name="v_109_XNOB">Model!$Y$242</definedName>
    <definedName name="v_109_XOHO">Model!$T$242</definedName>
    <definedName name="v_109_XP_B">Model!$AO$242</definedName>
    <definedName name="v_109_XP_Be">Model!$AP$242</definedName>
    <definedName name="v_109_XP_U">Model!$AQ$242</definedName>
    <definedName name="v_109_XPFOA">Model!$BW$242</definedName>
    <definedName name="v_109_XPFOS">Model!$BY$242</definedName>
    <definedName name="v_109_XPHA_GAO">Model!$Q$242</definedName>
    <definedName name="v_109_XPHA_PAO">Model!$P$242</definedName>
    <definedName name="v_109_XPP">Model!$AM$242</definedName>
    <definedName name="v_109_XSTO">Model!$O$242</definedName>
    <definedName name="v_109_XSTR">Model!$BT$242</definedName>
    <definedName name="v_109_XU">Model!$N$242</definedName>
    <definedName name="v_109_XVivi">Model!$BU$242</definedName>
    <definedName name="v_11_CB">Model!$I$144</definedName>
    <definedName name="v_11_CU">Model!$M$144</definedName>
    <definedName name="v_11_GCH4">Model!$CD$144</definedName>
    <definedName name="v_11_GCH4_atm">Model!$CJ$144</definedName>
    <definedName name="v_11_GCO2">Model!$CC$144</definedName>
    <definedName name="v_11_GCO2_atm">Model!$CI$144</definedName>
    <definedName name="v_11_GH2">Model!$CE$144</definedName>
    <definedName name="v_11_GH2_atm">Model!$CK$144</definedName>
    <definedName name="v_11_GN2">Model!$CH$144</definedName>
    <definedName name="v_11_GN2_atm">Model!$CN$144</definedName>
    <definedName name="v_11_GNH3">Model!$CG$144</definedName>
    <definedName name="v_11_GNH3_atm">Model!$CM$144</definedName>
    <definedName name="v_11_GO2">Model!$CF$144</definedName>
    <definedName name="v_11_GO2_atm">Model!$CL$144</definedName>
    <definedName name="v_11_SALPHA">Model!$CA$144</definedName>
    <definedName name="v_11_SAN">Model!$AX$144</definedName>
    <definedName name="v_11_SB_mono">Model!$F$144</definedName>
    <definedName name="v_11_SB_poly">Model!$G$144</definedName>
    <definedName name="v_11_SCa">Model!$AY$144</definedName>
    <definedName name="v_11_SCAT">Model!$AW$144</definedName>
    <definedName name="v_11_SCH4">Model!$AS$144</definedName>
    <definedName name="v_11_SCO2">Model!$AU$144</definedName>
    <definedName name="v_11_SFe2">Model!$BB$144</definedName>
    <definedName name="v_11_SH">Model!$BZ$144</definedName>
    <definedName name="v_11_SH2">Model!$AT$144</definedName>
    <definedName name="v_11_SK">Model!$BA$144</definedName>
    <definedName name="v_11_SMEOL">Model!$H$144</definedName>
    <definedName name="v_11_SMg">Model!$AZ$144</definedName>
    <definedName name="v_11_SN_B">Model!$AH$144</definedName>
    <definedName name="v_11_SN2">Model!$AG$144</definedName>
    <definedName name="v_11_SNHx">Model!$AD$144</definedName>
    <definedName name="v_11_SNO2">Model!$AE$144</definedName>
    <definedName name="v_11_SNO3">Model!$AF$144</definedName>
    <definedName name="v_11_SO2">Model!$AR$144</definedName>
    <definedName name="v_11_SORPswitch">Model!$CB$144</definedName>
    <definedName name="v_11_SP_B">Model!$AN$144</definedName>
    <definedName name="v_11_SPFOA">Model!$BV$144</definedName>
    <definedName name="v_11_SPFOS">Model!$BX$144</definedName>
    <definedName name="v_11_SPO4">Model!$AL$144</definedName>
    <definedName name="v_11_SU">Model!$L$144</definedName>
    <definedName name="v_11_SVFA">Model!$E$144</definedName>
    <definedName name="v_11_XACP">Model!$BR$144</definedName>
    <definedName name="v_11_XAHO">Model!$U$144</definedName>
    <definedName name="v_11_XALGAE">Model!$AC$144</definedName>
    <definedName name="v_11_XAMETO">Model!$AA$144</definedName>
    <definedName name="v_11_XAMX">Model!$Z$144</definedName>
    <definedName name="v_11_XAOB">Model!$X$144</definedName>
    <definedName name="v_11_XB">Model!$J$144</definedName>
    <definedName name="v_11_XB_e">Model!$K$144</definedName>
    <definedName name="v_11_XBSH">Model!$BS$144</definedName>
    <definedName name="v_11_XCaCO3">Model!$BQ$144</definedName>
    <definedName name="v_11_XCASTO">Model!$V$144</definedName>
    <definedName name="v_11_XE">Model!$R$144</definedName>
    <definedName name="v_11_XE_ana">Model!$S$144</definedName>
    <definedName name="v_11_XHAO_H">Model!$BJ$144</definedName>
    <definedName name="v_11_XHAO_H_P">Model!$BM$144</definedName>
    <definedName name="v_11_XHAO_H_P_old">Model!$BO$144</definedName>
    <definedName name="v_11_XHAO_L">Model!$BK$144</definedName>
    <definedName name="v_11_XHAO_L_P">Model!$BN$144</definedName>
    <definedName name="v_11_XHAO_L_P_old">Model!$BP$144</definedName>
    <definedName name="v_11_XHAO_old">Model!$BL$144</definedName>
    <definedName name="v_11_XHFO_H">Model!$BC$144</definedName>
    <definedName name="v_11_XHFO_H_P">Model!$BF$144</definedName>
    <definedName name="v_11_XHFO_H_P_old">Model!$BH$144</definedName>
    <definedName name="v_11_XHFO_L">Model!$BD$144</definedName>
    <definedName name="v_11_XHFO_L_P">Model!$BG$144</definedName>
    <definedName name="v_11_XHFO_L_P_old">Model!$BI$144</definedName>
    <definedName name="v_11_XHFO_old">Model!$BE$144</definedName>
    <definedName name="v_11_XHMETO">Model!$AB$144</definedName>
    <definedName name="v_11_XINORG">Model!$AV$144</definedName>
    <definedName name="v_11_XMEOLO">Model!$W$144</definedName>
    <definedName name="v_11_XN_B">Model!$AI$144</definedName>
    <definedName name="v_11_XN_Be">Model!$AJ$144</definedName>
    <definedName name="v_11_XN_U">Model!$AK$144</definedName>
    <definedName name="v_11_XNOB">Model!$Y$144</definedName>
    <definedName name="v_11_XOHO">Model!$T$144</definedName>
    <definedName name="v_11_XP_B">Model!$AO$144</definedName>
    <definedName name="v_11_XP_Be">Model!$AP$144</definedName>
    <definedName name="v_11_XP_U">Model!$AQ$144</definedName>
    <definedName name="v_11_XPFOA">Model!$BW$144</definedName>
    <definedName name="v_11_XPFOS">Model!$BY$144</definedName>
    <definedName name="v_11_XPHA_GAO">Model!$Q$144</definedName>
    <definedName name="v_11_XPHA_PAO">Model!$P$144</definedName>
    <definedName name="v_11_XPP">Model!$AM$144</definedName>
    <definedName name="v_11_XSTO">Model!$O$144</definedName>
    <definedName name="v_11_XSTR">Model!$BT$144</definedName>
    <definedName name="v_11_XU">Model!$N$144</definedName>
    <definedName name="v_11_XVivi">Model!$BU$144</definedName>
    <definedName name="v_110_CB">Model!$I$243</definedName>
    <definedName name="v_110_CU">Model!$M$243</definedName>
    <definedName name="v_110_GCH4">Model!$CD$243</definedName>
    <definedName name="v_110_GCH4_atm">Model!$CJ$243</definedName>
    <definedName name="v_110_GCO2">Model!$CC$243</definedName>
    <definedName name="v_110_GCO2_atm">Model!$CI$243</definedName>
    <definedName name="v_110_GH2">Model!$CE$243</definedName>
    <definedName name="v_110_GH2_atm">Model!$CK$243</definedName>
    <definedName name="v_110_GN2">Model!$CH$243</definedName>
    <definedName name="v_110_GN2_atm">Model!$CN$243</definedName>
    <definedName name="v_110_GNH3">Model!$CG$243</definedName>
    <definedName name="v_110_GNH3_atm">Model!$CM$243</definedName>
    <definedName name="v_110_GO2">Model!$CF$243</definedName>
    <definedName name="v_110_GO2_atm">Model!$CL$243</definedName>
    <definedName name="v_110_SALPHA">Model!$CA$243</definedName>
    <definedName name="v_110_SAN">Model!$AX$243</definedName>
    <definedName name="v_110_SB_mono">Model!$F$243</definedName>
    <definedName name="v_110_SB_poly">Model!$G$243</definedName>
    <definedName name="v_110_SCa">Model!$AY$243</definedName>
    <definedName name="v_110_SCAT">Model!$AW$243</definedName>
    <definedName name="v_110_SCH4">Model!$AS$243</definedName>
    <definedName name="v_110_SCO2">Model!$AU$243</definedName>
    <definedName name="v_110_SFe2">Model!$BB$243</definedName>
    <definedName name="v_110_SH">Model!$BZ$243</definedName>
    <definedName name="v_110_SH2">Model!$AT$243</definedName>
    <definedName name="v_110_SK">Model!$BA$243</definedName>
    <definedName name="v_110_SMEOL">Model!$H$243</definedName>
    <definedName name="v_110_SMg">Model!$AZ$243</definedName>
    <definedName name="v_110_SN_B">Model!$AH$243</definedName>
    <definedName name="v_110_SN2">Model!$AG$243</definedName>
    <definedName name="v_110_SNHx">Model!$AD$243</definedName>
    <definedName name="v_110_SNO2">Model!$AE$243</definedName>
    <definedName name="v_110_SNO3">Model!$AF$243</definedName>
    <definedName name="v_110_SO2">Model!$AR$243</definedName>
    <definedName name="v_110_SORPswitch">Model!$CB$243</definedName>
    <definedName name="v_110_SP_B">Model!$AN$243</definedName>
    <definedName name="v_110_SPFOA">Model!$BV$243</definedName>
    <definedName name="v_110_SPFOS">Model!$BX$243</definedName>
    <definedName name="v_110_SPO4">Model!$AL$243</definedName>
    <definedName name="v_110_SU">Model!$L$243</definedName>
    <definedName name="v_110_SVFA">Model!$E$243</definedName>
    <definedName name="v_110_XACP">Model!$BR$243</definedName>
    <definedName name="v_110_XAHO">Model!$U$243</definedName>
    <definedName name="v_110_XALGAE">Model!$AC$243</definedName>
    <definedName name="v_110_XAMETO">Model!$AA$243</definedName>
    <definedName name="v_110_XAMX">Model!$Z$243</definedName>
    <definedName name="v_110_XAOB">Model!$X$243</definedName>
    <definedName name="v_110_XB">Model!$J$243</definedName>
    <definedName name="v_110_XB_e">Model!$K$243</definedName>
    <definedName name="v_110_XBSH">Model!$BS$243</definedName>
    <definedName name="v_110_XCaCO3">Model!$BQ$243</definedName>
    <definedName name="v_110_XCASTO">Model!$V$243</definedName>
    <definedName name="v_110_XE">Model!$R$243</definedName>
    <definedName name="v_110_XE_ana">Model!$S$243</definedName>
    <definedName name="v_110_XHAO_H">Model!$BJ$243</definedName>
    <definedName name="v_110_XHAO_H_P">Model!$BM$243</definedName>
    <definedName name="v_110_XHAO_H_P_old">Model!$BO$243</definedName>
    <definedName name="v_110_XHAO_L">Model!$BK$243</definedName>
    <definedName name="v_110_XHAO_L_P">Model!$BN$243</definedName>
    <definedName name="v_110_XHAO_L_P_old">Model!$BP$243</definedName>
    <definedName name="v_110_XHAO_old">Model!$BL$243</definedName>
    <definedName name="v_110_XHFO_H">Model!$BC$243</definedName>
    <definedName name="v_110_XHFO_H_P">Model!$BF$243</definedName>
    <definedName name="v_110_XHFO_H_P_old">Model!$BH$243</definedName>
    <definedName name="v_110_XHFO_L">Model!$BD$243</definedName>
    <definedName name="v_110_XHFO_L_P">Model!$BG$243</definedName>
    <definedName name="v_110_XHFO_L_P_old">Model!$BI$243</definedName>
    <definedName name="v_110_XHFO_old">Model!$BE$243</definedName>
    <definedName name="v_110_XHMETO">Model!$AB$243</definedName>
    <definedName name="v_110_XINORG">Model!$AV$243</definedName>
    <definedName name="v_110_XMEOLO">Model!$W$243</definedName>
    <definedName name="v_110_XN_B">Model!$AI$243</definedName>
    <definedName name="v_110_XN_Be">Model!$AJ$243</definedName>
    <definedName name="v_110_XN_U">Model!$AK$243</definedName>
    <definedName name="v_110_XNOB">Model!$Y$243</definedName>
    <definedName name="v_110_XOHO">Model!$T$243</definedName>
    <definedName name="v_110_XP_B">Model!$AO$243</definedName>
    <definedName name="v_110_XP_Be">Model!$AP$243</definedName>
    <definedName name="v_110_XP_U">Model!$AQ$243</definedName>
    <definedName name="v_110_XPFOA">Model!$BW$243</definedName>
    <definedName name="v_110_XPFOS">Model!$BY$243</definedName>
    <definedName name="v_110_XPHA_GAO">Model!$Q$243</definedName>
    <definedName name="v_110_XPHA_PAO">Model!$P$243</definedName>
    <definedName name="v_110_XPP">Model!$AM$243</definedName>
    <definedName name="v_110_XSTO">Model!$O$243</definedName>
    <definedName name="v_110_XSTR">Model!$BT$243</definedName>
    <definedName name="v_110_XU">Model!$N$243</definedName>
    <definedName name="v_110_XVivi">Model!$BU$243</definedName>
    <definedName name="v_111_CB">Model!$I$244</definedName>
    <definedName name="v_111_CU">Model!$M$244</definedName>
    <definedName name="v_111_GCH4">Model!$CD$244</definedName>
    <definedName name="v_111_GCH4_atm">Model!$CJ$244</definedName>
    <definedName name="v_111_GCO2">Model!$CC$244</definedName>
    <definedName name="v_111_GCO2_atm">Model!$CI$244</definedName>
    <definedName name="v_111_GH2">Model!$CE$244</definedName>
    <definedName name="v_111_GH2_atm">Model!$CK$244</definedName>
    <definedName name="v_111_GN2">Model!$CH$244</definedName>
    <definedName name="v_111_GN2_atm">Model!$CN$244</definedName>
    <definedName name="v_111_GNH3">Model!$CG$244</definedName>
    <definedName name="v_111_GNH3_atm">Model!$CM$244</definedName>
    <definedName name="v_111_GO2">Model!$CF$244</definedName>
    <definedName name="v_111_GO2_atm">Model!$CL$244</definedName>
    <definedName name="v_111_SALPHA">Model!$CA$244</definedName>
    <definedName name="v_111_SAN">Model!$AX$244</definedName>
    <definedName name="v_111_SB_mono">Model!$F$244</definedName>
    <definedName name="v_111_SB_poly">Model!$G$244</definedName>
    <definedName name="v_111_SCa">Model!$AY$244</definedName>
    <definedName name="v_111_SCAT">Model!$AW$244</definedName>
    <definedName name="v_111_SCH4">Model!$AS$244</definedName>
    <definedName name="v_111_SCO2">Model!$AU$244</definedName>
    <definedName name="v_111_SFe2">Model!$BB$244</definedName>
    <definedName name="v_111_SH">Model!$BZ$244</definedName>
    <definedName name="v_111_SH2">Model!$AT$244</definedName>
    <definedName name="v_111_SK">Model!$BA$244</definedName>
    <definedName name="v_111_SMEOL">Model!$H$244</definedName>
    <definedName name="v_111_SMg">Model!$AZ$244</definedName>
    <definedName name="v_111_SN_B">Model!$AH$244</definedName>
    <definedName name="v_111_SN2">Model!$AG$244</definedName>
    <definedName name="v_111_SNHx">Model!$AD$244</definedName>
    <definedName name="v_111_SNO2">Model!$AE$244</definedName>
    <definedName name="v_111_SNO3">Model!$AF$244</definedName>
    <definedName name="v_111_SO2">Model!$AR$244</definedName>
    <definedName name="v_111_SORPswitch">Model!$CB$244</definedName>
    <definedName name="v_111_SP_B">Model!$AN$244</definedName>
    <definedName name="v_111_SPFOA">Model!$BV$244</definedName>
    <definedName name="v_111_SPFOS">Model!$BX$244</definedName>
    <definedName name="v_111_SPO4">Model!$AL$244</definedName>
    <definedName name="v_111_SU">Model!$L$244</definedName>
    <definedName name="v_111_SVFA">Model!$E$244</definedName>
    <definedName name="v_111_XACP">Model!$BR$244</definedName>
    <definedName name="v_111_XAHO">Model!$U$244</definedName>
    <definedName name="v_111_XALGAE">Model!$AC$244</definedName>
    <definedName name="v_111_XAMETO">Model!$AA$244</definedName>
    <definedName name="v_111_XAMX">Model!$Z$244</definedName>
    <definedName name="v_111_XAOB">Model!$X$244</definedName>
    <definedName name="v_111_XB">Model!$J$244</definedName>
    <definedName name="v_111_XB_e">Model!$K$244</definedName>
    <definedName name="v_111_XBSH">Model!$BS$244</definedName>
    <definedName name="v_111_XCaCO3">Model!$BQ$244</definedName>
    <definedName name="v_111_XCASTO">Model!$V$244</definedName>
    <definedName name="v_111_XE">Model!$R$244</definedName>
    <definedName name="v_111_XE_ana">Model!$S$244</definedName>
    <definedName name="v_111_XHAO_H">Model!$BJ$244</definedName>
    <definedName name="v_111_XHAO_H_P">Model!$BM$244</definedName>
    <definedName name="v_111_XHAO_H_P_old">Model!$BO$244</definedName>
    <definedName name="v_111_XHAO_L">Model!$BK$244</definedName>
    <definedName name="v_111_XHAO_L_P">Model!$BN$244</definedName>
    <definedName name="v_111_XHAO_L_P_old">Model!$BP$244</definedName>
    <definedName name="v_111_XHAO_old">Model!$BL$244</definedName>
    <definedName name="v_111_XHFO_H">Model!$BC$244</definedName>
    <definedName name="v_111_XHFO_H_P">Model!$BF$244</definedName>
    <definedName name="v_111_XHFO_H_P_old">Model!$BH$244</definedName>
    <definedName name="v_111_XHFO_L">Model!$BD$244</definedName>
    <definedName name="v_111_XHFO_L_P">Model!$BG$244</definedName>
    <definedName name="v_111_XHFO_L_P_old">Model!$BI$244</definedName>
    <definedName name="v_111_XHFO_old">Model!$BE$244</definedName>
    <definedName name="v_111_XHMETO">Model!$AB$244</definedName>
    <definedName name="v_111_XINORG">Model!$AV$244</definedName>
    <definedName name="v_111_XMEOLO">Model!$W$244</definedName>
    <definedName name="v_111_XN_B">Model!$AI$244</definedName>
    <definedName name="v_111_XN_Be">Model!$AJ$244</definedName>
    <definedName name="v_111_XN_U">Model!$AK$244</definedName>
    <definedName name="v_111_XNOB">Model!$Y$244</definedName>
    <definedName name="v_111_XOHO">Model!$T$244</definedName>
    <definedName name="v_111_XP_B">Model!$AO$244</definedName>
    <definedName name="v_111_XP_Be">Model!$AP$244</definedName>
    <definedName name="v_111_XP_U">Model!$AQ$244</definedName>
    <definedName name="v_111_XPFOA">Model!$BW$244</definedName>
    <definedName name="v_111_XPFOS">Model!$BY$244</definedName>
    <definedName name="v_111_XPHA_GAO">Model!$Q$244</definedName>
    <definedName name="v_111_XPHA_PAO">Model!$P$244</definedName>
    <definedName name="v_111_XPP">Model!$AM$244</definedName>
    <definedName name="v_111_XSTO">Model!$O$244</definedName>
    <definedName name="v_111_XSTR">Model!$BT$244</definedName>
    <definedName name="v_111_XU">Model!$N$244</definedName>
    <definedName name="v_111_XVivi">Model!$BU$244</definedName>
    <definedName name="v_12_CB">Model!$I$145</definedName>
    <definedName name="v_12_CU">Model!$M$145</definedName>
    <definedName name="v_12_GCH4">Model!$CD$145</definedName>
    <definedName name="v_12_GCH4_atm">Model!$CJ$145</definedName>
    <definedName name="v_12_GCO2">Model!$CC$145</definedName>
    <definedName name="v_12_GCO2_atm">Model!$CI$145</definedName>
    <definedName name="v_12_GH2">Model!$CE$145</definedName>
    <definedName name="v_12_GH2_atm">Model!$CK$145</definedName>
    <definedName name="v_12_GN2">Model!$CH$145</definedName>
    <definedName name="v_12_GN2_atm">Model!$CN$145</definedName>
    <definedName name="v_12_GNH3">Model!$CG$145</definedName>
    <definedName name="v_12_GNH3_atm">Model!$CM$145</definedName>
    <definedName name="v_12_GO2">Model!$CF$145</definedName>
    <definedName name="v_12_GO2_atm">Model!$CL$145</definedName>
    <definedName name="v_12_SALPHA">Model!$CA$145</definedName>
    <definedName name="v_12_SAN">Model!$AX$145</definedName>
    <definedName name="v_12_SB_mono">Model!$F$145</definedName>
    <definedName name="v_12_SB_poly">Model!$G$145</definedName>
    <definedName name="v_12_SCa">Model!$AY$145</definedName>
    <definedName name="v_12_SCAT">Model!$AW$145</definedName>
    <definedName name="v_12_SCH4">Model!$AS$145</definedName>
    <definedName name="v_12_SCO2">Model!$AU$145</definedName>
    <definedName name="v_12_SFe2">Model!$BB$145</definedName>
    <definedName name="v_12_SH">Model!$BZ$145</definedName>
    <definedName name="v_12_SH2">Model!$AT$145</definedName>
    <definedName name="v_12_SK">Model!$BA$145</definedName>
    <definedName name="v_12_SMEOL">Model!$H$145</definedName>
    <definedName name="v_12_SMg">Model!$AZ$145</definedName>
    <definedName name="v_12_SN_B">Model!$AH$145</definedName>
    <definedName name="v_12_SN2">Model!$AG$145</definedName>
    <definedName name="v_12_SNHx">Model!$AD$145</definedName>
    <definedName name="v_12_SNO2">Model!$AE$145</definedName>
    <definedName name="v_12_SNO3">Model!$AF$145</definedName>
    <definedName name="v_12_SO2">Model!$AR$145</definedName>
    <definedName name="v_12_SORPswitch">Model!$CB$145</definedName>
    <definedName name="v_12_SP_B">Model!$AN$145</definedName>
    <definedName name="v_12_SPFOA">Model!$BV$145</definedName>
    <definedName name="v_12_SPFOS">Model!$BX$145</definedName>
    <definedName name="v_12_SPO4">Model!$AL$145</definedName>
    <definedName name="v_12_SU">Model!$L$145</definedName>
    <definedName name="v_12_SVFA">Model!$E$145</definedName>
    <definedName name="v_12_XACP">Model!$BR$145</definedName>
    <definedName name="v_12_XAHO">Model!$U$145</definedName>
    <definedName name="v_12_XALGAE">Model!$AC$145</definedName>
    <definedName name="v_12_XAMETO">Model!$AA$145</definedName>
    <definedName name="v_12_XAMX">Model!$Z$145</definedName>
    <definedName name="v_12_XAOB">Model!$X$145</definedName>
    <definedName name="v_12_XB">Model!$J$145</definedName>
    <definedName name="v_12_XB_e">Model!$K$145</definedName>
    <definedName name="v_12_XBSH">Model!$BS$145</definedName>
    <definedName name="v_12_XCaCO3">Model!$BQ$145</definedName>
    <definedName name="v_12_XCASTO">Model!$V$145</definedName>
    <definedName name="v_12_XE">Model!$R$145</definedName>
    <definedName name="v_12_XE_ana">Model!$S$145</definedName>
    <definedName name="v_12_XHAO_H">Model!$BJ$145</definedName>
    <definedName name="v_12_XHAO_H_P">Model!$BM$145</definedName>
    <definedName name="v_12_XHAO_H_P_old">Model!$BO$145</definedName>
    <definedName name="v_12_XHAO_L">Model!$BK$145</definedName>
    <definedName name="v_12_XHAO_L_P">Model!$BN$145</definedName>
    <definedName name="v_12_XHAO_L_P_old">Model!$BP$145</definedName>
    <definedName name="v_12_XHAO_old">Model!$BL$145</definedName>
    <definedName name="v_12_XHFO_H">Model!$BC$145</definedName>
    <definedName name="v_12_XHFO_H_P">Model!$BF$145</definedName>
    <definedName name="v_12_XHFO_H_P_old">Model!$BH$145</definedName>
    <definedName name="v_12_XHFO_L">Model!$BD$145</definedName>
    <definedName name="v_12_XHFO_L_P">Model!$BG$145</definedName>
    <definedName name="v_12_XHFO_L_P_old">Model!$BI$145</definedName>
    <definedName name="v_12_XHFO_old">Model!$BE$145</definedName>
    <definedName name="v_12_XHMETO">Model!$AB$145</definedName>
    <definedName name="v_12_XINORG">Model!$AV$145</definedName>
    <definedName name="v_12_XMEOLO">Model!$W$145</definedName>
    <definedName name="v_12_XN_B">Model!$AI$145</definedName>
    <definedName name="v_12_XN_Be">Model!$AJ$145</definedName>
    <definedName name="v_12_XN_U">Model!$AK$145</definedName>
    <definedName name="v_12_XNOB">Model!$Y$145</definedName>
    <definedName name="v_12_XOHO">Model!$T$145</definedName>
    <definedName name="v_12_XP_B">Model!$AO$145</definedName>
    <definedName name="v_12_XP_Be">Model!$AP$145</definedName>
    <definedName name="v_12_XP_U">Model!$AQ$145</definedName>
    <definedName name="v_12_XPFOA">Model!$BW$145</definedName>
    <definedName name="v_12_XPFOS">Model!$BY$145</definedName>
    <definedName name="v_12_XPHA_GAO">Model!$Q$145</definedName>
    <definedName name="v_12_XPHA_PAO">Model!$P$145</definedName>
    <definedName name="v_12_XPP">Model!$AM$145</definedName>
    <definedName name="v_12_XSTO">Model!$O$145</definedName>
    <definedName name="v_12_XSTR">Model!$BT$145</definedName>
    <definedName name="v_12_XU">Model!$N$145</definedName>
    <definedName name="v_12_XVivi">Model!$BU$145</definedName>
    <definedName name="v_13_CB">Model!$I$146</definedName>
    <definedName name="v_13_CU">Model!$M$146</definedName>
    <definedName name="v_13_GCH4">Model!$CD$146</definedName>
    <definedName name="v_13_GCH4_atm">Model!$CJ$146</definedName>
    <definedName name="v_13_GCO2">Model!$CC$146</definedName>
    <definedName name="v_13_GCO2_atm">Model!$CI$146</definedName>
    <definedName name="v_13_GH2">Model!$CE$146</definedName>
    <definedName name="v_13_GH2_atm">Model!$CK$146</definedName>
    <definedName name="v_13_GN2">Model!$CH$146</definedName>
    <definedName name="v_13_GN2_atm">Model!$CN$146</definedName>
    <definedName name="v_13_GNH3">Model!$CG$146</definedName>
    <definedName name="v_13_GNH3_atm">Model!$CM$146</definedName>
    <definedName name="v_13_GO2">Model!$CF$146</definedName>
    <definedName name="v_13_GO2_atm">Model!$CL$146</definedName>
    <definedName name="v_13_SALPHA">Model!$CA$146</definedName>
    <definedName name="v_13_SAN">Model!$AX$146</definedName>
    <definedName name="v_13_SB_mono">Model!$F$146</definedName>
    <definedName name="v_13_SB_poly">Model!$G$146</definedName>
    <definedName name="v_13_SCa">Model!$AY$146</definedName>
    <definedName name="v_13_SCAT">Model!$AW$146</definedName>
    <definedName name="v_13_SCH4">Model!$AS$146</definedName>
    <definedName name="v_13_SCO2">Model!$AU$146</definedName>
    <definedName name="v_13_SFe2">Model!$BB$146</definedName>
    <definedName name="v_13_SH">Model!$BZ$146</definedName>
    <definedName name="v_13_SH2">Model!$AT$146</definedName>
    <definedName name="v_13_SK">Model!$BA$146</definedName>
    <definedName name="v_13_SMEOL">Model!$H$146</definedName>
    <definedName name="v_13_SMg">Model!$AZ$146</definedName>
    <definedName name="v_13_SN_B">Model!$AH$146</definedName>
    <definedName name="v_13_SN2">Model!$AG$146</definedName>
    <definedName name="v_13_SNHx">Model!$AD$146</definedName>
    <definedName name="v_13_SNO2">Model!$AE$146</definedName>
    <definedName name="v_13_SNO3">Model!$AF$146</definedName>
    <definedName name="v_13_SO2">Model!$AR$146</definedName>
    <definedName name="v_13_SORPswitch">Model!$CB$146</definedName>
    <definedName name="v_13_SP_B">Model!$AN$146</definedName>
    <definedName name="v_13_SPFOA">Model!$BV$146</definedName>
    <definedName name="v_13_SPFOS">Model!$BX$146</definedName>
    <definedName name="v_13_SPO4">Model!$AL$146</definedName>
    <definedName name="v_13_SU">Model!$L$146</definedName>
    <definedName name="v_13_SVFA">Model!$E$146</definedName>
    <definedName name="v_13_XACP">Model!$BR$146</definedName>
    <definedName name="v_13_XAHO">Model!$U$146</definedName>
    <definedName name="v_13_XALGAE">Model!$AC$146</definedName>
    <definedName name="v_13_XAMETO">Model!$AA$146</definedName>
    <definedName name="v_13_XAMX">Model!$Z$146</definedName>
    <definedName name="v_13_XAOB">Model!$X$146</definedName>
    <definedName name="v_13_XB">Model!$J$146</definedName>
    <definedName name="v_13_XB_e">Model!$K$146</definedName>
    <definedName name="v_13_XBSH">Model!$BS$146</definedName>
    <definedName name="v_13_XCaCO3">Model!$BQ$146</definedName>
    <definedName name="v_13_XCASTO">Model!$V$146</definedName>
    <definedName name="v_13_XE">Model!$R$146</definedName>
    <definedName name="v_13_XE_ana">Model!$S$146</definedName>
    <definedName name="v_13_XHAO_H">Model!$BJ$146</definedName>
    <definedName name="v_13_XHAO_H_P">Model!$BM$146</definedName>
    <definedName name="v_13_XHAO_H_P_old">Model!$BO$146</definedName>
    <definedName name="v_13_XHAO_L">Model!$BK$146</definedName>
    <definedName name="v_13_XHAO_L_P">Model!$BN$146</definedName>
    <definedName name="v_13_XHAO_L_P_old">Model!$BP$146</definedName>
    <definedName name="v_13_XHAO_old">Model!$BL$146</definedName>
    <definedName name="v_13_XHFO_H">Model!$BC$146</definedName>
    <definedName name="v_13_XHFO_H_P">Model!$BF$146</definedName>
    <definedName name="v_13_XHFO_H_P_old">Model!$BH$146</definedName>
    <definedName name="v_13_XHFO_L">Model!$BD$146</definedName>
    <definedName name="v_13_XHFO_L_P">Model!$BG$146</definedName>
    <definedName name="v_13_XHFO_L_P_old">Model!$BI$146</definedName>
    <definedName name="v_13_XHFO_old">Model!$BE$146</definedName>
    <definedName name="v_13_XHMETO">Model!$AB$146</definedName>
    <definedName name="v_13_XINORG">Model!$AV$146</definedName>
    <definedName name="v_13_XMEOLO">Model!$W$146</definedName>
    <definedName name="v_13_XN_B">Model!$AI$146</definedName>
    <definedName name="v_13_XN_Be">Model!$AJ$146</definedName>
    <definedName name="v_13_XN_U">Model!$AK$146</definedName>
    <definedName name="v_13_XNOB">Model!$Y$146</definedName>
    <definedName name="v_13_XOHO">Model!$T$146</definedName>
    <definedName name="v_13_XP_B">Model!$AO$146</definedName>
    <definedName name="v_13_XP_Be">Model!$AP$146</definedName>
    <definedName name="v_13_XP_U">Model!$AQ$146</definedName>
    <definedName name="v_13_XPFOA">Model!$BW$146</definedName>
    <definedName name="v_13_XPFOS">Model!$BY$146</definedName>
    <definedName name="v_13_XPHA_GAO">Model!$Q$146</definedName>
    <definedName name="v_13_XPHA_PAO">Model!$P$146</definedName>
    <definedName name="v_13_XPP">Model!$AM$146</definedName>
    <definedName name="v_13_XSTO">Model!$O$146</definedName>
    <definedName name="v_13_XSTR">Model!$BT$146</definedName>
    <definedName name="v_13_XU">Model!$N$146</definedName>
    <definedName name="v_13_XVivi">Model!$BU$146</definedName>
    <definedName name="v_14_CB">Model!$I$147</definedName>
    <definedName name="v_14_CU">Model!$M$147</definedName>
    <definedName name="v_14_GCH4">Model!$CD$147</definedName>
    <definedName name="v_14_GCH4_atm">Model!$CJ$147</definedName>
    <definedName name="v_14_GCO2">Model!$CC$147</definedName>
    <definedName name="v_14_GCO2_atm">Model!$CI$147</definedName>
    <definedName name="v_14_GH2">Model!$CE$147</definedName>
    <definedName name="v_14_GH2_atm">Model!$CK$147</definedName>
    <definedName name="v_14_GN2">Model!$CH$147</definedName>
    <definedName name="v_14_GN2_atm">Model!$CN$147</definedName>
    <definedName name="v_14_GNH3">Model!$CG$147</definedName>
    <definedName name="v_14_GNH3_atm">Model!$CM$147</definedName>
    <definedName name="v_14_GO2">Model!$CF$147</definedName>
    <definedName name="v_14_GO2_atm">Model!$CL$147</definedName>
    <definedName name="v_14_SALPHA">Model!$CA$147</definedName>
    <definedName name="v_14_SAN">Model!$AX$147</definedName>
    <definedName name="v_14_SB_mono">Model!$F$147</definedName>
    <definedName name="v_14_SB_poly">Model!$G$147</definedName>
    <definedName name="v_14_SCa">Model!$AY$147</definedName>
    <definedName name="v_14_SCAT">Model!$AW$147</definedName>
    <definedName name="v_14_SCH4">Model!$AS$147</definedName>
    <definedName name="v_14_SCO2">Model!$AU$147</definedName>
    <definedName name="v_14_SFe2">Model!$BB$147</definedName>
    <definedName name="v_14_SH">Model!$BZ$147</definedName>
    <definedName name="v_14_SH2">Model!$AT$147</definedName>
    <definedName name="v_14_SK">Model!$BA$147</definedName>
    <definedName name="v_14_SMEOL">Model!$H$147</definedName>
    <definedName name="v_14_SMg">Model!$AZ$147</definedName>
    <definedName name="v_14_SN_B">Model!$AH$147</definedName>
    <definedName name="v_14_SN2">Model!$AG$147</definedName>
    <definedName name="v_14_SNHx">Model!$AD$147</definedName>
    <definedName name="v_14_SNO2">Model!$AE$147</definedName>
    <definedName name="v_14_SNO3">Model!$AF$147</definedName>
    <definedName name="v_14_SO2">Model!$AR$147</definedName>
    <definedName name="v_14_SORPswitch">Model!$CB$147</definedName>
    <definedName name="v_14_SP_B">Model!$AN$147</definedName>
    <definedName name="v_14_SPFOA">Model!$BV$147</definedName>
    <definedName name="v_14_SPFOS">Model!$BX$147</definedName>
    <definedName name="v_14_SPO4">Model!$AL$147</definedName>
    <definedName name="v_14_SU">Model!$L$147</definedName>
    <definedName name="v_14_SVFA">Model!$E$147</definedName>
    <definedName name="v_14_XACP">Model!$BR$147</definedName>
    <definedName name="v_14_XAHO">Model!$U$147</definedName>
    <definedName name="v_14_XALGAE">Model!$AC$147</definedName>
    <definedName name="v_14_XAMETO">Model!$AA$147</definedName>
    <definedName name="v_14_XAMX">Model!$Z$147</definedName>
    <definedName name="v_14_XAOB">Model!$X$147</definedName>
    <definedName name="v_14_XB">Model!$J$147</definedName>
    <definedName name="v_14_XB_e">Model!$K$147</definedName>
    <definedName name="v_14_XBSH">Model!$BS$147</definedName>
    <definedName name="v_14_XCaCO3">Model!$BQ$147</definedName>
    <definedName name="v_14_XCASTO">Model!$V$147</definedName>
    <definedName name="v_14_XE">Model!$R$147</definedName>
    <definedName name="v_14_XE_ana">Model!$S$147</definedName>
    <definedName name="v_14_XHAO_H">Model!$BJ$147</definedName>
    <definedName name="v_14_XHAO_H_P">Model!$BM$147</definedName>
    <definedName name="v_14_XHAO_H_P_old">Model!$BO$147</definedName>
    <definedName name="v_14_XHAO_L">Model!$BK$147</definedName>
    <definedName name="v_14_XHAO_L_P">Model!$BN$147</definedName>
    <definedName name="v_14_XHAO_L_P_old">Model!$BP$147</definedName>
    <definedName name="v_14_XHAO_old">Model!$BL$147</definedName>
    <definedName name="v_14_XHFO_H">Model!$BC$147</definedName>
    <definedName name="v_14_XHFO_H_P">Model!$BF$147</definedName>
    <definedName name="v_14_XHFO_H_P_old">Model!$BH$147</definedName>
    <definedName name="v_14_XHFO_L">Model!$BD$147</definedName>
    <definedName name="v_14_XHFO_L_P">Model!$BG$147</definedName>
    <definedName name="v_14_XHFO_L_P_old">Model!$BI$147</definedName>
    <definedName name="v_14_XHFO_old">Model!$BE$147</definedName>
    <definedName name="v_14_XHMETO">Model!$AB$147</definedName>
    <definedName name="v_14_XINORG">Model!$AV$147</definedName>
    <definedName name="v_14_XMEOLO">Model!$W$147</definedName>
    <definedName name="v_14_XN_B">Model!$AI$147</definedName>
    <definedName name="v_14_XN_Be">Model!$AJ$147</definedName>
    <definedName name="v_14_XN_U">Model!$AK$147</definedName>
    <definedName name="v_14_XNOB">Model!$Y$147</definedName>
    <definedName name="v_14_XOHO">Model!$T$147</definedName>
    <definedName name="v_14_XP_B">Model!$AO$147</definedName>
    <definedName name="v_14_XP_Be">Model!$AP$147</definedName>
    <definedName name="v_14_XP_U">Model!$AQ$147</definedName>
    <definedName name="v_14_XPFOA">Model!$BW$147</definedName>
    <definedName name="v_14_XPFOS">Model!$BY$147</definedName>
    <definedName name="v_14_XPHA_GAO">Model!$Q$147</definedName>
    <definedName name="v_14_XPHA_PAO">Model!$P$147</definedName>
    <definedName name="v_14_XPP">Model!$AM$147</definedName>
    <definedName name="v_14_XSTO">Model!$O$147</definedName>
    <definedName name="v_14_XSTR">Model!$BT$147</definedName>
    <definedName name="v_14_XU">Model!$N$147</definedName>
    <definedName name="v_14_XVivi">Model!$BU$147</definedName>
    <definedName name="v_15_CB">Model!$I$148</definedName>
    <definedName name="v_15_CU">Model!$M$148</definedName>
    <definedName name="v_15_GCH4">Model!$CD$148</definedName>
    <definedName name="v_15_GCH4_atm">Model!$CJ$148</definedName>
    <definedName name="v_15_GCO2">Model!$CC$148</definedName>
    <definedName name="v_15_GCO2_atm">Model!$CI$148</definedName>
    <definedName name="v_15_GH2">Model!$CE$148</definedName>
    <definedName name="v_15_GH2_atm">Model!$CK$148</definedName>
    <definedName name="v_15_GN2">Model!$CH$148</definedName>
    <definedName name="v_15_GN2_atm">Model!$CN$148</definedName>
    <definedName name="v_15_GNH3">Model!$CG$148</definedName>
    <definedName name="v_15_GNH3_atm">Model!$CM$148</definedName>
    <definedName name="v_15_GO2">Model!$CF$148</definedName>
    <definedName name="v_15_GO2_atm">Model!$CL$148</definedName>
    <definedName name="v_15_SALPHA">Model!$CA$148</definedName>
    <definedName name="v_15_SAN">Model!$AX$148</definedName>
    <definedName name="v_15_SB_mono">Model!$F$148</definedName>
    <definedName name="v_15_SB_poly">Model!$G$148</definedName>
    <definedName name="v_15_SCa">Model!$AY$148</definedName>
    <definedName name="v_15_SCAT">Model!$AW$148</definedName>
    <definedName name="v_15_SCH4">Model!$AS$148</definedName>
    <definedName name="v_15_SCO2">Model!$AU$148</definedName>
    <definedName name="v_15_SFe2">Model!$BB$148</definedName>
    <definedName name="v_15_SH">Model!$BZ$148</definedName>
    <definedName name="v_15_SH2">Model!$AT$148</definedName>
    <definedName name="v_15_SK">Model!$BA$148</definedName>
    <definedName name="v_15_SMEOL">Model!$H$148</definedName>
    <definedName name="v_15_SMg">Model!$AZ$148</definedName>
    <definedName name="v_15_SN_B">Model!$AH$148</definedName>
    <definedName name="v_15_SN2">Model!$AG$148</definedName>
    <definedName name="v_15_SNHx">Model!$AD$148</definedName>
    <definedName name="v_15_SNO2">Model!$AE$148</definedName>
    <definedName name="v_15_SNO3">Model!$AF$148</definedName>
    <definedName name="v_15_SO2">Model!$AR$148</definedName>
    <definedName name="v_15_SORPswitch">Model!$CB$148</definedName>
    <definedName name="v_15_SP_B">Model!$AN$148</definedName>
    <definedName name="v_15_SPFOA">Model!$BV$148</definedName>
    <definedName name="v_15_SPFOS">Model!$BX$148</definedName>
    <definedName name="v_15_SPO4">Model!$AL$148</definedName>
    <definedName name="v_15_SU">Model!$L$148</definedName>
    <definedName name="v_15_SVFA">Model!$E$148</definedName>
    <definedName name="v_15_XACP">Model!$BR$148</definedName>
    <definedName name="v_15_XAHO">Model!$U$148</definedName>
    <definedName name="v_15_XALGAE">Model!$AC$148</definedName>
    <definedName name="v_15_XAMETO">Model!$AA$148</definedName>
    <definedName name="v_15_XAMX">Model!$Z$148</definedName>
    <definedName name="v_15_XAOB">Model!$X$148</definedName>
    <definedName name="v_15_XB">Model!$J$148</definedName>
    <definedName name="v_15_XB_e">Model!$K$148</definedName>
    <definedName name="v_15_XBSH">Model!$BS$148</definedName>
    <definedName name="v_15_XCaCO3">Model!$BQ$148</definedName>
    <definedName name="v_15_XCASTO">Model!$V$148</definedName>
    <definedName name="v_15_XE">Model!$R$148</definedName>
    <definedName name="v_15_XE_ana">Model!$S$148</definedName>
    <definedName name="v_15_XHAO_H">Model!$BJ$148</definedName>
    <definedName name="v_15_XHAO_H_P">Model!$BM$148</definedName>
    <definedName name="v_15_XHAO_H_P_old">Model!$BO$148</definedName>
    <definedName name="v_15_XHAO_L">Model!$BK$148</definedName>
    <definedName name="v_15_XHAO_L_P">Model!$BN$148</definedName>
    <definedName name="v_15_XHAO_L_P_old">Model!$BP$148</definedName>
    <definedName name="v_15_XHAO_old">Model!$BL$148</definedName>
    <definedName name="v_15_XHFO_H">Model!$BC$148</definedName>
    <definedName name="v_15_XHFO_H_P">Model!$BF$148</definedName>
    <definedName name="v_15_XHFO_H_P_old">Model!$BH$148</definedName>
    <definedName name="v_15_XHFO_L">Model!$BD$148</definedName>
    <definedName name="v_15_XHFO_L_P">Model!$BG$148</definedName>
    <definedName name="v_15_XHFO_L_P_old">Model!$BI$148</definedName>
    <definedName name="v_15_XHFO_old">Model!$BE$148</definedName>
    <definedName name="v_15_XHMETO">Model!$AB$148</definedName>
    <definedName name="v_15_XINORG">Model!$AV$148</definedName>
    <definedName name="v_15_XMEOLO">Model!$W$148</definedName>
    <definedName name="v_15_XN_B">Model!$AI$148</definedName>
    <definedName name="v_15_XN_Be">Model!$AJ$148</definedName>
    <definedName name="v_15_XN_U">Model!$AK$148</definedName>
    <definedName name="v_15_XNOB">Model!$Y$148</definedName>
    <definedName name="v_15_XOHO">Model!$T$148</definedName>
    <definedName name="v_15_XP_B">Model!$AO$148</definedName>
    <definedName name="v_15_XP_Be">Model!$AP$148</definedName>
    <definedName name="v_15_XP_U">Model!$AQ$148</definedName>
    <definedName name="v_15_XPFOA">Model!$BW$148</definedName>
    <definedName name="v_15_XPFOS">Model!$BY$148</definedName>
    <definedName name="v_15_XPHA_GAO">Model!$Q$148</definedName>
    <definedName name="v_15_XPHA_PAO">Model!$P$148</definedName>
    <definedName name="v_15_XPP">Model!$AM$148</definedName>
    <definedName name="v_15_XSTO">Model!$O$148</definedName>
    <definedName name="v_15_XSTR">Model!$BT$148</definedName>
    <definedName name="v_15_XU">Model!$N$148</definedName>
    <definedName name="v_15_XVivi">Model!$BU$148</definedName>
    <definedName name="v_16_CB">Model!$I$149</definedName>
    <definedName name="v_16_CU">Model!$M$149</definedName>
    <definedName name="v_16_GCH4">Model!$CD$149</definedName>
    <definedName name="v_16_GCH4_atm">Model!$CJ$149</definedName>
    <definedName name="v_16_GCO2">Model!$CC$149</definedName>
    <definedName name="v_16_GCO2_atm">Model!$CI$149</definedName>
    <definedName name="v_16_GH2">Model!$CE$149</definedName>
    <definedName name="v_16_GH2_atm">Model!$CK$149</definedName>
    <definedName name="v_16_GN2">Model!$CH$149</definedName>
    <definedName name="v_16_GN2_atm">Model!$CN$149</definedName>
    <definedName name="v_16_GNH3">Model!$CG$149</definedName>
    <definedName name="v_16_GNH3_atm">Model!$CM$149</definedName>
    <definedName name="v_16_GO2">Model!$CF$149</definedName>
    <definedName name="v_16_GO2_atm">Model!$CL$149</definedName>
    <definedName name="v_16_SALPHA">Model!$CA$149</definedName>
    <definedName name="v_16_SAN">Model!$AX$149</definedName>
    <definedName name="v_16_SB_mono">Model!$F$149</definedName>
    <definedName name="v_16_SB_poly">Model!$G$149</definedName>
    <definedName name="v_16_SCa">Model!$AY$149</definedName>
    <definedName name="v_16_SCAT">Model!$AW$149</definedName>
    <definedName name="v_16_SCH4">Model!$AS$149</definedName>
    <definedName name="v_16_SCO2">Model!$AU$149</definedName>
    <definedName name="v_16_SFe2">Model!$BB$149</definedName>
    <definedName name="v_16_SH">Model!$BZ$149</definedName>
    <definedName name="v_16_SH2">Model!$AT$149</definedName>
    <definedName name="v_16_SK">Model!$BA$149</definedName>
    <definedName name="v_16_SMEOL">Model!$H$149</definedName>
    <definedName name="v_16_SMg">Model!$AZ$149</definedName>
    <definedName name="v_16_SN_B">Model!$AH$149</definedName>
    <definedName name="v_16_SN2">Model!$AG$149</definedName>
    <definedName name="v_16_SNHx">Model!$AD$149</definedName>
    <definedName name="v_16_SNO2">Model!$AE$149</definedName>
    <definedName name="v_16_SNO3">Model!$AF$149</definedName>
    <definedName name="v_16_SO2">Model!$AR$149</definedName>
    <definedName name="v_16_SORPswitch">Model!$CB$149</definedName>
    <definedName name="v_16_SP_B">Model!$AN$149</definedName>
    <definedName name="v_16_SPFOA">Model!$BV$149</definedName>
    <definedName name="v_16_SPFOS">Model!$BX$149</definedName>
    <definedName name="v_16_SPO4">Model!$AL$149</definedName>
    <definedName name="v_16_SU">Model!$L$149</definedName>
    <definedName name="v_16_SVFA">Model!$E$149</definedName>
    <definedName name="v_16_XACP">Model!$BR$149</definedName>
    <definedName name="v_16_XAHO">Model!$U$149</definedName>
    <definedName name="v_16_XALGAE">Model!$AC$149</definedName>
    <definedName name="v_16_XAMETO">Model!$AA$149</definedName>
    <definedName name="v_16_XAMX">Model!$Z$149</definedName>
    <definedName name="v_16_XAOB">Model!$X$149</definedName>
    <definedName name="v_16_XB">Model!$J$149</definedName>
    <definedName name="v_16_XB_e">Model!$K$149</definedName>
    <definedName name="v_16_XBSH">Model!$BS$149</definedName>
    <definedName name="v_16_XCaCO3">Model!$BQ$149</definedName>
    <definedName name="v_16_XCASTO">Model!$V$149</definedName>
    <definedName name="v_16_XE">Model!$R$149</definedName>
    <definedName name="v_16_XE_ana">Model!$S$149</definedName>
    <definedName name="v_16_XHAO_H">Model!$BJ$149</definedName>
    <definedName name="v_16_XHAO_H_P">Model!$BM$149</definedName>
    <definedName name="v_16_XHAO_H_P_old">Model!$BO$149</definedName>
    <definedName name="v_16_XHAO_L">Model!$BK$149</definedName>
    <definedName name="v_16_XHAO_L_P">Model!$BN$149</definedName>
    <definedName name="v_16_XHAO_L_P_old">Model!$BP$149</definedName>
    <definedName name="v_16_XHAO_old">Model!$BL$149</definedName>
    <definedName name="v_16_XHFO_H">Model!$BC$149</definedName>
    <definedName name="v_16_XHFO_H_P">Model!$BF$149</definedName>
    <definedName name="v_16_XHFO_H_P_old">Model!$BH$149</definedName>
    <definedName name="v_16_XHFO_L">Model!$BD$149</definedName>
    <definedName name="v_16_XHFO_L_P">Model!$BG$149</definedName>
    <definedName name="v_16_XHFO_L_P_old">Model!$BI$149</definedName>
    <definedName name="v_16_XHFO_old">Model!$BE$149</definedName>
    <definedName name="v_16_XHMETO">Model!$AB$149</definedName>
    <definedName name="v_16_XINORG">Model!$AV$149</definedName>
    <definedName name="v_16_XMEOLO">Model!$W$149</definedName>
    <definedName name="v_16_XN_B">Model!$AI$149</definedName>
    <definedName name="v_16_XN_Be">Model!$AJ$149</definedName>
    <definedName name="v_16_XN_U">Model!$AK$149</definedName>
    <definedName name="v_16_XNOB">Model!$Y$149</definedName>
    <definedName name="v_16_XOHO">Model!$T$149</definedName>
    <definedName name="v_16_XP_B">Model!$AO$149</definedName>
    <definedName name="v_16_XP_Be">Model!$AP$149</definedName>
    <definedName name="v_16_XP_U">Model!$AQ$149</definedName>
    <definedName name="v_16_XPFOA">Model!$BW$149</definedName>
    <definedName name="v_16_XPFOS">Model!$BY$149</definedName>
    <definedName name="v_16_XPHA_GAO">Model!$Q$149</definedName>
    <definedName name="v_16_XPHA_PAO">Model!$P$149</definedName>
    <definedName name="v_16_XPP">Model!$AM$149</definedName>
    <definedName name="v_16_XSTO">Model!$O$149</definedName>
    <definedName name="v_16_XSTR">Model!$BT$149</definedName>
    <definedName name="v_16_XU">Model!$N$149</definedName>
    <definedName name="v_16_XVivi">Model!$BU$149</definedName>
    <definedName name="v_17_CB">Model!$I$150</definedName>
    <definedName name="v_17_CU">Model!$M$150</definedName>
    <definedName name="v_17_GCH4">Model!$CD$150</definedName>
    <definedName name="v_17_GCH4_atm">Model!$CJ$150</definedName>
    <definedName name="v_17_GCO2">Model!$CC$150</definedName>
    <definedName name="v_17_GCO2_atm">Model!$CI$150</definedName>
    <definedName name="v_17_GH2">Model!$CE$150</definedName>
    <definedName name="v_17_GH2_atm">Model!$CK$150</definedName>
    <definedName name="v_17_GN2">Model!$CH$150</definedName>
    <definedName name="v_17_GN2_atm">Model!$CN$150</definedName>
    <definedName name="v_17_GNH3">Model!$CG$150</definedName>
    <definedName name="v_17_GNH3_atm">Model!$CM$150</definedName>
    <definedName name="v_17_GO2">Model!$CF$150</definedName>
    <definedName name="v_17_GO2_atm">Model!$CL$150</definedName>
    <definedName name="v_17_SALPHA">Model!$CA$150</definedName>
    <definedName name="v_17_SAN">Model!$AX$150</definedName>
    <definedName name="v_17_SB_mono">Model!$F$150</definedName>
    <definedName name="v_17_SB_poly">Model!$G$150</definedName>
    <definedName name="v_17_SCa">Model!$AY$150</definedName>
    <definedName name="v_17_SCAT">Model!$AW$150</definedName>
    <definedName name="v_17_SCH4">Model!$AS$150</definedName>
    <definedName name="v_17_SCO2">Model!$AU$150</definedName>
    <definedName name="v_17_SFe2">Model!$BB$150</definedName>
    <definedName name="v_17_SH">Model!$BZ$150</definedName>
    <definedName name="v_17_SH2">Model!$AT$150</definedName>
    <definedName name="v_17_SK">Model!$BA$150</definedName>
    <definedName name="v_17_SMEOL">Model!$H$150</definedName>
    <definedName name="v_17_SMg">Model!$AZ$150</definedName>
    <definedName name="v_17_SN_B">Model!$AH$150</definedName>
    <definedName name="v_17_SN2">Model!$AG$150</definedName>
    <definedName name="v_17_SNHx">Model!$AD$150</definedName>
    <definedName name="v_17_SNO2">Model!$AE$150</definedName>
    <definedName name="v_17_SNO3">Model!$AF$150</definedName>
    <definedName name="v_17_SO2">Model!$AR$150</definedName>
    <definedName name="v_17_SORPswitch">Model!$CB$150</definedName>
    <definedName name="v_17_SP_B">Model!$AN$150</definedName>
    <definedName name="v_17_SPFOA">Model!$BV$150</definedName>
    <definedName name="v_17_SPFOS">Model!$BX$150</definedName>
    <definedName name="v_17_SPO4">Model!$AL$150</definedName>
    <definedName name="v_17_SU">Model!$L$150</definedName>
    <definedName name="v_17_SVFA">Model!$E$150</definedName>
    <definedName name="v_17_XACP">Model!$BR$150</definedName>
    <definedName name="v_17_XAHO">Model!$U$150</definedName>
    <definedName name="v_17_XALGAE">Model!$AC$150</definedName>
    <definedName name="v_17_XAMETO">Model!$AA$150</definedName>
    <definedName name="v_17_XAMX">Model!$Z$150</definedName>
    <definedName name="v_17_XAOB">Model!$X$150</definedName>
    <definedName name="v_17_XB">Model!$J$150</definedName>
    <definedName name="v_17_XB_e">Model!$K$150</definedName>
    <definedName name="v_17_XBSH">Model!$BS$150</definedName>
    <definedName name="v_17_XCaCO3">Model!$BQ$150</definedName>
    <definedName name="v_17_XCASTO">Model!$V$150</definedName>
    <definedName name="v_17_XE">Model!$R$150</definedName>
    <definedName name="v_17_XE_ana">Model!$S$150</definedName>
    <definedName name="v_17_XHAO_H">Model!$BJ$150</definedName>
    <definedName name="v_17_XHAO_H_P">Model!$BM$150</definedName>
    <definedName name="v_17_XHAO_H_P_old">Model!$BO$150</definedName>
    <definedName name="v_17_XHAO_L">Model!$BK$150</definedName>
    <definedName name="v_17_XHAO_L_P">Model!$BN$150</definedName>
    <definedName name="v_17_XHAO_L_P_old">Model!$BP$150</definedName>
    <definedName name="v_17_XHAO_old">Model!$BL$150</definedName>
    <definedName name="v_17_XHFO_H">Model!$BC$150</definedName>
    <definedName name="v_17_XHFO_H_P">Model!$BF$150</definedName>
    <definedName name="v_17_XHFO_H_P_old">Model!$BH$150</definedName>
    <definedName name="v_17_XHFO_L">Model!$BD$150</definedName>
    <definedName name="v_17_XHFO_L_P">Model!$BG$150</definedName>
    <definedName name="v_17_XHFO_L_P_old">Model!$BI$150</definedName>
    <definedName name="v_17_XHFO_old">Model!$BE$150</definedName>
    <definedName name="v_17_XHMETO">Model!$AB$150</definedName>
    <definedName name="v_17_XINORG">Model!$AV$150</definedName>
    <definedName name="v_17_XMEOLO">Model!$W$150</definedName>
    <definedName name="v_17_XN_B">Model!$AI$150</definedName>
    <definedName name="v_17_XN_Be">Model!$AJ$150</definedName>
    <definedName name="v_17_XN_U">Model!$AK$150</definedName>
    <definedName name="v_17_XNOB">Model!$Y$150</definedName>
    <definedName name="v_17_XOHO">Model!$T$150</definedName>
    <definedName name="v_17_XP_B">Model!$AO$150</definedName>
    <definedName name="v_17_XP_Be">Model!$AP$150</definedName>
    <definedName name="v_17_XP_U">Model!$AQ$150</definedName>
    <definedName name="v_17_XPFOA">Model!$BW$150</definedName>
    <definedName name="v_17_XPFOS">Model!$BY$150</definedName>
    <definedName name="v_17_XPHA_GAO">Model!$Q$150</definedName>
    <definedName name="v_17_XPHA_PAO">Model!$P$150</definedName>
    <definedName name="v_17_XPP">Model!$AM$150</definedName>
    <definedName name="v_17_XSTO">Model!$O$150</definedName>
    <definedName name="v_17_XSTR">Model!$BT$150</definedName>
    <definedName name="v_17_XU">Model!$N$150</definedName>
    <definedName name="v_17_XVivi">Model!$BU$150</definedName>
    <definedName name="v_18_CB">Model!$I$151</definedName>
    <definedName name="v_18_CU">Model!$M$151</definedName>
    <definedName name="v_18_GCH4">Model!$CD$151</definedName>
    <definedName name="v_18_GCH4_atm">Model!$CJ$151</definedName>
    <definedName name="v_18_GCO2">Model!$CC$151</definedName>
    <definedName name="v_18_GCO2_atm">Model!$CI$151</definedName>
    <definedName name="v_18_GH2">Model!$CE$151</definedName>
    <definedName name="v_18_GH2_atm">Model!$CK$151</definedName>
    <definedName name="v_18_GN2">Model!$CH$151</definedName>
    <definedName name="v_18_GN2_atm">Model!$CN$151</definedName>
    <definedName name="v_18_GNH3">Model!$CG$151</definedName>
    <definedName name="v_18_GNH3_atm">Model!$CM$151</definedName>
    <definedName name="v_18_GO2">Model!$CF$151</definedName>
    <definedName name="v_18_GO2_atm">Model!$CL$151</definedName>
    <definedName name="v_18_SALPHA">Model!$CA$151</definedName>
    <definedName name="v_18_SAN">Model!$AX$151</definedName>
    <definedName name="v_18_SB_mono">Model!$F$151</definedName>
    <definedName name="v_18_SB_poly">Model!$G$151</definedName>
    <definedName name="v_18_SCa">Model!$AY$151</definedName>
    <definedName name="v_18_SCAT">Model!$AW$151</definedName>
    <definedName name="v_18_SCH4">Model!$AS$151</definedName>
    <definedName name="v_18_SCO2">Model!$AU$151</definedName>
    <definedName name="v_18_SFe2">Model!$BB$151</definedName>
    <definedName name="v_18_SH">Model!$BZ$151</definedName>
    <definedName name="v_18_SH2">Model!$AT$151</definedName>
    <definedName name="v_18_SK">Model!$BA$151</definedName>
    <definedName name="v_18_SMEOL">Model!$H$151</definedName>
    <definedName name="v_18_SMg">Model!$AZ$151</definedName>
    <definedName name="v_18_SN_B">Model!$AH$151</definedName>
    <definedName name="v_18_SN2">Model!$AG$151</definedName>
    <definedName name="v_18_SNHx">Model!$AD$151</definedName>
    <definedName name="v_18_SNO2">Model!$AE$151</definedName>
    <definedName name="v_18_SNO3">Model!$AF$151</definedName>
    <definedName name="v_18_SO2">Model!$AR$151</definedName>
    <definedName name="v_18_SORPswitch">Model!$CB$151</definedName>
    <definedName name="v_18_SP_B">Model!$AN$151</definedName>
    <definedName name="v_18_SPFOA">Model!$BV$151</definedName>
    <definedName name="v_18_SPFOS">Model!$BX$151</definedName>
    <definedName name="v_18_SPO4">Model!$AL$151</definedName>
    <definedName name="v_18_SU">Model!$L$151</definedName>
    <definedName name="v_18_SVFA">Model!$E$151</definedName>
    <definedName name="v_18_XACP">Model!$BR$151</definedName>
    <definedName name="v_18_XAHO">Model!$U$151</definedName>
    <definedName name="v_18_XALGAE">Model!$AC$151</definedName>
    <definedName name="v_18_XAMETO">Model!$AA$151</definedName>
    <definedName name="v_18_XAMX">Model!$Z$151</definedName>
    <definedName name="v_18_XAOB">Model!$X$151</definedName>
    <definedName name="v_18_XB">Model!$J$151</definedName>
    <definedName name="v_18_XB_e">Model!$K$151</definedName>
    <definedName name="v_18_XBSH">Model!$BS$151</definedName>
    <definedName name="v_18_XCaCO3">Model!$BQ$151</definedName>
    <definedName name="v_18_XCASTO">Model!$V$151</definedName>
    <definedName name="v_18_XE">Model!$R$151</definedName>
    <definedName name="v_18_XE_ana">Model!$S$151</definedName>
    <definedName name="v_18_XHAO_H">Model!$BJ$151</definedName>
    <definedName name="v_18_XHAO_H_P">Model!$BM$151</definedName>
    <definedName name="v_18_XHAO_H_P_old">Model!$BO$151</definedName>
    <definedName name="v_18_XHAO_L">Model!$BK$151</definedName>
    <definedName name="v_18_XHAO_L_P">Model!$BN$151</definedName>
    <definedName name="v_18_XHAO_L_P_old">Model!$BP$151</definedName>
    <definedName name="v_18_XHAO_old">Model!$BL$151</definedName>
    <definedName name="v_18_XHFO_H">Model!$BC$151</definedName>
    <definedName name="v_18_XHFO_H_P">Model!$BF$151</definedName>
    <definedName name="v_18_XHFO_H_P_old">Model!$BH$151</definedName>
    <definedName name="v_18_XHFO_L">Model!$BD$151</definedName>
    <definedName name="v_18_XHFO_L_P">Model!$BG$151</definedName>
    <definedName name="v_18_XHFO_L_P_old">Model!$BI$151</definedName>
    <definedName name="v_18_XHFO_old">Model!$BE$151</definedName>
    <definedName name="v_18_XHMETO">Model!$AB$151</definedName>
    <definedName name="v_18_XINORG">Model!$AV$151</definedName>
    <definedName name="v_18_XMEOLO">Model!$W$151</definedName>
    <definedName name="v_18_XN_B">Model!$AI$151</definedName>
    <definedName name="v_18_XN_Be">Model!$AJ$151</definedName>
    <definedName name="v_18_XN_U">Model!$AK$151</definedName>
    <definedName name="v_18_XNOB">Model!$Y$151</definedName>
    <definedName name="v_18_XOHO">Model!$T$151</definedName>
    <definedName name="v_18_XP_B">Model!$AO$151</definedName>
    <definedName name="v_18_XP_Be">Model!$AP$151</definedName>
    <definedName name="v_18_XP_U">Model!$AQ$151</definedName>
    <definedName name="v_18_XPFOA">Model!$BW$151</definedName>
    <definedName name="v_18_XPFOS">Model!$BY$151</definedName>
    <definedName name="v_18_XPHA_GAO">Model!$Q$151</definedName>
    <definedName name="v_18_XPHA_PAO">Model!$P$151</definedName>
    <definedName name="v_18_XPP">Model!$AM$151</definedName>
    <definedName name="v_18_XSTO">Model!$O$151</definedName>
    <definedName name="v_18_XSTR">Model!$BT$151</definedName>
    <definedName name="v_18_XU">Model!$N$151</definedName>
    <definedName name="v_18_XVivi">Model!$BU$151</definedName>
    <definedName name="v_19_CB">Model!$I$152</definedName>
    <definedName name="v_19_CU">Model!$M$152</definedName>
    <definedName name="v_19_GCH4">Model!$CD$152</definedName>
    <definedName name="v_19_GCH4_atm">Model!$CJ$152</definedName>
    <definedName name="v_19_GCO2">Model!$CC$152</definedName>
    <definedName name="v_19_GCO2_atm">Model!$CI$152</definedName>
    <definedName name="v_19_GH2">Model!$CE$152</definedName>
    <definedName name="v_19_GH2_atm">Model!$CK$152</definedName>
    <definedName name="v_19_GN2">Model!$CH$152</definedName>
    <definedName name="v_19_GN2_atm">Model!$CN$152</definedName>
    <definedName name="v_19_GNH3">Model!$CG$152</definedName>
    <definedName name="v_19_GNH3_atm">Model!$CM$152</definedName>
    <definedName name="v_19_GO2">Model!$CF$152</definedName>
    <definedName name="v_19_GO2_atm">Model!$CL$152</definedName>
    <definedName name="v_19_SALPHA">Model!$CA$152</definedName>
    <definedName name="v_19_SAN">Model!$AX$152</definedName>
    <definedName name="v_19_SB_mono">Model!$F$152</definedName>
    <definedName name="v_19_SB_poly">Model!$G$152</definedName>
    <definedName name="v_19_SCa">Model!$AY$152</definedName>
    <definedName name="v_19_SCAT">Model!$AW$152</definedName>
    <definedName name="v_19_SCH4">Model!$AS$152</definedName>
    <definedName name="v_19_SCO2">Model!$AU$152</definedName>
    <definedName name="v_19_SFe2">Model!$BB$152</definedName>
    <definedName name="v_19_SH">Model!$BZ$152</definedName>
    <definedName name="v_19_SH2">Model!$AT$152</definedName>
    <definedName name="v_19_SK">Model!$BA$152</definedName>
    <definedName name="v_19_SMEOL">Model!$H$152</definedName>
    <definedName name="v_19_SMg">Model!$AZ$152</definedName>
    <definedName name="v_19_SN_B">Model!$AH$152</definedName>
    <definedName name="v_19_SN2">Model!$AG$152</definedName>
    <definedName name="v_19_SNHx">Model!$AD$152</definedName>
    <definedName name="v_19_SNO2">Model!$AE$152</definedName>
    <definedName name="v_19_SNO3">Model!$AF$152</definedName>
    <definedName name="v_19_SO2">Model!$AR$152</definedName>
    <definedName name="v_19_SORPswitch">Model!$CB$152</definedName>
    <definedName name="v_19_SP_B">Model!$AN$152</definedName>
    <definedName name="v_19_SPFOA">Model!$BV$152</definedName>
    <definedName name="v_19_SPFOS">Model!$BX$152</definedName>
    <definedName name="v_19_SPO4">Model!$AL$152</definedName>
    <definedName name="v_19_SU">Model!$L$152</definedName>
    <definedName name="v_19_SVFA">Model!$E$152</definedName>
    <definedName name="v_19_XACP">Model!$BR$152</definedName>
    <definedName name="v_19_XAHO">Model!$U$152</definedName>
    <definedName name="v_19_XALGAE">Model!$AC$152</definedName>
    <definedName name="v_19_XAMETO">Model!$AA$152</definedName>
    <definedName name="v_19_XAMX">Model!$Z$152</definedName>
    <definedName name="v_19_XAOB">Model!$X$152</definedName>
    <definedName name="v_19_XB">Model!$J$152</definedName>
    <definedName name="v_19_XB_e">Model!$K$152</definedName>
    <definedName name="v_19_XBSH">Model!$BS$152</definedName>
    <definedName name="v_19_XCaCO3">Model!$BQ$152</definedName>
    <definedName name="v_19_XCASTO">Model!$V$152</definedName>
    <definedName name="v_19_XE">Model!$R$152</definedName>
    <definedName name="v_19_XE_ana">Model!$S$152</definedName>
    <definedName name="v_19_XHAO_H">Model!$BJ$152</definedName>
    <definedName name="v_19_XHAO_H_P">Model!$BM$152</definedName>
    <definedName name="v_19_XHAO_H_P_old">Model!$BO$152</definedName>
    <definedName name="v_19_XHAO_L">Model!$BK$152</definedName>
    <definedName name="v_19_XHAO_L_P">Model!$BN$152</definedName>
    <definedName name="v_19_XHAO_L_P_old">Model!$BP$152</definedName>
    <definedName name="v_19_XHAO_old">Model!$BL$152</definedName>
    <definedName name="v_19_XHFO_H">Model!$BC$152</definedName>
    <definedName name="v_19_XHFO_H_P">Model!$BF$152</definedName>
    <definedName name="v_19_XHFO_H_P_old">Model!$BH$152</definedName>
    <definedName name="v_19_XHFO_L">Model!$BD$152</definedName>
    <definedName name="v_19_XHFO_L_P">Model!$BG$152</definedName>
    <definedName name="v_19_XHFO_L_P_old">Model!$BI$152</definedName>
    <definedName name="v_19_XHFO_old">Model!$BE$152</definedName>
    <definedName name="v_19_XHMETO">Model!$AB$152</definedName>
    <definedName name="v_19_XINORG">Model!$AV$152</definedName>
    <definedName name="v_19_XMEOLO">Model!$W$152</definedName>
    <definedName name="v_19_XN_B">Model!$AI$152</definedName>
    <definedName name="v_19_XN_Be">Model!$AJ$152</definedName>
    <definedName name="v_19_XN_U">Model!$AK$152</definedName>
    <definedName name="v_19_XNOB">Model!$Y$152</definedName>
    <definedName name="v_19_XOHO">Model!$T$152</definedName>
    <definedName name="v_19_XP_B">Model!$AO$152</definedName>
    <definedName name="v_19_XP_Be">Model!$AP$152</definedName>
    <definedName name="v_19_XP_U">Model!$AQ$152</definedName>
    <definedName name="v_19_XPFOA">Model!$BW$152</definedName>
    <definedName name="v_19_XPFOS">Model!$BY$152</definedName>
    <definedName name="v_19_XPHA_GAO">Model!$Q$152</definedName>
    <definedName name="v_19_XPHA_PAO">Model!$P$152</definedName>
    <definedName name="v_19_XPP">Model!$AM$152</definedName>
    <definedName name="v_19_XSTO">Model!$O$152</definedName>
    <definedName name="v_19_XSTR">Model!$BT$152</definedName>
    <definedName name="v_19_XU">Model!$N$152</definedName>
    <definedName name="v_19_XVivi">Model!$BU$152</definedName>
    <definedName name="v_2_CB">Model!$I$135</definedName>
    <definedName name="v_2_CU">Model!$M$135</definedName>
    <definedName name="v_2_GCH4">Model!$CD$135</definedName>
    <definedName name="v_2_GCH4_atm">Model!$CJ$135</definedName>
    <definedName name="v_2_GCO2">Model!$CC$135</definedName>
    <definedName name="v_2_GCO2_atm">Model!$CI$135</definedName>
    <definedName name="v_2_GH2">Model!$CE$135</definedName>
    <definedName name="v_2_GH2_atm">Model!$CK$135</definedName>
    <definedName name="v_2_GN2">Model!$CH$135</definedName>
    <definedName name="v_2_GN2_atm">Model!$CN$135</definedName>
    <definedName name="v_2_GNH3">Model!$CG$135</definedName>
    <definedName name="v_2_GNH3_atm">Model!$CM$135</definedName>
    <definedName name="v_2_GO2">Model!$CF$135</definedName>
    <definedName name="v_2_GO2_atm">Model!$CL$135</definedName>
    <definedName name="v_2_SALPHA">Model!$CA$135</definedName>
    <definedName name="v_2_SAN">Model!$AX$135</definedName>
    <definedName name="v_2_SB_mono">Model!$F$135</definedName>
    <definedName name="v_2_SB_poly">Model!$G$135</definedName>
    <definedName name="v_2_SCa">Model!$AY$135</definedName>
    <definedName name="v_2_SCAT">Model!$AW$135</definedName>
    <definedName name="v_2_SCH4">Model!$AS$135</definedName>
    <definedName name="v_2_SCO2">Model!$AU$135</definedName>
    <definedName name="v_2_SFe2">Model!$BB$135</definedName>
    <definedName name="v_2_SH">Model!$BZ$135</definedName>
    <definedName name="v_2_SH2">Model!$AT$135</definedName>
    <definedName name="v_2_SK">Model!$BA$135</definedName>
    <definedName name="v_2_SMEOL">Model!$H$135</definedName>
    <definedName name="v_2_SMg">Model!$AZ$135</definedName>
    <definedName name="v_2_SN_B">Model!$AH$135</definedName>
    <definedName name="v_2_SN2">Model!$AG$135</definedName>
    <definedName name="v_2_SNHx">Model!$AD$135</definedName>
    <definedName name="v_2_SNO2">Model!$AE$135</definedName>
    <definedName name="v_2_SNO3">Model!$AF$135</definedName>
    <definedName name="v_2_SO2">Model!$AR$135</definedName>
    <definedName name="v_2_SORPswitch">Model!$CB$135</definedName>
    <definedName name="v_2_SP_B">Model!$AN$135</definedName>
    <definedName name="v_2_SPFOA">Model!$BV$135</definedName>
    <definedName name="v_2_SPFOS">Model!$BX$135</definedName>
    <definedName name="v_2_SPO4">Model!$AL$135</definedName>
    <definedName name="v_2_SU">Model!$L$135</definedName>
    <definedName name="v_2_SVFA">Model!$E$135</definedName>
    <definedName name="v_2_XACP">Model!$BR$135</definedName>
    <definedName name="v_2_XAHO">Model!$U$135</definedName>
    <definedName name="v_2_XALGAE">Model!$AC$135</definedName>
    <definedName name="v_2_XAMETO">Model!$AA$135</definedName>
    <definedName name="v_2_XAMX">Model!$Z$135</definedName>
    <definedName name="v_2_XAOB">Model!$X$135</definedName>
    <definedName name="v_2_XB">Model!$J$135</definedName>
    <definedName name="v_2_XB_e">Model!$K$135</definedName>
    <definedName name="v_2_XBSH">Model!$BS$135</definedName>
    <definedName name="v_2_XCaCO3">Model!$BQ$135</definedName>
    <definedName name="v_2_XCASTO">Model!$V$135</definedName>
    <definedName name="v_2_XE">Model!$R$135</definedName>
    <definedName name="v_2_XE_ana">Model!$S$135</definedName>
    <definedName name="v_2_XHAO_H">Model!$BJ$135</definedName>
    <definedName name="v_2_XHAO_H_P">Model!$BM$135</definedName>
    <definedName name="v_2_XHAO_H_P_old">Model!$BO$135</definedName>
    <definedName name="v_2_XHAO_L">Model!$BK$135</definedName>
    <definedName name="v_2_XHAO_L_P">Model!$BN$135</definedName>
    <definedName name="v_2_XHAO_L_P_old">Model!$BP$135</definedName>
    <definedName name="v_2_XHAO_old">Model!$BL$135</definedName>
    <definedName name="v_2_XHFO_H">Model!$BC$135</definedName>
    <definedName name="v_2_XHFO_H_P">Model!$BF$135</definedName>
    <definedName name="v_2_XHFO_H_P_old">Model!$BH$135</definedName>
    <definedName name="v_2_XHFO_L">Model!$BD$135</definedName>
    <definedName name="v_2_XHFO_L_P">Model!$BG$135</definedName>
    <definedName name="v_2_XHFO_L_P_old">Model!$BI$135</definedName>
    <definedName name="v_2_XHFO_old">Model!$BE$135</definedName>
    <definedName name="v_2_XHMETO">Model!$AB$135</definedName>
    <definedName name="v_2_XINORG">Model!$AV$135</definedName>
    <definedName name="v_2_XMEOLO">Model!$W$135</definedName>
    <definedName name="v_2_XN_B">Model!$AI$135</definedName>
    <definedName name="v_2_XN_Be">Model!$AJ$135</definedName>
    <definedName name="v_2_XN_U">Model!$AK$135</definedName>
    <definedName name="v_2_XNOB">Model!$Y$135</definedName>
    <definedName name="v_2_XOHO">Model!$T$135</definedName>
    <definedName name="v_2_XP_B">Model!$AO$135</definedName>
    <definedName name="v_2_XP_Be">Model!$AP$135</definedName>
    <definedName name="v_2_XP_U">Model!$AQ$135</definedName>
    <definedName name="v_2_XPFOA">Model!$BW$135</definedName>
    <definedName name="v_2_XPFOS">Model!$BY$135</definedName>
    <definedName name="v_2_XPHA_GAO">Model!$Q$135</definedName>
    <definedName name="v_2_XPHA_PAO">Model!$P$135</definedName>
    <definedName name="v_2_XPP">Model!$AM$135</definedName>
    <definedName name="v_2_XSTO">Model!$O$135</definedName>
    <definedName name="v_2_XSTR">Model!$BT$135</definedName>
    <definedName name="v_2_XU">Model!$N$135</definedName>
    <definedName name="v_2_XVivi">Model!$BU$135</definedName>
    <definedName name="v_20_CB">Model!$I$153</definedName>
    <definedName name="v_20_CU">Model!$M$153</definedName>
    <definedName name="v_20_GCH4">Model!$CD$153</definedName>
    <definedName name="v_20_GCH4_atm">Model!$CJ$153</definedName>
    <definedName name="v_20_GCO2">Model!$CC$153</definedName>
    <definedName name="v_20_GCO2_atm">Model!$CI$153</definedName>
    <definedName name="v_20_GH2">Model!$CE$153</definedName>
    <definedName name="v_20_GH2_atm">Model!$CK$153</definedName>
    <definedName name="v_20_GN2">Model!$CH$153</definedName>
    <definedName name="v_20_GN2_atm">Model!$CN$153</definedName>
    <definedName name="v_20_GNH3">Model!$CG$153</definedName>
    <definedName name="v_20_GNH3_atm">Model!$CM$153</definedName>
    <definedName name="v_20_GO2">Model!$CF$153</definedName>
    <definedName name="v_20_GO2_atm">Model!$CL$153</definedName>
    <definedName name="v_20_SALPHA">Model!$CA$153</definedName>
    <definedName name="v_20_SAN">Model!$AX$153</definedName>
    <definedName name="v_20_SB_mono">Model!$F$153</definedName>
    <definedName name="v_20_SB_poly">Model!$G$153</definedName>
    <definedName name="v_20_SCa">Model!$AY$153</definedName>
    <definedName name="v_20_SCAT">Model!$AW$153</definedName>
    <definedName name="v_20_SCH4">Model!$AS$153</definedName>
    <definedName name="v_20_SCO2">Model!$AU$153</definedName>
    <definedName name="v_20_SFe2">Model!$BB$153</definedName>
    <definedName name="v_20_SH">Model!$BZ$153</definedName>
    <definedName name="v_20_SH2">Model!$AT$153</definedName>
    <definedName name="v_20_SK">Model!$BA$153</definedName>
    <definedName name="v_20_SMEOL">Model!$H$153</definedName>
    <definedName name="v_20_SMg">Model!$AZ$153</definedName>
    <definedName name="v_20_SN_B">Model!$AH$153</definedName>
    <definedName name="v_20_SN2">Model!$AG$153</definedName>
    <definedName name="v_20_SNHx">Model!$AD$153</definedName>
    <definedName name="v_20_SNO2">Model!$AE$153</definedName>
    <definedName name="v_20_SNO3">Model!$AF$153</definedName>
    <definedName name="v_20_SO2">Model!$AR$153</definedName>
    <definedName name="v_20_SORPswitch">Model!$CB$153</definedName>
    <definedName name="v_20_SP_B">Model!$AN$153</definedName>
    <definedName name="v_20_SPFOA">Model!$BV$153</definedName>
    <definedName name="v_20_SPFOS">Model!$BX$153</definedName>
    <definedName name="v_20_SPO4">Model!$AL$153</definedName>
    <definedName name="v_20_SU">Model!$L$153</definedName>
    <definedName name="v_20_SVFA">Model!$E$153</definedName>
    <definedName name="v_20_XACP">Model!$BR$153</definedName>
    <definedName name="v_20_XAHO">Model!$U$153</definedName>
    <definedName name="v_20_XALGAE">Model!$AC$153</definedName>
    <definedName name="v_20_XAMETO">Model!$AA$153</definedName>
    <definedName name="v_20_XAMX">Model!$Z$153</definedName>
    <definedName name="v_20_XAOB">Model!$X$153</definedName>
    <definedName name="v_20_XB">Model!$J$153</definedName>
    <definedName name="v_20_XB_e">Model!$K$153</definedName>
    <definedName name="v_20_XBSH">Model!$BS$153</definedName>
    <definedName name="v_20_XCaCO3">Model!$BQ$153</definedName>
    <definedName name="v_20_XCASTO">Model!$V$153</definedName>
    <definedName name="v_20_XE">Model!$R$153</definedName>
    <definedName name="v_20_XE_ana">Model!$S$153</definedName>
    <definedName name="v_20_XHAO_H">Model!$BJ$153</definedName>
    <definedName name="v_20_XHAO_H_P">Model!$BM$153</definedName>
    <definedName name="v_20_XHAO_H_P_old">Model!$BO$153</definedName>
    <definedName name="v_20_XHAO_L">Model!$BK$153</definedName>
    <definedName name="v_20_XHAO_L_P">Model!$BN$153</definedName>
    <definedName name="v_20_XHAO_L_P_old">Model!$BP$153</definedName>
    <definedName name="v_20_XHAO_old">Model!$BL$153</definedName>
    <definedName name="v_20_XHFO_H">Model!$BC$153</definedName>
    <definedName name="v_20_XHFO_H_P">Model!$BF$153</definedName>
    <definedName name="v_20_XHFO_H_P_old">Model!$BH$153</definedName>
    <definedName name="v_20_XHFO_L">Model!$BD$153</definedName>
    <definedName name="v_20_XHFO_L_P">Model!$BG$153</definedName>
    <definedName name="v_20_XHFO_L_P_old">Model!$BI$153</definedName>
    <definedName name="v_20_XHFO_old">Model!$BE$153</definedName>
    <definedName name="v_20_XHMETO">Model!$AB$153</definedName>
    <definedName name="v_20_XINORG">Model!$AV$153</definedName>
    <definedName name="v_20_XMEOLO">Model!$W$153</definedName>
    <definedName name="v_20_XN_B">Model!$AI$153</definedName>
    <definedName name="v_20_XN_Be">Model!$AJ$153</definedName>
    <definedName name="v_20_XN_U">Model!$AK$153</definedName>
    <definedName name="v_20_XNOB">Model!$Y$153</definedName>
    <definedName name="v_20_XOHO">Model!$T$153</definedName>
    <definedName name="v_20_XP_B">Model!$AO$153</definedName>
    <definedName name="v_20_XP_Be">Model!$AP$153</definedName>
    <definedName name="v_20_XP_U">Model!$AQ$153</definedName>
    <definedName name="v_20_XPFOA">Model!$BW$153</definedName>
    <definedName name="v_20_XPFOS">Model!$BY$153</definedName>
    <definedName name="v_20_XPHA_GAO">Model!$Q$153</definedName>
    <definedName name="v_20_XPHA_PAO">Model!$P$153</definedName>
    <definedName name="v_20_XPP">Model!$AM$153</definedName>
    <definedName name="v_20_XSTO">Model!$O$153</definedName>
    <definedName name="v_20_XSTR">Model!$BT$153</definedName>
    <definedName name="v_20_XU">Model!$N$153</definedName>
    <definedName name="v_20_XVivi">Model!$BU$153</definedName>
    <definedName name="v_21_CB">Model!$I$154</definedName>
    <definedName name="v_21_CU">Model!$M$154</definedName>
    <definedName name="v_21_GCH4">Model!$CD$154</definedName>
    <definedName name="v_21_GCH4_atm">Model!$CJ$154</definedName>
    <definedName name="v_21_GCO2">Model!$CC$154</definedName>
    <definedName name="v_21_GCO2_atm">Model!$CI$154</definedName>
    <definedName name="v_21_GH2">Model!$CE$154</definedName>
    <definedName name="v_21_GH2_atm">Model!$CK$154</definedName>
    <definedName name="v_21_GN2">Model!$CH$154</definedName>
    <definedName name="v_21_GN2_atm">Model!$CN$154</definedName>
    <definedName name="v_21_GNH3">Model!$CG$154</definedName>
    <definedName name="v_21_GNH3_atm">Model!$CM$154</definedName>
    <definedName name="v_21_GO2">Model!$CF$154</definedName>
    <definedName name="v_21_GO2_atm">Model!$CL$154</definedName>
    <definedName name="v_21_SALPHA">Model!$CA$154</definedName>
    <definedName name="v_21_SAN">Model!$AX$154</definedName>
    <definedName name="v_21_SB_mono">Model!$F$154</definedName>
    <definedName name="v_21_SB_poly">Model!$G$154</definedName>
    <definedName name="v_21_SCa">Model!$AY$154</definedName>
    <definedName name="v_21_SCAT">Model!$AW$154</definedName>
    <definedName name="v_21_SCH4">Model!$AS$154</definedName>
    <definedName name="v_21_SCO2">Model!$AU$154</definedName>
    <definedName name="v_21_SFe2">Model!$BB$154</definedName>
    <definedName name="v_21_SH">Model!$BZ$154</definedName>
    <definedName name="v_21_SH2">Model!$AT$154</definedName>
    <definedName name="v_21_SK">Model!$BA$154</definedName>
    <definedName name="v_21_SMEOL">Model!$H$154</definedName>
    <definedName name="v_21_SMg">Model!$AZ$154</definedName>
    <definedName name="v_21_SN_B">Model!$AH$154</definedName>
    <definedName name="v_21_SN2">Model!$AG$154</definedName>
    <definedName name="v_21_SNHx">Model!$AD$154</definedName>
    <definedName name="v_21_SNO2">Model!$AE$154</definedName>
    <definedName name="v_21_SNO3">Model!$AF$154</definedName>
    <definedName name="v_21_SO2">Model!$AR$154</definedName>
    <definedName name="v_21_SORPswitch">Model!$CB$154</definedName>
    <definedName name="v_21_SP_B">Model!$AN$154</definedName>
    <definedName name="v_21_SPFOA">Model!$BV$154</definedName>
    <definedName name="v_21_SPFOS">Model!$BX$154</definedName>
    <definedName name="v_21_SPO4">Model!$AL$154</definedName>
    <definedName name="v_21_SU">Model!$L$154</definedName>
    <definedName name="v_21_SVFA">Model!$E$154</definedName>
    <definedName name="v_21_XACP">Model!$BR$154</definedName>
    <definedName name="v_21_XAHO">Model!$U$154</definedName>
    <definedName name="v_21_XALGAE">Model!$AC$154</definedName>
    <definedName name="v_21_XAMETO">Model!$AA$154</definedName>
    <definedName name="v_21_XAMX">Model!$Z$154</definedName>
    <definedName name="v_21_XAOB">Model!$X$154</definedName>
    <definedName name="v_21_XB">Model!$J$154</definedName>
    <definedName name="v_21_XB_e">Model!$K$154</definedName>
    <definedName name="v_21_XBSH">Model!$BS$154</definedName>
    <definedName name="v_21_XCaCO3">Model!$BQ$154</definedName>
    <definedName name="v_21_XCASTO">Model!$V$154</definedName>
    <definedName name="v_21_XE">Model!$R$154</definedName>
    <definedName name="v_21_XE_ana">Model!$S$154</definedName>
    <definedName name="v_21_XHAO_H">Model!$BJ$154</definedName>
    <definedName name="v_21_XHAO_H_P">Model!$BM$154</definedName>
    <definedName name="v_21_XHAO_H_P_old">Model!$BO$154</definedName>
    <definedName name="v_21_XHAO_L">Model!$BK$154</definedName>
    <definedName name="v_21_XHAO_L_P">Model!$BN$154</definedName>
    <definedName name="v_21_XHAO_L_P_old">Model!$BP$154</definedName>
    <definedName name="v_21_XHAO_old">Model!$BL$154</definedName>
    <definedName name="v_21_XHFO_H">Model!$BC$154</definedName>
    <definedName name="v_21_XHFO_H_P">Model!$BF$154</definedName>
    <definedName name="v_21_XHFO_H_P_old">Model!$BH$154</definedName>
    <definedName name="v_21_XHFO_L">Model!$BD$154</definedName>
    <definedName name="v_21_XHFO_L_P">Model!$BG$154</definedName>
    <definedName name="v_21_XHFO_L_P_old">Model!$BI$154</definedName>
    <definedName name="v_21_XHFO_old">Model!$BE$154</definedName>
    <definedName name="v_21_XHMETO">Model!$AB$154</definedName>
    <definedName name="v_21_XINORG">Model!$AV$154</definedName>
    <definedName name="v_21_XMEOLO">Model!$W$154</definedName>
    <definedName name="v_21_XN_B">Model!$AI$154</definedName>
    <definedName name="v_21_XN_Be">Model!$AJ$154</definedName>
    <definedName name="v_21_XN_U">Model!$AK$154</definedName>
    <definedName name="v_21_XNOB">Model!$Y$154</definedName>
    <definedName name="v_21_XOHO">Model!$T$154</definedName>
    <definedName name="v_21_XP_B">Model!$AO$154</definedName>
    <definedName name="v_21_XP_Be">Model!$AP$154</definedName>
    <definedName name="v_21_XP_U">Model!$AQ$154</definedName>
    <definedName name="v_21_XPFOA">Model!$BW$154</definedName>
    <definedName name="v_21_XPFOS">Model!$BY$154</definedName>
    <definedName name="v_21_XPHA_GAO">Model!$Q$154</definedName>
    <definedName name="v_21_XPHA_PAO">Model!$P$154</definedName>
    <definedName name="v_21_XPP">Model!$AM$154</definedName>
    <definedName name="v_21_XSTO">Model!$O$154</definedName>
    <definedName name="v_21_XSTR">Model!$BT$154</definedName>
    <definedName name="v_21_XU">Model!$N$154</definedName>
    <definedName name="v_21_XVivi">Model!$BU$154</definedName>
    <definedName name="v_22_CB">Model!$I$155</definedName>
    <definedName name="v_22_CU">Model!$M$155</definedName>
    <definedName name="v_22_GCH4">Model!$CD$155</definedName>
    <definedName name="v_22_GCH4_atm">Model!$CJ$155</definedName>
    <definedName name="v_22_GCO2">Model!$CC$155</definedName>
    <definedName name="v_22_GCO2_atm">Model!$CI$155</definedName>
    <definedName name="v_22_GH2">Model!$CE$155</definedName>
    <definedName name="v_22_GH2_atm">Model!$CK$155</definedName>
    <definedName name="v_22_GN2">Model!$CH$155</definedName>
    <definedName name="v_22_GN2_atm">Model!$CN$155</definedName>
    <definedName name="v_22_GNH3">Model!$CG$155</definedName>
    <definedName name="v_22_GNH3_atm">Model!$CM$155</definedName>
    <definedName name="v_22_GO2">Model!$CF$155</definedName>
    <definedName name="v_22_GO2_atm">Model!$CL$155</definedName>
    <definedName name="v_22_SALPHA">Model!$CA$155</definedName>
    <definedName name="v_22_SAN">Model!$AX$155</definedName>
    <definedName name="v_22_SB_mono">Model!$F$155</definedName>
    <definedName name="v_22_SB_poly">Model!$G$155</definedName>
    <definedName name="v_22_SCa">Model!$AY$155</definedName>
    <definedName name="v_22_SCAT">Model!$AW$155</definedName>
    <definedName name="v_22_SCH4">Model!$AS$155</definedName>
    <definedName name="v_22_SCO2">Model!$AU$155</definedName>
    <definedName name="v_22_SFe2">Model!$BB$155</definedName>
    <definedName name="v_22_SH">Model!$BZ$155</definedName>
    <definedName name="v_22_SH2">Model!$AT$155</definedName>
    <definedName name="v_22_SK">Model!$BA$155</definedName>
    <definedName name="v_22_SMEOL">Model!$H$155</definedName>
    <definedName name="v_22_SMg">Model!$AZ$155</definedName>
    <definedName name="v_22_SN_B">Model!$AH$155</definedName>
    <definedName name="v_22_SN2">Model!$AG$155</definedName>
    <definedName name="v_22_SNHx">Model!$AD$155</definedName>
    <definedName name="v_22_SNO2">Model!$AE$155</definedName>
    <definedName name="v_22_SNO3">Model!$AF$155</definedName>
    <definedName name="v_22_SO2">Model!$AR$155</definedName>
    <definedName name="v_22_SORPswitch">Model!$CB$155</definedName>
    <definedName name="v_22_SP_B">Model!$AN$155</definedName>
    <definedName name="v_22_SPFOA">Model!$BV$155</definedName>
    <definedName name="v_22_SPFOS">Model!$BX$155</definedName>
    <definedName name="v_22_SPO4">Model!$AL$155</definedName>
    <definedName name="v_22_SU">Model!$L$155</definedName>
    <definedName name="v_22_SVFA">Model!$E$155</definedName>
    <definedName name="v_22_XACP">Model!$BR$155</definedName>
    <definedName name="v_22_XAHO">Model!$U$155</definedName>
    <definedName name="v_22_XALGAE">Model!$AC$155</definedName>
    <definedName name="v_22_XAMETO">Model!$AA$155</definedName>
    <definedName name="v_22_XAMX">Model!$Z$155</definedName>
    <definedName name="v_22_XAOB">Model!$X$155</definedName>
    <definedName name="v_22_XB">Model!$J$155</definedName>
    <definedName name="v_22_XB_e">Model!$K$155</definedName>
    <definedName name="v_22_XBSH">Model!$BS$155</definedName>
    <definedName name="v_22_XCaCO3">Model!$BQ$155</definedName>
    <definedName name="v_22_XCASTO">Model!$V$155</definedName>
    <definedName name="v_22_XE">Model!$R$155</definedName>
    <definedName name="v_22_XE_ana">Model!$S$155</definedName>
    <definedName name="v_22_XHAO_H">Model!$BJ$155</definedName>
    <definedName name="v_22_XHAO_H_P">Model!$BM$155</definedName>
    <definedName name="v_22_XHAO_H_P_old">Model!$BO$155</definedName>
    <definedName name="v_22_XHAO_L">Model!$BK$155</definedName>
    <definedName name="v_22_XHAO_L_P">Model!$BN$155</definedName>
    <definedName name="v_22_XHAO_L_P_old">Model!$BP$155</definedName>
    <definedName name="v_22_XHAO_old">Model!$BL$155</definedName>
    <definedName name="v_22_XHFO_H">Model!$BC$155</definedName>
    <definedName name="v_22_XHFO_H_P">Model!$BF$155</definedName>
    <definedName name="v_22_XHFO_H_P_old">Model!$BH$155</definedName>
    <definedName name="v_22_XHFO_L">Model!$BD$155</definedName>
    <definedName name="v_22_XHFO_L_P">Model!$BG$155</definedName>
    <definedName name="v_22_XHFO_L_P_old">Model!$BI$155</definedName>
    <definedName name="v_22_XHFO_old">Model!$BE$155</definedName>
    <definedName name="v_22_XHMETO">Model!$AB$155</definedName>
    <definedName name="v_22_XINORG">Model!$AV$155</definedName>
    <definedName name="v_22_XMEOLO">Model!$W$155</definedName>
    <definedName name="v_22_XN_B">Model!$AI$155</definedName>
    <definedName name="v_22_XN_Be">Model!$AJ$155</definedName>
    <definedName name="v_22_XN_U">Model!$AK$155</definedName>
    <definedName name="v_22_XNOB">Model!$Y$155</definedName>
    <definedName name="v_22_XOHO">Model!$T$155</definedName>
    <definedName name="v_22_XP_B">Model!$AO$155</definedName>
    <definedName name="v_22_XP_Be">Model!$AP$155</definedName>
    <definedName name="v_22_XP_U">Model!$AQ$155</definedName>
    <definedName name="v_22_XPFOA">Model!$BW$155</definedName>
    <definedName name="v_22_XPFOS">Model!$BY$155</definedName>
    <definedName name="v_22_XPHA_GAO">Model!$Q$155</definedName>
    <definedName name="v_22_XPHA_PAO">Model!$P$155</definedName>
    <definedName name="v_22_XPP">Model!$AM$155</definedName>
    <definedName name="v_22_XSTO">Model!$O$155</definedName>
    <definedName name="v_22_XSTR">Model!$BT$155</definedName>
    <definedName name="v_22_XU">Model!$N$155</definedName>
    <definedName name="v_22_XVivi">Model!$BU$155</definedName>
    <definedName name="v_23_CB">Model!$I$156</definedName>
    <definedName name="v_23_CU">Model!$M$156</definedName>
    <definedName name="v_23_GCH4">Model!$CD$156</definedName>
    <definedName name="v_23_GCH4_atm">Model!$CJ$156</definedName>
    <definedName name="v_23_GCO2">Model!$CC$156</definedName>
    <definedName name="v_23_GCO2_atm">Model!$CI$156</definedName>
    <definedName name="v_23_GH2">Model!$CE$156</definedName>
    <definedName name="v_23_GH2_atm">Model!$CK$156</definedName>
    <definedName name="v_23_GN2">Model!$CH$156</definedName>
    <definedName name="v_23_GN2_atm">Model!$CN$156</definedName>
    <definedName name="v_23_GNH3">Model!$CG$156</definedName>
    <definedName name="v_23_GNH3_atm">Model!$CM$156</definedName>
    <definedName name="v_23_GO2">Model!$CF$156</definedName>
    <definedName name="v_23_GO2_atm">Model!$CL$156</definedName>
    <definedName name="v_23_SALPHA">Model!$CA$156</definedName>
    <definedName name="v_23_SAN">Model!$AX$156</definedName>
    <definedName name="v_23_SB_mono">Model!$F$156</definedName>
    <definedName name="v_23_SB_poly">Model!$G$156</definedName>
    <definedName name="v_23_SCa">Model!$AY$156</definedName>
    <definedName name="v_23_SCAT">Model!$AW$156</definedName>
    <definedName name="v_23_SCH4">Model!$AS$156</definedName>
    <definedName name="v_23_SCO2">Model!$AU$156</definedName>
    <definedName name="v_23_SFe2">Model!$BB$156</definedName>
    <definedName name="v_23_SH">Model!$BZ$156</definedName>
    <definedName name="v_23_SH2">Model!$AT$156</definedName>
    <definedName name="v_23_SK">Model!$BA$156</definedName>
    <definedName name="v_23_SMEOL">Model!$H$156</definedName>
    <definedName name="v_23_SMg">Model!$AZ$156</definedName>
    <definedName name="v_23_SN_B">Model!$AH$156</definedName>
    <definedName name="v_23_SN2">Model!$AG$156</definedName>
    <definedName name="v_23_SNHx">Model!$AD$156</definedName>
    <definedName name="v_23_SNO2">Model!$AE$156</definedName>
    <definedName name="v_23_SNO3">Model!$AF$156</definedName>
    <definedName name="v_23_SO2">Model!$AR$156</definedName>
    <definedName name="v_23_SORPswitch">Model!$CB$156</definedName>
    <definedName name="v_23_SP_B">Model!$AN$156</definedName>
    <definedName name="v_23_SPFOA">Model!$BV$156</definedName>
    <definedName name="v_23_SPFOS">Model!$BX$156</definedName>
    <definedName name="v_23_SPO4">Model!$AL$156</definedName>
    <definedName name="v_23_SU">Model!$L$156</definedName>
    <definedName name="v_23_SVFA">Model!$E$156</definedName>
    <definedName name="v_23_XACP">Model!$BR$156</definedName>
    <definedName name="v_23_XAHO">Model!$U$156</definedName>
    <definedName name="v_23_XALGAE">Model!$AC$156</definedName>
    <definedName name="v_23_XAMETO">Model!$AA$156</definedName>
    <definedName name="v_23_XAMX">Model!$Z$156</definedName>
    <definedName name="v_23_XAOB">Model!$X$156</definedName>
    <definedName name="v_23_XB">Model!$J$156</definedName>
    <definedName name="v_23_XB_e">Model!$K$156</definedName>
    <definedName name="v_23_XBSH">Model!$BS$156</definedName>
    <definedName name="v_23_XCaCO3">Model!$BQ$156</definedName>
    <definedName name="v_23_XCASTO">Model!$V$156</definedName>
    <definedName name="v_23_XE">Model!$R$156</definedName>
    <definedName name="v_23_XE_ana">Model!$S$156</definedName>
    <definedName name="v_23_XHAO_H">Model!$BJ$156</definedName>
    <definedName name="v_23_XHAO_H_P">Model!$BM$156</definedName>
    <definedName name="v_23_XHAO_H_P_old">Model!$BO$156</definedName>
    <definedName name="v_23_XHAO_L">Model!$BK$156</definedName>
    <definedName name="v_23_XHAO_L_P">Model!$BN$156</definedName>
    <definedName name="v_23_XHAO_L_P_old">Model!$BP$156</definedName>
    <definedName name="v_23_XHAO_old">Model!$BL$156</definedName>
    <definedName name="v_23_XHFO_H">Model!$BC$156</definedName>
    <definedName name="v_23_XHFO_H_P">Model!$BF$156</definedName>
    <definedName name="v_23_XHFO_H_P_old">Model!$BH$156</definedName>
    <definedName name="v_23_XHFO_L">Model!$BD$156</definedName>
    <definedName name="v_23_XHFO_L_P">Model!$BG$156</definedName>
    <definedName name="v_23_XHFO_L_P_old">Model!$BI$156</definedName>
    <definedName name="v_23_XHFO_old">Model!$BE$156</definedName>
    <definedName name="v_23_XHMETO">Model!$AB$156</definedName>
    <definedName name="v_23_XINORG">Model!$AV$156</definedName>
    <definedName name="v_23_XMEOLO">Model!$W$156</definedName>
    <definedName name="v_23_XN_B">Model!$AI$156</definedName>
    <definedName name="v_23_XN_Be">Model!$AJ$156</definedName>
    <definedName name="v_23_XN_U">Model!$AK$156</definedName>
    <definedName name="v_23_XNOB">Model!$Y$156</definedName>
    <definedName name="v_23_XOHO">Model!$T$156</definedName>
    <definedName name="v_23_XP_B">Model!$AO$156</definedName>
    <definedName name="v_23_XP_Be">Model!$AP$156</definedName>
    <definedName name="v_23_XP_U">Model!$AQ$156</definedName>
    <definedName name="v_23_XPFOA">Model!$BW$156</definedName>
    <definedName name="v_23_XPFOS">Model!$BY$156</definedName>
    <definedName name="v_23_XPHA_GAO">Model!$Q$156</definedName>
    <definedName name="v_23_XPHA_PAO">Model!$P$156</definedName>
    <definedName name="v_23_XPP">Model!$AM$156</definedName>
    <definedName name="v_23_XSTO">Model!$O$156</definedName>
    <definedName name="v_23_XSTR">Model!$BT$156</definedName>
    <definedName name="v_23_XU">Model!$N$156</definedName>
    <definedName name="v_23_XVivi">Model!$BU$156</definedName>
    <definedName name="v_24_CB">Model!$I$157</definedName>
    <definedName name="v_24_CU">Model!$M$157</definedName>
    <definedName name="v_24_GCH4">Model!$CD$157</definedName>
    <definedName name="v_24_GCH4_atm">Model!$CJ$157</definedName>
    <definedName name="v_24_GCO2">Model!$CC$157</definedName>
    <definedName name="v_24_GCO2_atm">Model!$CI$157</definedName>
    <definedName name="v_24_GH2">Model!$CE$157</definedName>
    <definedName name="v_24_GH2_atm">Model!$CK$157</definedName>
    <definedName name="v_24_GN2">Model!$CH$157</definedName>
    <definedName name="v_24_GN2_atm">Model!$CN$157</definedName>
    <definedName name="v_24_GNH3">Model!$CG$157</definedName>
    <definedName name="v_24_GNH3_atm">Model!$CM$157</definedName>
    <definedName name="v_24_GO2">Model!$CF$157</definedName>
    <definedName name="v_24_GO2_atm">Model!$CL$157</definedName>
    <definedName name="v_24_SALPHA">Model!$CA$157</definedName>
    <definedName name="v_24_SAN">Model!$AX$157</definedName>
    <definedName name="v_24_SB_mono">Model!$F$157</definedName>
    <definedName name="v_24_SB_poly">Model!$G$157</definedName>
    <definedName name="v_24_SCa">Model!$AY$157</definedName>
    <definedName name="v_24_SCAT">Model!$AW$157</definedName>
    <definedName name="v_24_SCH4">Model!$AS$157</definedName>
    <definedName name="v_24_SCO2">Model!$AU$157</definedName>
    <definedName name="v_24_SFe2">Model!$BB$157</definedName>
    <definedName name="v_24_SH">Model!$BZ$157</definedName>
    <definedName name="v_24_SH2">Model!$AT$157</definedName>
    <definedName name="v_24_SK">Model!$BA$157</definedName>
    <definedName name="v_24_SMEOL">Model!$H$157</definedName>
    <definedName name="v_24_SMg">Model!$AZ$157</definedName>
    <definedName name="v_24_SN_B">Model!$AH$157</definedName>
    <definedName name="v_24_SN2">Model!$AG$157</definedName>
    <definedName name="v_24_SNHx">Model!$AD$157</definedName>
    <definedName name="v_24_SNO2">Model!$AE$157</definedName>
    <definedName name="v_24_SNO3">Model!$AF$157</definedName>
    <definedName name="v_24_SO2">Model!$AR$157</definedName>
    <definedName name="v_24_SORPswitch">Model!$CB$157</definedName>
    <definedName name="v_24_SP_B">Model!$AN$157</definedName>
    <definedName name="v_24_SPFOA">Model!$BV$157</definedName>
    <definedName name="v_24_SPFOS">Model!$BX$157</definedName>
    <definedName name="v_24_SPO4">Model!$AL$157</definedName>
    <definedName name="v_24_SU">Model!$L$157</definedName>
    <definedName name="v_24_SVFA">Model!$E$157</definedName>
    <definedName name="v_24_XACP">Model!$BR$157</definedName>
    <definedName name="v_24_XAHO">Model!$U$157</definedName>
    <definedName name="v_24_XALGAE">Model!$AC$157</definedName>
    <definedName name="v_24_XAMETO">Model!$AA$157</definedName>
    <definedName name="v_24_XAMX">Model!$Z$157</definedName>
    <definedName name="v_24_XAOB">Model!$X$157</definedName>
    <definedName name="v_24_XB">Model!$J$157</definedName>
    <definedName name="v_24_XB_e">Model!$K$157</definedName>
    <definedName name="v_24_XBSH">Model!$BS$157</definedName>
    <definedName name="v_24_XCaCO3">Model!$BQ$157</definedName>
    <definedName name="v_24_XCASTO">Model!$V$157</definedName>
    <definedName name="v_24_XE">Model!$R$157</definedName>
    <definedName name="v_24_XE_ana">Model!$S$157</definedName>
    <definedName name="v_24_XHAO_H">Model!$BJ$157</definedName>
    <definedName name="v_24_XHAO_H_P">Model!$BM$157</definedName>
    <definedName name="v_24_XHAO_H_P_old">Model!$BO$157</definedName>
    <definedName name="v_24_XHAO_L">Model!$BK$157</definedName>
    <definedName name="v_24_XHAO_L_P">Model!$BN$157</definedName>
    <definedName name="v_24_XHAO_L_P_old">Model!$BP$157</definedName>
    <definedName name="v_24_XHAO_old">Model!$BL$157</definedName>
    <definedName name="v_24_XHFO_H">Model!$BC$157</definedName>
    <definedName name="v_24_XHFO_H_P">Model!$BF$157</definedName>
    <definedName name="v_24_XHFO_H_P_old">Model!$BH$157</definedName>
    <definedName name="v_24_XHFO_L">Model!$BD$157</definedName>
    <definedName name="v_24_XHFO_L_P">Model!$BG$157</definedName>
    <definedName name="v_24_XHFO_L_P_old">Model!$BI$157</definedName>
    <definedName name="v_24_XHFO_old">Model!$BE$157</definedName>
    <definedName name="v_24_XHMETO">Model!$AB$157</definedName>
    <definedName name="v_24_XINORG">Model!$AV$157</definedName>
    <definedName name="v_24_XMEOLO">Model!$W$157</definedName>
    <definedName name="v_24_XN_B">Model!$AI$157</definedName>
    <definedName name="v_24_XN_Be">Model!$AJ$157</definedName>
    <definedName name="v_24_XN_U">Model!$AK$157</definedName>
    <definedName name="v_24_XNOB">Model!$Y$157</definedName>
    <definedName name="v_24_XOHO">Model!$T$157</definedName>
    <definedName name="v_24_XP_B">Model!$AO$157</definedName>
    <definedName name="v_24_XP_Be">Model!$AP$157</definedName>
    <definedName name="v_24_XP_U">Model!$AQ$157</definedName>
    <definedName name="v_24_XPFOA">Model!$BW$157</definedName>
    <definedName name="v_24_XPFOS">Model!$BY$157</definedName>
    <definedName name="v_24_XPHA_GAO">Model!$Q$157</definedName>
    <definedName name="v_24_XPHA_PAO">Model!$P$157</definedName>
    <definedName name="v_24_XPP">Model!$AM$157</definedName>
    <definedName name="v_24_XSTO">Model!$O$157</definedName>
    <definedName name="v_24_XSTR">Model!$BT$157</definedName>
    <definedName name="v_24_XU">Model!$N$157</definedName>
    <definedName name="v_24_XVivi">Model!$BU$157</definedName>
    <definedName name="v_25_CB">Model!$I$158</definedName>
    <definedName name="v_25_CU">Model!$M$158</definedName>
    <definedName name="v_25_GCH4">Model!$CD$158</definedName>
    <definedName name="v_25_GCH4_atm">Model!$CJ$158</definedName>
    <definedName name="v_25_GCO2">Model!$CC$158</definedName>
    <definedName name="v_25_GCO2_atm">Model!$CI$158</definedName>
    <definedName name="v_25_GH2">Model!$CE$158</definedName>
    <definedName name="v_25_GH2_atm">Model!$CK$158</definedName>
    <definedName name="v_25_GN2">Model!$CH$158</definedName>
    <definedName name="v_25_GN2_atm">Model!$CN$158</definedName>
    <definedName name="v_25_GNH3">Model!$CG$158</definedName>
    <definedName name="v_25_GNH3_atm">Model!$CM$158</definedName>
    <definedName name="v_25_GO2">Model!$CF$158</definedName>
    <definedName name="v_25_GO2_atm">Model!$CL$158</definedName>
    <definedName name="v_25_SALPHA">Model!$CA$158</definedName>
    <definedName name="v_25_SAN">Model!$AX$158</definedName>
    <definedName name="v_25_SB_mono">Model!$F$158</definedName>
    <definedName name="v_25_SB_poly">Model!$G$158</definedName>
    <definedName name="v_25_SCa">Model!$AY$158</definedName>
    <definedName name="v_25_SCAT">Model!$AW$158</definedName>
    <definedName name="v_25_SCH4">Model!$AS$158</definedName>
    <definedName name="v_25_SCO2">Model!$AU$158</definedName>
    <definedName name="v_25_SFe2">Model!$BB$158</definedName>
    <definedName name="v_25_SH">Model!$BZ$158</definedName>
    <definedName name="v_25_SH2">Model!$AT$158</definedName>
    <definedName name="v_25_SK">Model!$BA$158</definedName>
    <definedName name="v_25_SMEOL">Model!$H$158</definedName>
    <definedName name="v_25_SMg">Model!$AZ$158</definedName>
    <definedName name="v_25_SN_B">Model!$AH$158</definedName>
    <definedName name="v_25_SN2">Model!$AG$158</definedName>
    <definedName name="v_25_SNHx">Model!$AD$158</definedName>
    <definedName name="v_25_SNO2">Model!$AE$158</definedName>
    <definedName name="v_25_SNO3">Model!$AF$158</definedName>
    <definedName name="v_25_SO2">Model!$AR$158</definedName>
    <definedName name="v_25_SORPswitch">Model!$CB$158</definedName>
    <definedName name="v_25_SP_B">Model!$AN$158</definedName>
    <definedName name="v_25_SPFOA">Model!$BV$158</definedName>
    <definedName name="v_25_SPFOS">Model!$BX$158</definedName>
    <definedName name="v_25_SPO4">Model!$AL$158</definedName>
    <definedName name="v_25_SU">Model!$L$158</definedName>
    <definedName name="v_25_SVFA">Model!$E$158</definedName>
    <definedName name="v_25_XACP">Model!$BR$158</definedName>
    <definedName name="v_25_XAHO">Model!$U$158</definedName>
    <definedName name="v_25_XALGAE">Model!$AC$158</definedName>
    <definedName name="v_25_XAMETO">Model!$AA$158</definedName>
    <definedName name="v_25_XAMX">Model!$Z$158</definedName>
    <definedName name="v_25_XAOB">Model!$X$158</definedName>
    <definedName name="v_25_XB">Model!$J$158</definedName>
    <definedName name="v_25_XB_e">Model!$K$158</definedName>
    <definedName name="v_25_XBSH">Model!$BS$158</definedName>
    <definedName name="v_25_XCaCO3">Model!$BQ$158</definedName>
    <definedName name="v_25_XCASTO">Model!$V$158</definedName>
    <definedName name="v_25_XE">Model!$R$158</definedName>
    <definedName name="v_25_XE_ana">Model!$S$158</definedName>
    <definedName name="v_25_XHAO_H">Model!$BJ$158</definedName>
    <definedName name="v_25_XHAO_H_P">Model!$BM$158</definedName>
    <definedName name="v_25_XHAO_H_P_old">Model!$BO$158</definedName>
    <definedName name="v_25_XHAO_L">Model!$BK$158</definedName>
    <definedName name="v_25_XHAO_L_P">Model!$BN$158</definedName>
    <definedName name="v_25_XHAO_L_P_old">Model!$BP$158</definedName>
    <definedName name="v_25_XHAO_old">Model!$BL$158</definedName>
    <definedName name="v_25_XHFO_H">Model!$BC$158</definedName>
    <definedName name="v_25_XHFO_H_P">Model!$BF$158</definedName>
    <definedName name="v_25_XHFO_H_P_old">Model!$BH$158</definedName>
    <definedName name="v_25_XHFO_L">Model!$BD$158</definedName>
    <definedName name="v_25_XHFO_L_P">Model!$BG$158</definedName>
    <definedName name="v_25_XHFO_L_P_old">Model!$BI$158</definedName>
    <definedName name="v_25_XHFO_old">Model!$BE$158</definedName>
    <definedName name="v_25_XHMETO">Model!$AB$158</definedName>
    <definedName name="v_25_XINORG">Model!$AV$158</definedName>
    <definedName name="v_25_XMEOLO">Model!$W$158</definedName>
    <definedName name="v_25_XN_B">Model!$AI$158</definedName>
    <definedName name="v_25_XN_Be">Model!$AJ$158</definedName>
    <definedName name="v_25_XN_U">Model!$AK$158</definedName>
    <definedName name="v_25_XNOB">Model!$Y$158</definedName>
    <definedName name="v_25_XOHO">Model!$T$158</definedName>
    <definedName name="v_25_XP_B">Model!$AO$158</definedName>
    <definedName name="v_25_XP_Be">Model!$AP$158</definedName>
    <definedName name="v_25_XP_U">Model!$AQ$158</definedName>
    <definedName name="v_25_XPFOA">Model!$BW$158</definedName>
    <definedName name="v_25_XPFOS">Model!$BY$158</definedName>
    <definedName name="v_25_XPHA_GAO">Model!$Q$158</definedName>
    <definedName name="v_25_XPHA_PAO">Model!$P$158</definedName>
    <definedName name="v_25_XPP">Model!$AM$158</definedName>
    <definedName name="v_25_XSTO">Model!$O$158</definedName>
    <definedName name="v_25_XSTR">Model!$BT$158</definedName>
    <definedName name="v_25_XU">Model!$N$158</definedName>
    <definedName name="v_25_XVivi">Model!$BU$158</definedName>
    <definedName name="v_26_CB">Model!$I$159</definedName>
    <definedName name="v_26_CU">Model!$M$159</definedName>
    <definedName name="v_26_GCH4">Model!$CD$159</definedName>
    <definedName name="v_26_GCH4_atm">Model!$CJ$159</definedName>
    <definedName name="v_26_GCO2">Model!$CC$159</definedName>
    <definedName name="v_26_GCO2_atm">Model!$CI$159</definedName>
    <definedName name="v_26_GH2">Model!$CE$159</definedName>
    <definedName name="v_26_GH2_atm">Model!$CK$159</definedName>
    <definedName name="v_26_GN2">Model!$CH$159</definedName>
    <definedName name="v_26_GN2_atm">Model!$CN$159</definedName>
    <definedName name="v_26_GNH3">Model!$CG$159</definedName>
    <definedName name="v_26_GNH3_atm">Model!$CM$159</definedName>
    <definedName name="v_26_GO2">Model!$CF$159</definedName>
    <definedName name="v_26_GO2_atm">Model!$CL$159</definedName>
    <definedName name="v_26_SALPHA">Model!$CA$159</definedName>
    <definedName name="v_26_SAN">Model!$AX$159</definedName>
    <definedName name="v_26_SB_mono">Model!$F$159</definedName>
    <definedName name="v_26_SB_poly">Model!$G$159</definedName>
    <definedName name="v_26_SCa">Model!$AY$159</definedName>
    <definedName name="v_26_SCAT">Model!$AW$159</definedName>
    <definedName name="v_26_SCH4">Model!$AS$159</definedName>
    <definedName name="v_26_SCO2">Model!$AU$159</definedName>
    <definedName name="v_26_SFe2">Model!$BB$159</definedName>
    <definedName name="v_26_SH">Model!$BZ$159</definedName>
    <definedName name="v_26_SH2">Model!$AT$159</definedName>
    <definedName name="v_26_SK">Model!$BA$159</definedName>
    <definedName name="v_26_SMEOL">Model!$H$159</definedName>
    <definedName name="v_26_SMg">Model!$AZ$159</definedName>
    <definedName name="v_26_SN_B">Model!$AH$159</definedName>
    <definedName name="v_26_SN2">Model!$AG$159</definedName>
    <definedName name="v_26_SNHx">Model!$AD$159</definedName>
    <definedName name="v_26_SNO2">Model!$AE$159</definedName>
    <definedName name="v_26_SNO3">Model!$AF$159</definedName>
    <definedName name="v_26_SO2">Model!$AR$159</definedName>
    <definedName name="v_26_SORPswitch">Model!$CB$159</definedName>
    <definedName name="v_26_SP_B">Model!$AN$159</definedName>
    <definedName name="v_26_SPFOA">Model!$BV$159</definedName>
    <definedName name="v_26_SPFOS">Model!$BX$159</definedName>
    <definedName name="v_26_SPO4">Model!$AL$159</definedName>
    <definedName name="v_26_SU">Model!$L$159</definedName>
    <definedName name="v_26_SVFA">Model!$E$159</definedName>
    <definedName name="v_26_XACP">Model!$BR$159</definedName>
    <definedName name="v_26_XAHO">Model!$U$159</definedName>
    <definedName name="v_26_XALGAE">Model!$AC$159</definedName>
    <definedName name="v_26_XAMETO">Model!$AA$159</definedName>
    <definedName name="v_26_XAMX">Model!$Z$159</definedName>
    <definedName name="v_26_XAOB">Model!$X$159</definedName>
    <definedName name="v_26_XB">Model!$J$159</definedName>
    <definedName name="v_26_XB_e">Model!$K$159</definedName>
    <definedName name="v_26_XBSH">Model!$BS$159</definedName>
    <definedName name="v_26_XCaCO3">Model!$BQ$159</definedName>
    <definedName name="v_26_XCASTO">Model!$V$159</definedName>
    <definedName name="v_26_XE">Model!$R$159</definedName>
    <definedName name="v_26_XE_ana">Model!$S$159</definedName>
    <definedName name="v_26_XHAO_H">Model!$BJ$159</definedName>
    <definedName name="v_26_XHAO_H_P">Model!$BM$159</definedName>
    <definedName name="v_26_XHAO_H_P_old">Model!$BO$159</definedName>
    <definedName name="v_26_XHAO_L">Model!$BK$159</definedName>
    <definedName name="v_26_XHAO_L_P">Model!$BN$159</definedName>
    <definedName name="v_26_XHAO_L_P_old">Model!$BP$159</definedName>
    <definedName name="v_26_XHAO_old">Model!$BL$159</definedName>
    <definedName name="v_26_XHFO_H">Model!$BC$159</definedName>
    <definedName name="v_26_XHFO_H_P">Model!$BF$159</definedName>
    <definedName name="v_26_XHFO_H_P_old">Model!$BH$159</definedName>
    <definedName name="v_26_XHFO_L">Model!$BD$159</definedName>
    <definedName name="v_26_XHFO_L_P">Model!$BG$159</definedName>
    <definedName name="v_26_XHFO_L_P_old">Model!$BI$159</definedName>
    <definedName name="v_26_XHFO_old">Model!$BE$159</definedName>
    <definedName name="v_26_XHMETO">Model!$AB$159</definedName>
    <definedName name="v_26_XINORG">Model!$AV$159</definedName>
    <definedName name="v_26_XMEOLO">Model!$W$159</definedName>
    <definedName name="v_26_XN_B">Model!$AI$159</definedName>
    <definedName name="v_26_XN_Be">Model!$AJ$159</definedName>
    <definedName name="v_26_XN_U">Model!$AK$159</definedName>
    <definedName name="v_26_XNOB">Model!$Y$159</definedName>
    <definedName name="v_26_XOHO">Model!$T$159</definedName>
    <definedName name="v_26_XP_B">Model!$AO$159</definedName>
    <definedName name="v_26_XP_Be">Model!$AP$159</definedName>
    <definedName name="v_26_XP_U">Model!$AQ$159</definedName>
    <definedName name="v_26_XPFOA">Model!$BW$159</definedName>
    <definedName name="v_26_XPFOS">Model!$BY$159</definedName>
    <definedName name="v_26_XPHA_GAO">Model!$Q$159</definedName>
    <definedName name="v_26_XPHA_PAO">Model!$P$159</definedName>
    <definedName name="v_26_XPP">Model!$AM$159</definedName>
    <definedName name="v_26_XSTO">Model!$O$159</definedName>
    <definedName name="v_26_XSTR">Model!$BT$159</definedName>
    <definedName name="v_26_XU">Model!$N$159</definedName>
    <definedName name="v_26_XVivi">Model!$BU$159</definedName>
    <definedName name="v_27_CB">Model!$I$160</definedName>
    <definedName name="v_27_CU">Model!$M$160</definedName>
    <definedName name="v_27_GCH4">Model!$CD$160</definedName>
    <definedName name="v_27_GCH4_atm">Model!$CJ$160</definedName>
    <definedName name="v_27_GCO2">Model!$CC$160</definedName>
    <definedName name="v_27_GCO2_atm">Model!$CI$160</definedName>
    <definedName name="v_27_GH2">Model!$CE$160</definedName>
    <definedName name="v_27_GH2_atm">Model!$CK$160</definedName>
    <definedName name="v_27_GN2">Model!$CH$160</definedName>
    <definedName name="v_27_GN2_atm">Model!$CN$160</definedName>
    <definedName name="v_27_GNH3">Model!$CG$160</definedName>
    <definedName name="v_27_GNH3_atm">Model!$CM$160</definedName>
    <definedName name="v_27_GO2">Model!$CF$160</definedName>
    <definedName name="v_27_GO2_atm">Model!$CL$160</definedName>
    <definedName name="v_27_SALPHA">Model!$CA$160</definedName>
    <definedName name="v_27_SAN">Model!$AX$160</definedName>
    <definedName name="v_27_SB_mono">Model!$F$160</definedName>
    <definedName name="v_27_SB_poly">Model!$G$160</definedName>
    <definedName name="v_27_SCa">Model!$AY$160</definedName>
    <definedName name="v_27_SCAT">Model!$AW$160</definedName>
    <definedName name="v_27_SCH4">Model!$AS$160</definedName>
    <definedName name="v_27_SCO2">Model!$AU$160</definedName>
    <definedName name="v_27_SFe2">Model!$BB$160</definedName>
    <definedName name="v_27_SH">Model!$BZ$160</definedName>
    <definedName name="v_27_SH2">Model!$AT$160</definedName>
    <definedName name="v_27_SK">Model!$BA$160</definedName>
    <definedName name="v_27_SMEOL">Model!$H$160</definedName>
    <definedName name="v_27_SMg">Model!$AZ$160</definedName>
    <definedName name="v_27_SN_B">Model!$AH$160</definedName>
    <definedName name="v_27_SN2">Model!$AG$160</definedName>
    <definedName name="v_27_SNHx">Model!$AD$160</definedName>
    <definedName name="v_27_SNO2">Model!$AE$160</definedName>
    <definedName name="v_27_SNO3">Model!$AF$160</definedName>
    <definedName name="v_27_SO2">Model!$AR$160</definedName>
    <definedName name="v_27_SORPswitch">Model!$CB$160</definedName>
    <definedName name="v_27_SP_B">Model!$AN$160</definedName>
    <definedName name="v_27_SPFOA">Model!$BV$160</definedName>
    <definedName name="v_27_SPFOS">Model!$BX$160</definedName>
    <definedName name="v_27_SPO4">Model!$AL$160</definedName>
    <definedName name="v_27_SU">Model!$L$160</definedName>
    <definedName name="v_27_SVFA">Model!$E$160</definedName>
    <definedName name="v_27_XACP">Model!$BR$160</definedName>
    <definedName name="v_27_XAHO">Model!$U$160</definedName>
    <definedName name="v_27_XALGAE">Model!$AC$160</definedName>
    <definedName name="v_27_XAMETO">Model!$AA$160</definedName>
    <definedName name="v_27_XAMX">Model!$Z$160</definedName>
    <definedName name="v_27_XAOB">Model!$X$160</definedName>
    <definedName name="v_27_XB">Model!$J$160</definedName>
    <definedName name="v_27_XB_e">Model!$K$160</definedName>
    <definedName name="v_27_XBSH">Model!$BS$160</definedName>
    <definedName name="v_27_XCaCO3">Model!$BQ$160</definedName>
    <definedName name="v_27_XCASTO">Model!$V$160</definedName>
    <definedName name="v_27_XE">Model!$R$160</definedName>
    <definedName name="v_27_XE_ana">Model!$S$160</definedName>
    <definedName name="v_27_XHAO_H">Model!$BJ$160</definedName>
    <definedName name="v_27_XHAO_H_P">Model!$BM$160</definedName>
    <definedName name="v_27_XHAO_H_P_old">Model!$BO$160</definedName>
    <definedName name="v_27_XHAO_L">Model!$BK$160</definedName>
    <definedName name="v_27_XHAO_L_P">Model!$BN$160</definedName>
    <definedName name="v_27_XHAO_L_P_old">Model!$BP$160</definedName>
    <definedName name="v_27_XHAO_old">Model!$BL$160</definedName>
    <definedName name="v_27_XHFO_H">Model!$BC$160</definedName>
    <definedName name="v_27_XHFO_H_P">Model!$BF$160</definedName>
    <definedName name="v_27_XHFO_H_P_old">Model!$BH$160</definedName>
    <definedName name="v_27_XHFO_L">Model!$BD$160</definedName>
    <definedName name="v_27_XHFO_L_P">Model!$BG$160</definedName>
    <definedName name="v_27_XHFO_L_P_old">Model!$BI$160</definedName>
    <definedName name="v_27_XHFO_old">Model!$BE$160</definedName>
    <definedName name="v_27_XHMETO">Model!$AB$160</definedName>
    <definedName name="v_27_XINORG">Model!$AV$160</definedName>
    <definedName name="v_27_XMEOLO">Model!$W$160</definedName>
    <definedName name="v_27_XN_B">Model!$AI$160</definedName>
    <definedName name="v_27_XN_Be">Model!$AJ$160</definedName>
    <definedName name="v_27_XN_U">Model!$AK$160</definedName>
    <definedName name="v_27_XNOB">Model!$Y$160</definedName>
    <definedName name="v_27_XOHO">Model!$T$160</definedName>
    <definedName name="v_27_XP_B">Model!$AO$160</definedName>
    <definedName name="v_27_XP_Be">Model!$AP$160</definedName>
    <definedName name="v_27_XP_U">Model!$AQ$160</definedName>
    <definedName name="v_27_XPFOA">Model!$BW$160</definedName>
    <definedName name="v_27_XPFOS">Model!$BY$160</definedName>
    <definedName name="v_27_XPHA_GAO">Model!$Q$160</definedName>
    <definedName name="v_27_XPHA_PAO">Model!$P$160</definedName>
    <definedName name="v_27_XPP">Model!$AM$160</definedName>
    <definedName name="v_27_XSTO">Model!$O$160</definedName>
    <definedName name="v_27_XSTR">Model!$BT$160</definedName>
    <definedName name="v_27_XU">Model!$N$160</definedName>
    <definedName name="v_27_XVivi">Model!$BU$160</definedName>
    <definedName name="v_28_CB">Model!$I$161</definedName>
    <definedName name="v_28_CU">Model!$M$161</definedName>
    <definedName name="v_28_GCH4">Model!$CD$161</definedName>
    <definedName name="v_28_GCH4_atm">Model!$CJ$161</definedName>
    <definedName name="v_28_GCO2">Model!$CC$161</definedName>
    <definedName name="v_28_GCO2_atm">Model!$CI$161</definedName>
    <definedName name="v_28_GH2">Model!$CE$161</definedName>
    <definedName name="v_28_GH2_atm">Model!$CK$161</definedName>
    <definedName name="v_28_GN2">Model!$CH$161</definedName>
    <definedName name="v_28_GN2_atm">Model!$CN$161</definedName>
    <definedName name="v_28_GNH3">Model!$CG$161</definedName>
    <definedName name="v_28_GNH3_atm">Model!$CM$161</definedName>
    <definedName name="v_28_GO2">Model!$CF$161</definedName>
    <definedName name="v_28_GO2_atm">Model!$CL$161</definedName>
    <definedName name="v_28_SALPHA">Model!$CA$161</definedName>
    <definedName name="v_28_SAN">Model!$AX$161</definedName>
    <definedName name="v_28_SB_mono">Model!$F$161</definedName>
    <definedName name="v_28_SB_poly">Model!$G$161</definedName>
    <definedName name="v_28_SCa">Model!$AY$161</definedName>
    <definedName name="v_28_SCAT">Model!$AW$161</definedName>
    <definedName name="v_28_SCH4">Model!$AS$161</definedName>
    <definedName name="v_28_SCO2">Model!$AU$161</definedName>
    <definedName name="v_28_SFe2">Model!$BB$161</definedName>
    <definedName name="v_28_SH">Model!$BZ$161</definedName>
    <definedName name="v_28_SH2">Model!$AT$161</definedName>
    <definedName name="v_28_SK">Model!$BA$161</definedName>
    <definedName name="v_28_SMEOL">Model!$H$161</definedName>
    <definedName name="v_28_SMg">Model!$AZ$161</definedName>
    <definedName name="v_28_SN_B">Model!$AH$161</definedName>
    <definedName name="v_28_SN2">Model!$AG$161</definedName>
    <definedName name="v_28_SNHx">Model!$AD$161</definedName>
    <definedName name="v_28_SNO2">Model!$AE$161</definedName>
    <definedName name="v_28_SNO3">Model!$AF$161</definedName>
    <definedName name="v_28_SO2">Model!$AR$161</definedName>
    <definedName name="v_28_SORPswitch">Model!$CB$161</definedName>
    <definedName name="v_28_SP_B">Model!$AN$161</definedName>
    <definedName name="v_28_SPFOA">Model!$BV$161</definedName>
    <definedName name="v_28_SPFOS">Model!$BX$161</definedName>
    <definedName name="v_28_SPO4">Model!$AL$161</definedName>
    <definedName name="v_28_SU">Model!$L$161</definedName>
    <definedName name="v_28_SVFA">Model!$E$161</definedName>
    <definedName name="v_28_XACP">Model!$BR$161</definedName>
    <definedName name="v_28_XAHO">Model!$U$161</definedName>
    <definedName name="v_28_XALGAE">Model!$AC$161</definedName>
    <definedName name="v_28_XAMETO">Model!$AA$161</definedName>
    <definedName name="v_28_XAMX">Model!$Z$161</definedName>
    <definedName name="v_28_XAOB">Model!$X$161</definedName>
    <definedName name="v_28_XB">Model!$J$161</definedName>
    <definedName name="v_28_XB_e">Model!$K$161</definedName>
    <definedName name="v_28_XBSH">Model!$BS$161</definedName>
    <definedName name="v_28_XCaCO3">Model!$BQ$161</definedName>
    <definedName name="v_28_XCASTO">Model!$V$161</definedName>
    <definedName name="v_28_XE">Model!$R$161</definedName>
    <definedName name="v_28_XE_ana">Model!$S$161</definedName>
    <definedName name="v_28_XHAO_H">Model!$BJ$161</definedName>
    <definedName name="v_28_XHAO_H_P">Model!$BM$161</definedName>
    <definedName name="v_28_XHAO_H_P_old">Model!$BO$161</definedName>
    <definedName name="v_28_XHAO_L">Model!$BK$161</definedName>
    <definedName name="v_28_XHAO_L_P">Model!$BN$161</definedName>
    <definedName name="v_28_XHAO_L_P_old">Model!$BP$161</definedName>
    <definedName name="v_28_XHAO_old">Model!$BL$161</definedName>
    <definedName name="v_28_XHFO_H">Model!$BC$161</definedName>
    <definedName name="v_28_XHFO_H_P">Model!$BF$161</definedName>
    <definedName name="v_28_XHFO_H_P_old">Model!$BH$161</definedName>
    <definedName name="v_28_XHFO_L">Model!$BD$161</definedName>
    <definedName name="v_28_XHFO_L_P">Model!$BG$161</definedName>
    <definedName name="v_28_XHFO_L_P_old">Model!$BI$161</definedName>
    <definedName name="v_28_XHFO_old">Model!$BE$161</definedName>
    <definedName name="v_28_XHMETO">Model!$AB$161</definedName>
    <definedName name="v_28_XINORG">Model!$AV$161</definedName>
    <definedName name="v_28_XMEOLO">Model!$W$161</definedName>
    <definedName name="v_28_XN_B">Model!$AI$161</definedName>
    <definedName name="v_28_XN_Be">Model!$AJ$161</definedName>
    <definedName name="v_28_XN_U">Model!$AK$161</definedName>
    <definedName name="v_28_XNOB">Model!$Y$161</definedName>
    <definedName name="v_28_XOHO">Model!$T$161</definedName>
    <definedName name="v_28_XP_B">Model!$AO$161</definedName>
    <definedName name="v_28_XP_Be">Model!$AP$161</definedName>
    <definedName name="v_28_XP_U">Model!$AQ$161</definedName>
    <definedName name="v_28_XPFOA">Model!$BW$161</definedName>
    <definedName name="v_28_XPFOS">Model!$BY$161</definedName>
    <definedName name="v_28_XPHA_GAO">Model!$Q$161</definedName>
    <definedName name="v_28_XPHA_PAO">Model!$P$161</definedName>
    <definedName name="v_28_XPP">Model!$AM$161</definedName>
    <definedName name="v_28_XSTO">Model!$O$161</definedName>
    <definedName name="v_28_XSTR">Model!$BT$161</definedName>
    <definedName name="v_28_XU">Model!$N$161</definedName>
    <definedName name="v_28_XVivi">Model!$BU$161</definedName>
    <definedName name="v_29_CB">Model!$I$162</definedName>
    <definedName name="v_29_CU">Model!$M$162</definedName>
    <definedName name="v_29_GCH4">Model!$CD$162</definedName>
    <definedName name="v_29_GCH4_atm">Model!$CJ$162</definedName>
    <definedName name="v_29_GCO2">Model!$CC$162</definedName>
    <definedName name="v_29_GCO2_atm">Model!$CI$162</definedName>
    <definedName name="v_29_GH2">Model!$CE$162</definedName>
    <definedName name="v_29_GH2_atm">Model!$CK$162</definedName>
    <definedName name="v_29_GN2">Model!$CH$162</definedName>
    <definedName name="v_29_GN2_atm">Model!$CN$162</definedName>
    <definedName name="v_29_GNH3">Model!$CG$162</definedName>
    <definedName name="v_29_GNH3_atm">Model!$CM$162</definedName>
    <definedName name="v_29_GO2">Model!$CF$162</definedName>
    <definedName name="v_29_GO2_atm">Model!$CL$162</definedName>
    <definedName name="v_29_SALPHA">Model!$CA$162</definedName>
    <definedName name="v_29_SAN">Model!$AX$162</definedName>
    <definedName name="v_29_SB_mono">Model!$F$162</definedName>
    <definedName name="v_29_SB_poly">Model!$G$162</definedName>
    <definedName name="v_29_SCa">Model!$AY$162</definedName>
    <definedName name="v_29_SCAT">Model!$AW$162</definedName>
    <definedName name="v_29_SCH4">Model!$AS$162</definedName>
    <definedName name="v_29_SCO2">Model!$AU$162</definedName>
    <definedName name="v_29_SFe2">Model!$BB$162</definedName>
    <definedName name="v_29_SH">Model!$BZ$162</definedName>
    <definedName name="v_29_SH2">Model!$AT$162</definedName>
    <definedName name="v_29_SK">Model!$BA$162</definedName>
    <definedName name="v_29_SMEOL">Model!$H$162</definedName>
    <definedName name="v_29_SMg">Model!$AZ$162</definedName>
    <definedName name="v_29_SN_B">Model!$AH$162</definedName>
    <definedName name="v_29_SN2">Model!$AG$162</definedName>
    <definedName name="v_29_SNHx">Model!$AD$162</definedName>
    <definedName name="v_29_SNO2">Model!$AE$162</definedName>
    <definedName name="v_29_SNO3">Model!$AF$162</definedName>
    <definedName name="v_29_SO2">Model!$AR$162</definedName>
    <definedName name="v_29_SORPswitch">Model!$CB$162</definedName>
    <definedName name="v_29_SP_B">Model!$AN$162</definedName>
    <definedName name="v_29_SPFOA">Model!$BV$162</definedName>
    <definedName name="v_29_SPFOS">Model!$BX$162</definedName>
    <definedName name="v_29_SPO4">Model!$AL$162</definedName>
    <definedName name="v_29_SU">Model!$L$162</definedName>
    <definedName name="v_29_SVFA">Model!$E$162</definedName>
    <definedName name="v_29_XACP">Model!$BR$162</definedName>
    <definedName name="v_29_XAHO">Model!$U$162</definedName>
    <definedName name="v_29_XALGAE">Model!$AC$162</definedName>
    <definedName name="v_29_XAMETO">Model!$AA$162</definedName>
    <definedName name="v_29_XAMX">Model!$Z$162</definedName>
    <definedName name="v_29_XAOB">Model!$X$162</definedName>
    <definedName name="v_29_XB">Model!$J$162</definedName>
    <definedName name="v_29_XB_e">Model!$K$162</definedName>
    <definedName name="v_29_XBSH">Model!$BS$162</definedName>
    <definedName name="v_29_XCaCO3">Model!$BQ$162</definedName>
    <definedName name="v_29_XCASTO">Model!$V$162</definedName>
    <definedName name="v_29_XE">Model!$R$162</definedName>
    <definedName name="v_29_XE_ana">Model!$S$162</definedName>
    <definedName name="v_29_XHAO_H">Model!$BJ$162</definedName>
    <definedName name="v_29_XHAO_H_P">Model!$BM$162</definedName>
    <definedName name="v_29_XHAO_H_P_old">Model!$BO$162</definedName>
    <definedName name="v_29_XHAO_L">Model!$BK$162</definedName>
    <definedName name="v_29_XHAO_L_P">Model!$BN$162</definedName>
    <definedName name="v_29_XHAO_L_P_old">Model!$BP$162</definedName>
    <definedName name="v_29_XHAO_old">Model!$BL$162</definedName>
    <definedName name="v_29_XHFO_H">Model!$BC$162</definedName>
    <definedName name="v_29_XHFO_H_P">Model!$BF$162</definedName>
    <definedName name="v_29_XHFO_H_P_old">Model!$BH$162</definedName>
    <definedName name="v_29_XHFO_L">Model!$BD$162</definedName>
    <definedName name="v_29_XHFO_L_P">Model!$BG$162</definedName>
    <definedName name="v_29_XHFO_L_P_old">Model!$BI$162</definedName>
    <definedName name="v_29_XHFO_old">Model!$BE$162</definedName>
    <definedName name="v_29_XHMETO">Model!$AB$162</definedName>
    <definedName name="v_29_XINORG">Model!$AV$162</definedName>
    <definedName name="v_29_XMEOLO">Model!$W$162</definedName>
    <definedName name="v_29_XN_B">Model!$AI$162</definedName>
    <definedName name="v_29_XN_Be">Model!$AJ$162</definedName>
    <definedName name="v_29_XN_U">Model!$AK$162</definedName>
    <definedName name="v_29_XNOB">Model!$Y$162</definedName>
    <definedName name="v_29_XOHO">Model!$T$162</definedName>
    <definedName name="v_29_XP_B">Model!$AO$162</definedName>
    <definedName name="v_29_XP_Be">Model!$AP$162</definedName>
    <definedName name="v_29_XP_U">Model!$AQ$162</definedName>
    <definedName name="v_29_XPFOA">Model!$BW$162</definedName>
    <definedName name="v_29_XPFOS">Model!$BY$162</definedName>
    <definedName name="v_29_XPHA_GAO">Model!$Q$162</definedName>
    <definedName name="v_29_XPHA_PAO">Model!$P$162</definedName>
    <definedName name="v_29_XPP">Model!$AM$162</definedName>
    <definedName name="v_29_XSTO">Model!$O$162</definedName>
    <definedName name="v_29_XSTR">Model!$BT$162</definedName>
    <definedName name="v_29_XU">Model!$N$162</definedName>
    <definedName name="v_29_XVivi">Model!$BU$162</definedName>
    <definedName name="v_3_CB">Model!$I$136</definedName>
    <definedName name="v_3_CU">Model!$M$136</definedName>
    <definedName name="v_3_GCH4">Model!$CD$136</definedName>
    <definedName name="v_3_GCH4_atm">Model!$CJ$136</definedName>
    <definedName name="v_3_GCO2">Model!$CC$136</definedName>
    <definedName name="v_3_GCO2_atm">Model!$CI$136</definedName>
    <definedName name="v_3_GH2">Model!$CE$136</definedName>
    <definedName name="v_3_GH2_atm">Model!$CK$136</definedName>
    <definedName name="v_3_GN2">Model!$CH$136</definedName>
    <definedName name="v_3_GN2_atm">Model!$CN$136</definedName>
    <definedName name="v_3_GNH3">Model!$CG$136</definedName>
    <definedName name="v_3_GNH3_atm">Model!$CM$136</definedName>
    <definedName name="v_3_GO2">Model!$CF$136</definedName>
    <definedName name="v_3_GO2_atm">Model!$CL$136</definedName>
    <definedName name="v_3_SALPHA">Model!$CA$136</definedName>
    <definedName name="v_3_SAN">Model!$AX$136</definedName>
    <definedName name="v_3_SB_mono">Model!$F$136</definedName>
    <definedName name="v_3_SB_poly">Model!$G$136</definedName>
    <definedName name="v_3_SCa">Model!$AY$136</definedName>
    <definedName name="v_3_SCAT">Model!$AW$136</definedName>
    <definedName name="v_3_SCH4">Model!$AS$136</definedName>
    <definedName name="v_3_SCO2">Model!$AU$136</definedName>
    <definedName name="v_3_SFe2">Model!$BB$136</definedName>
    <definedName name="v_3_SH">Model!$BZ$136</definedName>
    <definedName name="v_3_SH2">Model!$AT$136</definedName>
    <definedName name="v_3_SK">Model!$BA$136</definedName>
    <definedName name="v_3_SMEOL">Model!$H$136</definedName>
    <definedName name="v_3_SMg">Model!$AZ$136</definedName>
    <definedName name="v_3_SN_B">Model!$AH$136</definedName>
    <definedName name="v_3_SN2">Model!$AG$136</definedName>
    <definedName name="v_3_SNHx">Model!$AD$136</definedName>
    <definedName name="v_3_SNO2">Model!$AE$136</definedName>
    <definedName name="v_3_SNO3">Model!$AF$136</definedName>
    <definedName name="v_3_SO2">Model!$AR$136</definedName>
    <definedName name="v_3_SORPswitch">Model!$CB$136</definedName>
    <definedName name="v_3_SP_B">Model!$AN$136</definedName>
    <definedName name="v_3_SPFOA">Model!$BV$136</definedName>
    <definedName name="v_3_SPFOS">Model!$BX$136</definedName>
    <definedName name="v_3_SPO4">Model!$AL$136</definedName>
    <definedName name="v_3_SU">Model!$L$136</definedName>
    <definedName name="v_3_SVFA">Model!$E$136</definedName>
    <definedName name="v_3_XACP">Model!$BR$136</definedName>
    <definedName name="v_3_XAHO">Model!$U$136</definedName>
    <definedName name="v_3_XALGAE">Model!$AC$136</definedName>
    <definedName name="v_3_XAMETO">Model!$AA$136</definedName>
    <definedName name="v_3_XAMX">Model!$Z$136</definedName>
    <definedName name="v_3_XAOB">Model!$X$136</definedName>
    <definedName name="v_3_XB">Model!$J$136</definedName>
    <definedName name="v_3_XB_e">Model!$K$136</definedName>
    <definedName name="v_3_XBSH">Model!$BS$136</definedName>
    <definedName name="v_3_XCaCO3">Model!$BQ$136</definedName>
    <definedName name="v_3_XCASTO">Model!$V$136</definedName>
    <definedName name="v_3_XE">Model!$R$136</definedName>
    <definedName name="v_3_XE_ana">Model!$S$136</definedName>
    <definedName name="v_3_XHAO_H">Model!$BJ$136</definedName>
    <definedName name="v_3_XHAO_H_P">Model!$BM$136</definedName>
    <definedName name="v_3_XHAO_H_P_old">Model!$BO$136</definedName>
    <definedName name="v_3_XHAO_L">Model!$BK$136</definedName>
    <definedName name="v_3_XHAO_L_P">Model!$BN$136</definedName>
    <definedName name="v_3_XHAO_L_P_old">Model!$BP$136</definedName>
    <definedName name="v_3_XHAO_old">Model!$BL$136</definedName>
    <definedName name="v_3_XHFO_H">Model!$BC$136</definedName>
    <definedName name="v_3_XHFO_H_P">Model!$BF$136</definedName>
    <definedName name="v_3_XHFO_H_P_old">Model!$BH$136</definedName>
    <definedName name="v_3_XHFO_L">Model!$BD$136</definedName>
    <definedName name="v_3_XHFO_L_P">Model!$BG$136</definedName>
    <definedName name="v_3_XHFO_L_P_old">Model!$BI$136</definedName>
    <definedName name="v_3_XHFO_old">Model!$BE$136</definedName>
    <definedName name="v_3_XHMETO">Model!$AB$136</definedName>
    <definedName name="v_3_XINORG">Model!$AV$136</definedName>
    <definedName name="v_3_XMEOLO">Model!$W$136</definedName>
    <definedName name="v_3_XN_B">Model!$AI$136</definedName>
    <definedName name="v_3_XN_Be">Model!$AJ$136</definedName>
    <definedName name="v_3_XN_U">Model!$AK$136</definedName>
    <definedName name="v_3_XNOB">Model!$Y$136</definedName>
    <definedName name="v_3_XOHO">Model!$T$136</definedName>
    <definedName name="v_3_XP_B">Model!$AO$136</definedName>
    <definedName name="v_3_XP_Be">Model!$AP$136</definedName>
    <definedName name="v_3_XP_U">Model!$AQ$136</definedName>
    <definedName name="v_3_XPFOA">Model!$BW$136</definedName>
    <definedName name="v_3_XPFOS">Model!$BY$136</definedName>
    <definedName name="v_3_XPHA_GAO">Model!$Q$136</definedName>
    <definedName name="v_3_XPHA_PAO">Model!$P$136</definedName>
    <definedName name="v_3_XPP">Model!$AM$136</definedName>
    <definedName name="v_3_XSTO">Model!$O$136</definedName>
    <definedName name="v_3_XSTR">Model!$BT$136</definedName>
    <definedName name="v_3_XU">Model!$N$136</definedName>
    <definedName name="v_3_XVivi">Model!$BU$136</definedName>
    <definedName name="v_30_CB">Model!$I$163</definedName>
    <definedName name="v_30_CU">Model!$M$163</definedName>
    <definedName name="v_30_GCH4">Model!$CD$163</definedName>
    <definedName name="v_30_GCH4_atm">Model!$CJ$163</definedName>
    <definedName name="v_30_GCO2">Model!$CC$163</definedName>
    <definedName name="v_30_GCO2_atm">Model!$CI$163</definedName>
    <definedName name="v_30_GH2">Model!$CE$163</definedName>
    <definedName name="v_30_GH2_atm">Model!$CK$163</definedName>
    <definedName name="v_30_GN2">Model!$CH$163</definedName>
    <definedName name="v_30_GN2_atm">Model!$CN$163</definedName>
    <definedName name="v_30_GNH3">Model!$CG$163</definedName>
    <definedName name="v_30_GNH3_atm">Model!$CM$163</definedName>
    <definedName name="v_30_GO2">Model!$CF$163</definedName>
    <definedName name="v_30_GO2_atm">Model!$CL$163</definedName>
    <definedName name="v_30_SALPHA">Model!$CA$163</definedName>
    <definedName name="v_30_SAN">Model!$AX$163</definedName>
    <definedName name="v_30_SB_mono">Model!$F$163</definedName>
    <definedName name="v_30_SB_poly">Model!$G$163</definedName>
    <definedName name="v_30_SCa">Model!$AY$163</definedName>
    <definedName name="v_30_SCAT">Model!$AW$163</definedName>
    <definedName name="v_30_SCH4">Model!$AS$163</definedName>
    <definedName name="v_30_SCO2">Model!$AU$163</definedName>
    <definedName name="v_30_SFe2">Model!$BB$163</definedName>
    <definedName name="v_30_SH">Model!$BZ$163</definedName>
    <definedName name="v_30_SH2">Model!$AT$163</definedName>
    <definedName name="v_30_SK">Model!$BA$163</definedName>
    <definedName name="v_30_SMEOL">Model!$H$163</definedName>
    <definedName name="v_30_SMg">Model!$AZ$163</definedName>
    <definedName name="v_30_SN_B">Model!$AH$163</definedName>
    <definedName name="v_30_SN2">Model!$AG$163</definedName>
    <definedName name="v_30_SNHx">Model!$AD$163</definedName>
    <definedName name="v_30_SNO2">Model!$AE$163</definedName>
    <definedName name="v_30_SNO3">Model!$AF$163</definedName>
    <definedName name="v_30_SO2">Model!$AR$163</definedName>
    <definedName name="v_30_SORPswitch">Model!$CB$163</definedName>
    <definedName name="v_30_SP_B">Model!$AN$163</definedName>
    <definedName name="v_30_SPFOA">Model!$BV$163</definedName>
    <definedName name="v_30_SPFOS">Model!$BX$163</definedName>
    <definedName name="v_30_SPO4">Model!$AL$163</definedName>
    <definedName name="v_30_SU">Model!$L$163</definedName>
    <definedName name="v_30_SVFA">Model!$E$163</definedName>
    <definedName name="v_30_XACP">Model!$BR$163</definedName>
    <definedName name="v_30_XAHO">Model!$U$163</definedName>
    <definedName name="v_30_XALGAE">Model!$AC$163</definedName>
    <definedName name="v_30_XAMETO">Model!$AA$163</definedName>
    <definedName name="v_30_XAMX">Model!$Z$163</definedName>
    <definedName name="v_30_XAOB">Model!$X$163</definedName>
    <definedName name="v_30_XB">Model!$J$163</definedName>
    <definedName name="v_30_XB_e">Model!$K$163</definedName>
    <definedName name="v_30_XBSH">Model!$BS$163</definedName>
    <definedName name="v_30_XCaCO3">Model!$BQ$163</definedName>
    <definedName name="v_30_XCASTO">Model!$V$163</definedName>
    <definedName name="v_30_XE">Model!$R$163</definedName>
    <definedName name="v_30_XE_ana">Model!$S$163</definedName>
    <definedName name="v_30_XHAO_H">Model!$BJ$163</definedName>
    <definedName name="v_30_XHAO_H_P">Model!$BM$163</definedName>
    <definedName name="v_30_XHAO_H_P_old">Model!$BO$163</definedName>
    <definedName name="v_30_XHAO_L">Model!$BK$163</definedName>
    <definedName name="v_30_XHAO_L_P">Model!$BN$163</definedName>
    <definedName name="v_30_XHAO_L_P_old">Model!$BP$163</definedName>
    <definedName name="v_30_XHAO_old">Model!$BL$163</definedName>
    <definedName name="v_30_XHFO_H">Model!$BC$163</definedName>
    <definedName name="v_30_XHFO_H_P">Model!$BF$163</definedName>
    <definedName name="v_30_XHFO_H_P_old">Model!$BH$163</definedName>
    <definedName name="v_30_XHFO_L">Model!$BD$163</definedName>
    <definedName name="v_30_XHFO_L_P">Model!$BG$163</definedName>
    <definedName name="v_30_XHFO_L_P_old">Model!$BI$163</definedName>
    <definedName name="v_30_XHFO_old">Model!$BE$163</definedName>
    <definedName name="v_30_XHMETO">Model!$AB$163</definedName>
    <definedName name="v_30_XINORG">Model!$AV$163</definedName>
    <definedName name="v_30_XMEOLO">Model!$W$163</definedName>
    <definedName name="v_30_XN_B">Model!$AI$163</definedName>
    <definedName name="v_30_XN_Be">Model!$AJ$163</definedName>
    <definedName name="v_30_XN_U">Model!$AK$163</definedName>
    <definedName name="v_30_XNOB">Model!$Y$163</definedName>
    <definedName name="v_30_XOHO">Model!$T$163</definedName>
    <definedName name="v_30_XP_B">Model!$AO$163</definedName>
    <definedName name="v_30_XP_Be">Model!$AP$163</definedName>
    <definedName name="v_30_XP_U">Model!$AQ$163</definedName>
    <definedName name="v_30_XPFOA">Model!$BW$163</definedName>
    <definedName name="v_30_XPFOS">Model!$BY$163</definedName>
    <definedName name="v_30_XPHA_GAO">Model!$Q$163</definedName>
    <definedName name="v_30_XPHA_PAO">Model!$P$163</definedName>
    <definedName name="v_30_XPP">Model!$AM$163</definedName>
    <definedName name="v_30_XSTO">Model!$O$163</definedName>
    <definedName name="v_30_XSTR">Model!$BT$163</definedName>
    <definedName name="v_30_XU">Model!$N$163</definedName>
    <definedName name="v_30_XVivi">Model!$BU$163</definedName>
    <definedName name="v_31_CB">Model!$I$164</definedName>
    <definedName name="v_31_CU">Model!$M$164</definedName>
    <definedName name="v_31_GCH4">Model!$CD$164</definedName>
    <definedName name="v_31_GCH4_atm">Model!$CJ$164</definedName>
    <definedName name="v_31_GCO2">Model!$CC$164</definedName>
    <definedName name="v_31_GCO2_atm">Model!$CI$164</definedName>
    <definedName name="v_31_GH2">Model!$CE$164</definedName>
    <definedName name="v_31_GH2_atm">Model!$CK$164</definedName>
    <definedName name="v_31_GN2">Model!$CH$164</definedName>
    <definedName name="v_31_GN2_atm">Model!$CN$164</definedName>
    <definedName name="v_31_GNH3">Model!$CG$164</definedName>
    <definedName name="v_31_GNH3_atm">Model!$CM$164</definedName>
    <definedName name="v_31_GO2">Model!$CF$164</definedName>
    <definedName name="v_31_GO2_atm">Model!$CL$164</definedName>
    <definedName name="v_31_SALPHA">Model!$CA$164</definedName>
    <definedName name="v_31_SAN">Model!$AX$164</definedName>
    <definedName name="v_31_SB_mono">Model!$F$164</definedName>
    <definedName name="v_31_SB_poly">Model!$G$164</definedName>
    <definedName name="v_31_SCa">Model!$AY$164</definedName>
    <definedName name="v_31_SCAT">Model!$AW$164</definedName>
    <definedName name="v_31_SCH4">Model!$AS$164</definedName>
    <definedName name="v_31_SCO2">Model!$AU$164</definedName>
    <definedName name="v_31_SFe2">Model!$BB$164</definedName>
    <definedName name="v_31_SH">Model!$BZ$164</definedName>
    <definedName name="v_31_SH2">Model!$AT$164</definedName>
    <definedName name="v_31_SK">Model!$BA$164</definedName>
    <definedName name="v_31_SMEOL">Model!$H$164</definedName>
    <definedName name="v_31_SMg">Model!$AZ$164</definedName>
    <definedName name="v_31_SN_B">Model!$AH$164</definedName>
    <definedName name="v_31_SN2">Model!$AG$164</definedName>
    <definedName name="v_31_SNHx">Model!$AD$164</definedName>
    <definedName name="v_31_SNO2">Model!$AE$164</definedName>
    <definedName name="v_31_SNO3">Model!$AF$164</definedName>
    <definedName name="v_31_SO2">Model!$AR$164</definedName>
    <definedName name="v_31_SORPswitch">Model!$CB$164</definedName>
    <definedName name="v_31_SP_B">Model!$AN$164</definedName>
    <definedName name="v_31_SPFOA">Model!$BV$164</definedName>
    <definedName name="v_31_SPFOS">Model!$BX$164</definedName>
    <definedName name="v_31_SPO4">Model!$AL$164</definedName>
    <definedName name="v_31_SU">Model!$L$164</definedName>
    <definedName name="v_31_SVFA">Model!$E$164</definedName>
    <definedName name="v_31_XACP">Model!$BR$164</definedName>
    <definedName name="v_31_XAHO">Model!$U$164</definedName>
    <definedName name="v_31_XALGAE">Model!$AC$164</definedName>
    <definedName name="v_31_XAMETO">Model!$AA$164</definedName>
    <definedName name="v_31_XAMX">Model!$Z$164</definedName>
    <definedName name="v_31_XAOB">Model!$X$164</definedName>
    <definedName name="v_31_XB">Model!$J$164</definedName>
    <definedName name="v_31_XB_e">Model!$K$164</definedName>
    <definedName name="v_31_XBSH">Model!$BS$164</definedName>
    <definedName name="v_31_XCaCO3">Model!$BQ$164</definedName>
    <definedName name="v_31_XCASTO">Model!$V$164</definedName>
    <definedName name="v_31_XE">Model!$R$164</definedName>
    <definedName name="v_31_XE_ana">Model!$S$164</definedName>
    <definedName name="v_31_XHAO_H">Model!$BJ$164</definedName>
    <definedName name="v_31_XHAO_H_P">Model!$BM$164</definedName>
    <definedName name="v_31_XHAO_H_P_old">Model!$BO$164</definedName>
    <definedName name="v_31_XHAO_L">Model!$BK$164</definedName>
    <definedName name="v_31_XHAO_L_P">Model!$BN$164</definedName>
    <definedName name="v_31_XHAO_L_P_old">Model!$BP$164</definedName>
    <definedName name="v_31_XHAO_old">Model!$BL$164</definedName>
    <definedName name="v_31_XHFO_H">Model!$BC$164</definedName>
    <definedName name="v_31_XHFO_H_P">Model!$BF$164</definedName>
    <definedName name="v_31_XHFO_H_P_old">Model!$BH$164</definedName>
    <definedName name="v_31_XHFO_L">Model!$BD$164</definedName>
    <definedName name="v_31_XHFO_L_P">Model!$BG$164</definedName>
    <definedName name="v_31_XHFO_L_P_old">Model!$BI$164</definedName>
    <definedName name="v_31_XHFO_old">Model!$BE$164</definedName>
    <definedName name="v_31_XHMETO">Model!$AB$164</definedName>
    <definedName name="v_31_XINORG">Model!$AV$164</definedName>
    <definedName name="v_31_XMEOLO">Model!$W$164</definedName>
    <definedName name="v_31_XN_B">Model!$AI$164</definedName>
    <definedName name="v_31_XN_Be">Model!$AJ$164</definedName>
    <definedName name="v_31_XN_U">Model!$AK$164</definedName>
    <definedName name="v_31_XNOB">Model!$Y$164</definedName>
    <definedName name="v_31_XOHO">Model!$T$164</definedName>
    <definedName name="v_31_XP_B">Model!$AO$164</definedName>
    <definedName name="v_31_XP_Be">Model!$AP$164</definedName>
    <definedName name="v_31_XP_U">Model!$AQ$164</definedName>
    <definedName name="v_31_XPFOA">Model!$BW$164</definedName>
    <definedName name="v_31_XPFOS">Model!$BY$164</definedName>
    <definedName name="v_31_XPHA_GAO">Model!$Q$164</definedName>
    <definedName name="v_31_XPHA_PAO">Model!$P$164</definedName>
    <definedName name="v_31_XPP">Model!$AM$164</definedName>
    <definedName name="v_31_XSTO">Model!$O$164</definedName>
    <definedName name="v_31_XSTR">Model!$BT$164</definedName>
    <definedName name="v_31_XU">Model!$N$164</definedName>
    <definedName name="v_31_XVivi">Model!$BU$164</definedName>
    <definedName name="v_32_CB">Model!$I$165</definedName>
    <definedName name="v_32_CU">Model!$M$165</definedName>
    <definedName name="v_32_GCH4">Model!$CD$165</definedName>
    <definedName name="v_32_GCH4_atm">Model!$CJ$165</definedName>
    <definedName name="v_32_GCO2">Model!$CC$165</definedName>
    <definedName name="v_32_GCO2_atm">Model!$CI$165</definedName>
    <definedName name="v_32_GH2">Model!$CE$165</definedName>
    <definedName name="v_32_GH2_atm">Model!$CK$165</definedName>
    <definedName name="v_32_GN2">Model!$CH$165</definedName>
    <definedName name="v_32_GN2_atm">Model!$CN$165</definedName>
    <definedName name="v_32_GNH3">Model!$CG$165</definedName>
    <definedName name="v_32_GNH3_atm">Model!$CM$165</definedName>
    <definedName name="v_32_GO2">Model!$CF$165</definedName>
    <definedName name="v_32_GO2_atm">Model!$CL$165</definedName>
    <definedName name="v_32_SALPHA">Model!$CA$165</definedName>
    <definedName name="v_32_SAN">Model!$AX$165</definedName>
    <definedName name="v_32_SB_mono">Model!$F$165</definedName>
    <definedName name="v_32_SB_poly">Model!$G$165</definedName>
    <definedName name="v_32_SCa">Model!$AY$165</definedName>
    <definedName name="v_32_SCAT">Model!$AW$165</definedName>
    <definedName name="v_32_SCH4">Model!$AS$165</definedName>
    <definedName name="v_32_SCO2">Model!$AU$165</definedName>
    <definedName name="v_32_SFe2">Model!$BB$165</definedName>
    <definedName name="v_32_SH">Model!$BZ$165</definedName>
    <definedName name="v_32_SH2">Model!$AT$165</definedName>
    <definedName name="v_32_SK">Model!$BA$165</definedName>
    <definedName name="v_32_SMEOL">Model!$H$165</definedName>
    <definedName name="v_32_SMg">Model!$AZ$165</definedName>
    <definedName name="v_32_SN_B">Model!$AH$165</definedName>
    <definedName name="v_32_SN2">Model!$AG$165</definedName>
    <definedName name="v_32_SNHx">Model!$AD$165</definedName>
    <definedName name="v_32_SNO2">Model!$AE$165</definedName>
    <definedName name="v_32_SNO3">Model!$AF$165</definedName>
    <definedName name="v_32_SO2">Model!$AR$165</definedName>
    <definedName name="v_32_SORPswitch">Model!$CB$165</definedName>
    <definedName name="v_32_SP_B">Model!$AN$165</definedName>
    <definedName name="v_32_SPFOA">Model!$BV$165</definedName>
    <definedName name="v_32_SPFOS">Model!$BX$165</definedName>
    <definedName name="v_32_SPO4">Model!$AL$165</definedName>
    <definedName name="v_32_SU">Model!$L$165</definedName>
    <definedName name="v_32_SVFA">Model!$E$165</definedName>
    <definedName name="v_32_XACP">Model!$BR$165</definedName>
    <definedName name="v_32_XAHO">Model!$U$165</definedName>
    <definedName name="v_32_XALGAE">Model!$AC$165</definedName>
    <definedName name="v_32_XAMETO">Model!$AA$165</definedName>
    <definedName name="v_32_XAMX">Model!$Z$165</definedName>
    <definedName name="v_32_XAOB">Model!$X$165</definedName>
    <definedName name="v_32_XB">Model!$J$165</definedName>
    <definedName name="v_32_XB_e">Model!$K$165</definedName>
    <definedName name="v_32_XBSH">Model!$BS$165</definedName>
    <definedName name="v_32_XCaCO3">Model!$BQ$165</definedName>
    <definedName name="v_32_XCASTO">Model!$V$165</definedName>
    <definedName name="v_32_XE">Model!$R$165</definedName>
    <definedName name="v_32_XE_ana">Model!$S$165</definedName>
    <definedName name="v_32_XHAO_H">Model!$BJ$165</definedName>
    <definedName name="v_32_XHAO_H_P">Model!$BM$165</definedName>
    <definedName name="v_32_XHAO_H_P_old">Model!$BO$165</definedName>
    <definedName name="v_32_XHAO_L">Model!$BK$165</definedName>
    <definedName name="v_32_XHAO_L_P">Model!$BN$165</definedName>
    <definedName name="v_32_XHAO_L_P_old">Model!$BP$165</definedName>
    <definedName name="v_32_XHAO_old">Model!$BL$165</definedName>
    <definedName name="v_32_XHFO_H">Model!$BC$165</definedName>
    <definedName name="v_32_XHFO_H_P">Model!$BF$165</definedName>
    <definedName name="v_32_XHFO_H_P_old">Model!$BH$165</definedName>
    <definedName name="v_32_XHFO_L">Model!$BD$165</definedName>
    <definedName name="v_32_XHFO_L_P">Model!$BG$165</definedName>
    <definedName name="v_32_XHFO_L_P_old">Model!$BI$165</definedName>
    <definedName name="v_32_XHFO_old">Model!$BE$165</definedName>
    <definedName name="v_32_XHMETO">Model!$AB$165</definedName>
    <definedName name="v_32_XINORG">Model!$AV$165</definedName>
    <definedName name="v_32_XMEOLO">Model!$W$165</definedName>
    <definedName name="v_32_XN_B">Model!$AI$165</definedName>
    <definedName name="v_32_XN_Be">Model!$AJ$165</definedName>
    <definedName name="v_32_XN_U">Model!$AK$165</definedName>
    <definedName name="v_32_XNOB">Model!$Y$165</definedName>
    <definedName name="v_32_XOHO">Model!$T$165</definedName>
    <definedName name="v_32_XP_B">Model!$AO$165</definedName>
    <definedName name="v_32_XP_Be">Model!$AP$165</definedName>
    <definedName name="v_32_XP_U">Model!$AQ$165</definedName>
    <definedName name="v_32_XPFOA">Model!$BW$165</definedName>
    <definedName name="v_32_XPFOS">Model!$BY$165</definedName>
    <definedName name="v_32_XPHA_GAO">Model!$Q$165</definedName>
    <definedName name="v_32_XPHA_PAO">Model!$P$165</definedName>
    <definedName name="v_32_XPP">Model!$AM$165</definedName>
    <definedName name="v_32_XSTO">Model!$O$165</definedName>
    <definedName name="v_32_XSTR">Model!$BT$165</definedName>
    <definedName name="v_32_XU">Model!$N$165</definedName>
    <definedName name="v_32_XVivi">Model!$BU$165</definedName>
    <definedName name="v_33_CB">Model!$I$166</definedName>
    <definedName name="v_33_CU">Model!$M$166</definedName>
    <definedName name="v_33_GCH4">Model!$CD$166</definedName>
    <definedName name="v_33_GCH4_atm">Model!$CJ$166</definedName>
    <definedName name="v_33_GCO2">Model!$CC$166</definedName>
    <definedName name="v_33_GCO2_atm">Model!$CI$166</definedName>
    <definedName name="v_33_GH2">Model!$CE$166</definedName>
    <definedName name="v_33_GH2_atm">Model!$CK$166</definedName>
    <definedName name="v_33_GN2">Model!$CH$166</definedName>
    <definedName name="v_33_GN2_atm">Model!$CN$166</definedName>
    <definedName name="v_33_GNH3">Model!$CG$166</definedName>
    <definedName name="v_33_GNH3_atm">Model!$CM$166</definedName>
    <definedName name="v_33_GO2">Model!$CF$166</definedName>
    <definedName name="v_33_GO2_atm">Model!$CL$166</definedName>
    <definedName name="v_33_SALPHA">Model!$CA$166</definedName>
    <definedName name="v_33_SAN">Model!$AX$166</definedName>
    <definedName name="v_33_SB_mono">Model!$F$166</definedName>
    <definedName name="v_33_SB_poly">Model!$G$166</definedName>
    <definedName name="v_33_SCa">Model!$AY$166</definedName>
    <definedName name="v_33_SCAT">Model!$AW$166</definedName>
    <definedName name="v_33_SCH4">Model!$AS$166</definedName>
    <definedName name="v_33_SCO2">Model!$AU$166</definedName>
    <definedName name="v_33_SFe2">Model!$BB$166</definedName>
    <definedName name="v_33_SH">Model!$BZ$166</definedName>
    <definedName name="v_33_SH2">Model!$AT$166</definedName>
    <definedName name="v_33_SK">Model!$BA$166</definedName>
    <definedName name="v_33_SMEOL">Model!$H$166</definedName>
    <definedName name="v_33_SMg">Model!$AZ$166</definedName>
    <definedName name="v_33_SN_B">Model!$AH$166</definedName>
    <definedName name="v_33_SN2">Model!$AG$166</definedName>
    <definedName name="v_33_SNHx">Model!$AD$166</definedName>
    <definedName name="v_33_SNO2">Model!$AE$166</definedName>
    <definedName name="v_33_SNO3">Model!$AF$166</definedName>
    <definedName name="v_33_SO2">Model!$AR$166</definedName>
    <definedName name="v_33_SORPswitch">Model!$CB$166</definedName>
    <definedName name="v_33_SP_B">Model!$AN$166</definedName>
    <definedName name="v_33_SPFOA">Model!$BV$166</definedName>
    <definedName name="v_33_SPFOS">Model!$BX$166</definedName>
    <definedName name="v_33_SPO4">Model!$AL$166</definedName>
    <definedName name="v_33_SU">Model!$L$166</definedName>
    <definedName name="v_33_SVFA">Model!$E$166</definedName>
    <definedName name="v_33_XACP">Model!$BR$166</definedName>
    <definedName name="v_33_XAHO">Model!$U$166</definedName>
    <definedName name="v_33_XALGAE">Model!$AC$166</definedName>
    <definedName name="v_33_XAMETO">Model!$AA$166</definedName>
    <definedName name="v_33_XAMX">Model!$Z$166</definedName>
    <definedName name="v_33_XAOB">Model!$X$166</definedName>
    <definedName name="v_33_XB">Model!$J$166</definedName>
    <definedName name="v_33_XB_e">Model!$K$166</definedName>
    <definedName name="v_33_XBSH">Model!$BS$166</definedName>
    <definedName name="v_33_XCaCO3">Model!$BQ$166</definedName>
    <definedName name="v_33_XCASTO">Model!$V$166</definedName>
    <definedName name="v_33_XE">Model!$R$166</definedName>
    <definedName name="v_33_XE_ana">Model!$S$166</definedName>
    <definedName name="v_33_XHAO_H">Model!$BJ$166</definedName>
    <definedName name="v_33_XHAO_H_P">Model!$BM$166</definedName>
    <definedName name="v_33_XHAO_H_P_old">Model!$BO$166</definedName>
    <definedName name="v_33_XHAO_L">Model!$BK$166</definedName>
    <definedName name="v_33_XHAO_L_P">Model!$BN$166</definedName>
    <definedName name="v_33_XHAO_L_P_old">Model!$BP$166</definedName>
    <definedName name="v_33_XHAO_old">Model!$BL$166</definedName>
    <definedName name="v_33_XHFO_H">Model!$BC$166</definedName>
    <definedName name="v_33_XHFO_H_P">Model!$BF$166</definedName>
    <definedName name="v_33_XHFO_H_P_old">Model!$BH$166</definedName>
    <definedName name="v_33_XHFO_L">Model!$BD$166</definedName>
    <definedName name="v_33_XHFO_L_P">Model!$BG$166</definedName>
    <definedName name="v_33_XHFO_L_P_old">Model!$BI$166</definedName>
    <definedName name="v_33_XHFO_old">Model!$BE$166</definedName>
    <definedName name="v_33_XHMETO">Model!$AB$166</definedName>
    <definedName name="v_33_XINORG">Model!$AV$166</definedName>
    <definedName name="v_33_XMEOLO">Model!$W$166</definedName>
    <definedName name="v_33_XN_B">Model!$AI$166</definedName>
    <definedName name="v_33_XN_Be">Model!$AJ$166</definedName>
    <definedName name="v_33_XN_U">Model!$AK$166</definedName>
    <definedName name="v_33_XNOB">Model!$Y$166</definedName>
    <definedName name="v_33_XOHO">Model!$T$166</definedName>
    <definedName name="v_33_XP_B">Model!$AO$166</definedName>
    <definedName name="v_33_XP_Be">Model!$AP$166</definedName>
    <definedName name="v_33_XP_U">Model!$AQ$166</definedName>
    <definedName name="v_33_XPFOA">Model!$BW$166</definedName>
    <definedName name="v_33_XPFOS">Model!$BY$166</definedName>
    <definedName name="v_33_XPHA_GAO">Model!$Q$166</definedName>
    <definedName name="v_33_XPHA_PAO">Model!$P$166</definedName>
    <definedName name="v_33_XPP">Model!$AM$166</definedName>
    <definedName name="v_33_XSTO">Model!$O$166</definedName>
    <definedName name="v_33_XSTR">Model!$BT$166</definedName>
    <definedName name="v_33_XU">Model!$N$166</definedName>
    <definedName name="v_33_XVivi">Model!$BU$166</definedName>
    <definedName name="v_34_CB">Model!$I$167</definedName>
    <definedName name="v_34_CU">Model!$M$167</definedName>
    <definedName name="v_34_GCH4">Model!$CD$167</definedName>
    <definedName name="v_34_GCH4_atm">Model!$CJ$167</definedName>
    <definedName name="v_34_GCO2">Model!$CC$167</definedName>
    <definedName name="v_34_GCO2_atm">Model!$CI$167</definedName>
    <definedName name="v_34_GH2">Model!$CE$167</definedName>
    <definedName name="v_34_GH2_atm">Model!$CK$167</definedName>
    <definedName name="v_34_GN2">Model!$CH$167</definedName>
    <definedName name="v_34_GN2_atm">Model!$CN$167</definedName>
    <definedName name="v_34_GNH3">Model!$CG$167</definedName>
    <definedName name="v_34_GNH3_atm">Model!$CM$167</definedName>
    <definedName name="v_34_GO2">Model!$CF$167</definedName>
    <definedName name="v_34_GO2_atm">Model!$CL$167</definedName>
    <definedName name="v_34_SALPHA">Model!$CA$167</definedName>
    <definedName name="v_34_SAN">Model!$AX$167</definedName>
    <definedName name="v_34_SB_mono">Model!$F$167</definedName>
    <definedName name="v_34_SB_poly">Model!$G$167</definedName>
    <definedName name="v_34_SCa">Model!$AY$167</definedName>
    <definedName name="v_34_SCAT">Model!$AW$167</definedName>
    <definedName name="v_34_SCH4">Model!$AS$167</definedName>
    <definedName name="v_34_SCO2">Model!$AU$167</definedName>
    <definedName name="v_34_SFe2">Model!$BB$167</definedName>
    <definedName name="v_34_SH">Model!$BZ$167</definedName>
    <definedName name="v_34_SH2">Model!$AT$167</definedName>
    <definedName name="v_34_SK">Model!$BA$167</definedName>
    <definedName name="v_34_SMEOL">Model!$H$167</definedName>
    <definedName name="v_34_SMg">Model!$AZ$167</definedName>
    <definedName name="v_34_SN_B">Model!$AH$167</definedName>
    <definedName name="v_34_SN2">Model!$AG$167</definedName>
    <definedName name="v_34_SNHx">Model!$AD$167</definedName>
    <definedName name="v_34_SNO2">Model!$AE$167</definedName>
    <definedName name="v_34_SNO3">Model!$AF$167</definedName>
    <definedName name="v_34_SO2">Model!$AR$167</definedName>
    <definedName name="v_34_SORPswitch">Model!$CB$167</definedName>
    <definedName name="v_34_SP_B">Model!$AN$167</definedName>
    <definedName name="v_34_SPFOA">Model!$BV$167</definedName>
    <definedName name="v_34_SPFOS">Model!$BX$167</definedName>
    <definedName name="v_34_SPO4">Model!$AL$167</definedName>
    <definedName name="v_34_SU">Model!$L$167</definedName>
    <definedName name="v_34_SVFA">Model!$E$167</definedName>
    <definedName name="v_34_XACP">Model!$BR$167</definedName>
    <definedName name="v_34_XAHO">Model!$U$167</definedName>
    <definedName name="v_34_XALGAE">Model!$AC$167</definedName>
    <definedName name="v_34_XAMETO">Model!$AA$167</definedName>
    <definedName name="v_34_XAMX">Model!$Z$167</definedName>
    <definedName name="v_34_XAOB">Model!$X$167</definedName>
    <definedName name="v_34_XB">Model!$J$167</definedName>
    <definedName name="v_34_XB_e">Model!$K$167</definedName>
    <definedName name="v_34_XBSH">Model!$BS$167</definedName>
    <definedName name="v_34_XCaCO3">Model!$BQ$167</definedName>
    <definedName name="v_34_XCASTO">Model!$V$167</definedName>
    <definedName name="v_34_XE">Model!$R$167</definedName>
    <definedName name="v_34_XE_ana">Model!$S$167</definedName>
    <definedName name="v_34_XHAO_H">Model!$BJ$167</definedName>
    <definedName name="v_34_XHAO_H_P">Model!$BM$167</definedName>
    <definedName name="v_34_XHAO_H_P_old">Model!$BO$167</definedName>
    <definedName name="v_34_XHAO_L">Model!$BK$167</definedName>
    <definedName name="v_34_XHAO_L_P">Model!$BN$167</definedName>
    <definedName name="v_34_XHAO_L_P_old">Model!$BP$167</definedName>
    <definedName name="v_34_XHAO_old">Model!$BL$167</definedName>
    <definedName name="v_34_XHFO_H">Model!$BC$167</definedName>
    <definedName name="v_34_XHFO_H_P">Model!$BF$167</definedName>
    <definedName name="v_34_XHFO_H_P_old">Model!$BH$167</definedName>
    <definedName name="v_34_XHFO_L">Model!$BD$167</definedName>
    <definedName name="v_34_XHFO_L_P">Model!$BG$167</definedName>
    <definedName name="v_34_XHFO_L_P_old">Model!$BI$167</definedName>
    <definedName name="v_34_XHFO_old">Model!$BE$167</definedName>
    <definedName name="v_34_XHMETO">Model!$AB$167</definedName>
    <definedName name="v_34_XINORG">Model!$AV$167</definedName>
    <definedName name="v_34_XMEOLO">Model!$W$167</definedName>
    <definedName name="v_34_XN_B">Model!$AI$167</definedName>
    <definedName name="v_34_XN_Be">Model!$AJ$167</definedName>
    <definedName name="v_34_XN_U">Model!$AK$167</definedName>
    <definedName name="v_34_XNOB">Model!$Y$167</definedName>
    <definedName name="v_34_XOHO">Model!$T$167</definedName>
    <definedName name="v_34_XP_B">Model!$AO$167</definedName>
    <definedName name="v_34_XP_Be">Model!$AP$167</definedName>
    <definedName name="v_34_XP_U">Model!$AQ$167</definedName>
    <definedName name="v_34_XPFOA">Model!$BW$167</definedName>
    <definedName name="v_34_XPFOS">Model!$BY$167</definedName>
    <definedName name="v_34_XPHA_GAO">Model!$Q$167</definedName>
    <definedName name="v_34_XPHA_PAO">Model!$P$167</definedName>
    <definedName name="v_34_XPP">Model!$AM$167</definedName>
    <definedName name="v_34_XSTO">Model!$O$167</definedName>
    <definedName name="v_34_XSTR">Model!$BT$167</definedName>
    <definedName name="v_34_XU">Model!$N$167</definedName>
    <definedName name="v_34_XVivi">Model!$BU$167</definedName>
    <definedName name="v_35_CB">Model!$I$168</definedName>
    <definedName name="v_35_CU">Model!$M$168</definedName>
    <definedName name="v_35_GCH4">Model!$CD$168</definedName>
    <definedName name="v_35_GCH4_atm">Model!$CJ$168</definedName>
    <definedName name="v_35_GCO2">Model!$CC$168</definedName>
    <definedName name="v_35_GCO2_atm">Model!$CI$168</definedName>
    <definedName name="v_35_GH2">Model!$CE$168</definedName>
    <definedName name="v_35_GH2_atm">Model!$CK$168</definedName>
    <definedName name="v_35_GN2">Model!$CH$168</definedName>
    <definedName name="v_35_GN2_atm">Model!$CN$168</definedName>
    <definedName name="v_35_GNH3">Model!$CG$168</definedName>
    <definedName name="v_35_GNH3_atm">Model!$CM$168</definedName>
    <definedName name="v_35_GO2">Model!$CF$168</definedName>
    <definedName name="v_35_GO2_atm">Model!$CL$168</definedName>
    <definedName name="v_35_SALPHA">Model!$CA$168</definedName>
    <definedName name="v_35_SAN">Model!$AX$168</definedName>
    <definedName name="v_35_SB_mono">Model!$F$168</definedName>
    <definedName name="v_35_SB_poly">Model!$G$168</definedName>
    <definedName name="v_35_SCa">Model!$AY$168</definedName>
    <definedName name="v_35_SCAT">Model!$AW$168</definedName>
    <definedName name="v_35_SCH4">Model!$AS$168</definedName>
    <definedName name="v_35_SCO2">Model!$AU$168</definedName>
    <definedName name="v_35_SFe2">Model!$BB$168</definedName>
    <definedName name="v_35_SH">Model!$BZ$168</definedName>
    <definedName name="v_35_SH2">Model!$AT$168</definedName>
    <definedName name="v_35_SK">Model!$BA$168</definedName>
    <definedName name="v_35_SMEOL">Model!$H$168</definedName>
    <definedName name="v_35_SMg">Model!$AZ$168</definedName>
    <definedName name="v_35_SN_B">Model!$AH$168</definedName>
    <definedName name="v_35_SN2">Model!$AG$168</definedName>
    <definedName name="v_35_SNHx">Model!$AD$168</definedName>
    <definedName name="v_35_SNO2">Model!$AE$168</definedName>
    <definedName name="v_35_SNO3">Model!$AF$168</definedName>
    <definedName name="v_35_SO2">Model!$AR$168</definedName>
    <definedName name="v_35_SORPswitch">Model!$CB$168</definedName>
    <definedName name="v_35_SP_B">Model!$AN$168</definedName>
    <definedName name="v_35_SPFOA">Model!$BV$168</definedName>
    <definedName name="v_35_SPFOS">Model!$BX$168</definedName>
    <definedName name="v_35_SPO4">Model!$AL$168</definedName>
    <definedName name="v_35_SU">Model!$L$168</definedName>
    <definedName name="v_35_SVFA">Model!$E$168</definedName>
    <definedName name="v_35_XACP">Model!$BR$168</definedName>
    <definedName name="v_35_XAHO">Model!$U$168</definedName>
    <definedName name="v_35_XALGAE">Model!$AC$168</definedName>
    <definedName name="v_35_XAMETO">Model!$AA$168</definedName>
    <definedName name="v_35_XAMX">Model!$Z$168</definedName>
    <definedName name="v_35_XAOB">Model!$X$168</definedName>
    <definedName name="v_35_XB">Model!$J$168</definedName>
    <definedName name="v_35_XB_e">Model!$K$168</definedName>
    <definedName name="v_35_XBSH">Model!$BS$168</definedName>
    <definedName name="v_35_XCaCO3">Model!$BQ$168</definedName>
    <definedName name="v_35_XCASTO">Model!$V$168</definedName>
    <definedName name="v_35_XE">Model!$R$168</definedName>
    <definedName name="v_35_XE_ana">Model!$S$168</definedName>
    <definedName name="v_35_XHAO_H">Model!$BJ$168</definedName>
    <definedName name="v_35_XHAO_H_P">Model!$BM$168</definedName>
    <definedName name="v_35_XHAO_H_P_old">Model!$BO$168</definedName>
    <definedName name="v_35_XHAO_L">Model!$BK$168</definedName>
    <definedName name="v_35_XHAO_L_P">Model!$BN$168</definedName>
    <definedName name="v_35_XHAO_L_P_old">Model!$BP$168</definedName>
    <definedName name="v_35_XHAO_old">Model!$BL$168</definedName>
    <definedName name="v_35_XHFO_H">Model!$BC$168</definedName>
    <definedName name="v_35_XHFO_H_P">Model!$BF$168</definedName>
    <definedName name="v_35_XHFO_H_P_old">Model!$BH$168</definedName>
    <definedName name="v_35_XHFO_L">Model!$BD$168</definedName>
    <definedName name="v_35_XHFO_L_P">Model!$BG$168</definedName>
    <definedName name="v_35_XHFO_L_P_old">Model!$BI$168</definedName>
    <definedName name="v_35_XHFO_old">Model!$BE$168</definedName>
    <definedName name="v_35_XHMETO">Model!$AB$168</definedName>
    <definedName name="v_35_XINORG">Model!$AV$168</definedName>
    <definedName name="v_35_XMEOLO">Model!$W$168</definedName>
    <definedName name="v_35_XN_B">Model!$AI$168</definedName>
    <definedName name="v_35_XN_Be">Model!$AJ$168</definedName>
    <definedName name="v_35_XN_U">Model!$AK$168</definedName>
    <definedName name="v_35_XNOB">Model!$Y$168</definedName>
    <definedName name="v_35_XOHO">Model!$T$168</definedName>
    <definedName name="v_35_XP_B">Model!$AO$168</definedName>
    <definedName name="v_35_XP_Be">Model!$AP$168</definedName>
    <definedName name="v_35_XP_U">Model!$AQ$168</definedName>
    <definedName name="v_35_XPFOA">Model!$BW$168</definedName>
    <definedName name="v_35_XPFOS">Model!$BY$168</definedName>
    <definedName name="v_35_XPHA_GAO">Model!$Q$168</definedName>
    <definedName name="v_35_XPHA_PAO">Model!$P$168</definedName>
    <definedName name="v_35_XPP">Model!$AM$168</definedName>
    <definedName name="v_35_XSTO">Model!$O$168</definedName>
    <definedName name="v_35_XSTR">Model!$BT$168</definedName>
    <definedName name="v_35_XU">Model!$N$168</definedName>
    <definedName name="v_35_XVivi">Model!$BU$168</definedName>
    <definedName name="v_36_CB">Model!$I$169</definedName>
    <definedName name="v_36_CU">Model!$M$169</definedName>
    <definedName name="v_36_GCH4">Model!$CD$169</definedName>
    <definedName name="v_36_GCH4_atm">Model!$CJ$169</definedName>
    <definedName name="v_36_GCO2">Model!$CC$169</definedName>
    <definedName name="v_36_GCO2_atm">Model!$CI$169</definedName>
    <definedName name="v_36_GH2">Model!$CE$169</definedName>
    <definedName name="v_36_GH2_atm">Model!$CK$169</definedName>
    <definedName name="v_36_GN2">Model!$CH$169</definedName>
    <definedName name="v_36_GN2_atm">Model!$CN$169</definedName>
    <definedName name="v_36_GNH3">Model!$CG$169</definedName>
    <definedName name="v_36_GNH3_atm">Model!$CM$169</definedName>
    <definedName name="v_36_GO2">Model!$CF$169</definedName>
    <definedName name="v_36_GO2_atm">Model!$CL$169</definedName>
    <definedName name="v_36_SALPHA">Model!$CA$169</definedName>
    <definedName name="v_36_SAN">Model!$AX$169</definedName>
    <definedName name="v_36_SB_mono">Model!$F$169</definedName>
    <definedName name="v_36_SB_poly">Model!$G$169</definedName>
    <definedName name="v_36_SCa">Model!$AY$169</definedName>
    <definedName name="v_36_SCAT">Model!$AW$169</definedName>
    <definedName name="v_36_SCH4">Model!$AS$169</definedName>
    <definedName name="v_36_SCO2">Model!$AU$169</definedName>
    <definedName name="v_36_SFe2">Model!$BB$169</definedName>
    <definedName name="v_36_SH">Model!$BZ$169</definedName>
    <definedName name="v_36_SH2">Model!$AT$169</definedName>
    <definedName name="v_36_SK">Model!$BA$169</definedName>
    <definedName name="v_36_SMEOL">Model!$H$169</definedName>
    <definedName name="v_36_SMg">Model!$AZ$169</definedName>
    <definedName name="v_36_SN_B">Model!$AH$169</definedName>
    <definedName name="v_36_SN2">Model!$AG$169</definedName>
    <definedName name="v_36_SNHx">Model!$AD$169</definedName>
    <definedName name="v_36_SNO2">Model!$AE$169</definedName>
    <definedName name="v_36_SNO3">Model!$AF$169</definedName>
    <definedName name="v_36_SO2">Model!$AR$169</definedName>
    <definedName name="v_36_SORPswitch">Model!$CB$169</definedName>
    <definedName name="v_36_SP_B">Model!$AN$169</definedName>
    <definedName name="v_36_SPFOA">Model!$BV$169</definedName>
    <definedName name="v_36_SPFOS">Model!$BX$169</definedName>
    <definedName name="v_36_SPO4">Model!$AL$169</definedName>
    <definedName name="v_36_SU">Model!$L$169</definedName>
    <definedName name="v_36_SVFA">Model!$E$169</definedName>
    <definedName name="v_36_XACP">Model!$BR$169</definedName>
    <definedName name="v_36_XAHO">Model!$U$169</definedName>
    <definedName name="v_36_XALGAE">Model!$AC$169</definedName>
    <definedName name="v_36_XAMETO">Model!$AA$169</definedName>
    <definedName name="v_36_XAMX">Model!$Z$169</definedName>
    <definedName name="v_36_XAOB">Model!$X$169</definedName>
    <definedName name="v_36_XB">Model!$J$169</definedName>
    <definedName name="v_36_XB_e">Model!$K$169</definedName>
    <definedName name="v_36_XBSH">Model!$BS$169</definedName>
    <definedName name="v_36_XCaCO3">Model!$BQ$169</definedName>
    <definedName name="v_36_XCASTO">Model!$V$169</definedName>
    <definedName name="v_36_XE">Model!$R$169</definedName>
    <definedName name="v_36_XE_ana">Model!$S$169</definedName>
    <definedName name="v_36_XHAO_H">Model!$BJ$169</definedName>
    <definedName name="v_36_XHAO_H_P">Model!$BM$169</definedName>
    <definedName name="v_36_XHAO_H_P_old">Model!$BO$169</definedName>
    <definedName name="v_36_XHAO_L">Model!$BK$169</definedName>
    <definedName name="v_36_XHAO_L_P">Model!$BN$169</definedName>
    <definedName name="v_36_XHAO_L_P_old">Model!$BP$169</definedName>
    <definedName name="v_36_XHAO_old">Model!$BL$169</definedName>
    <definedName name="v_36_XHFO_H">Model!$BC$169</definedName>
    <definedName name="v_36_XHFO_H_P">Model!$BF$169</definedName>
    <definedName name="v_36_XHFO_H_P_old">Model!$BH$169</definedName>
    <definedName name="v_36_XHFO_L">Model!$BD$169</definedName>
    <definedName name="v_36_XHFO_L_P">Model!$BG$169</definedName>
    <definedName name="v_36_XHFO_L_P_old">Model!$BI$169</definedName>
    <definedName name="v_36_XHFO_old">Model!$BE$169</definedName>
    <definedName name="v_36_XHMETO">Model!$AB$169</definedName>
    <definedName name="v_36_XINORG">Model!$AV$169</definedName>
    <definedName name="v_36_XMEOLO">Model!$W$169</definedName>
    <definedName name="v_36_XN_B">Model!$AI$169</definedName>
    <definedName name="v_36_XN_Be">Model!$AJ$169</definedName>
    <definedName name="v_36_XN_U">Model!$AK$169</definedName>
    <definedName name="v_36_XNOB">Model!$Y$169</definedName>
    <definedName name="v_36_XOHO">Model!$T$169</definedName>
    <definedName name="v_36_XP_B">Model!$AO$169</definedName>
    <definedName name="v_36_XP_Be">Model!$AP$169</definedName>
    <definedName name="v_36_XP_U">Model!$AQ$169</definedName>
    <definedName name="v_36_XPFOA">Model!$BW$169</definedName>
    <definedName name="v_36_XPFOS">Model!$BY$169</definedName>
    <definedName name="v_36_XPHA_GAO">Model!$Q$169</definedName>
    <definedName name="v_36_XPHA_PAO">Model!$P$169</definedName>
    <definedName name="v_36_XPP">Model!$AM$169</definedName>
    <definedName name="v_36_XSTO">Model!$O$169</definedName>
    <definedName name="v_36_XSTR">Model!$BT$169</definedName>
    <definedName name="v_36_XU">Model!$N$169</definedName>
    <definedName name="v_36_XVivi">Model!$BU$169</definedName>
    <definedName name="v_37_CB">Model!$I$170</definedName>
    <definedName name="v_37_CU">Model!$M$170</definedName>
    <definedName name="v_37_GCH4">Model!$CD$170</definedName>
    <definedName name="v_37_GCH4_atm">Model!$CJ$170</definedName>
    <definedName name="v_37_GCO2">Model!$CC$170</definedName>
    <definedName name="v_37_GCO2_atm">Model!$CI$170</definedName>
    <definedName name="v_37_GH2">Model!$CE$170</definedName>
    <definedName name="v_37_GH2_atm">Model!$CK$170</definedName>
    <definedName name="v_37_GN2">Model!$CH$170</definedName>
    <definedName name="v_37_GN2_atm">Model!$CN$170</definedName>
    <definedName name="v_37_GNH3">Model!$CG$170</definedName>
    <definedName name="v_37_GNH3_atm">Model!$CM$170</definedName>
    <definedName name="v_37_GO2">Model!$CF$170</definedName>
    <definedName name="v_37_GO2_atm">Model!$CL$170</definedName>
    <definedName name="v_37_SALPHA">Model!$CA$170</definedName>
    <definedName name="v_37_SAN">Model!$AX$170</definedName>
    <definedName name="v_37_SB_mono">Model!$F$170</definedName>
    <definedName name="v_37_SB_poly">Model!$G$170</definedName>
    <definedName name="v_37_SCa">Model!$AY$170</definedName>
    <definedName name="v_37_SCAT">Model!$AW$170</definedName>
    <definedName name="v_37_SCH4">Model!$AS$170</definedName>
    <definedName name="v_37_SCO2">Model!$AU$170</definedName>
    <definedName name="v_37_SFe2">Model!$BB$170</definedName>
    <definedName name="v_37_SH">Model!$BZ$170</definedName>
    <definedName name="v_37_SH2">Model!$AT$170</definedName>
    <definedName name="v_37_SK">Model!$BA$170</definedName>
    <definedName name="v_37_SMEOL">Model!$H$170</definedName>
    <definedName name="v_37_SMg">Model!$AZ$170</definedName>
    <definedName name="v_37_SN_B">Model!$AH$170</definedName>
    <definedName name="v_37_SN2">Model!$AG$170</definedName>
    <definedName name="v_37_SNHx">Model!$AD$170</definedName>
    <definedName name="v_37_SNO2">Model!$AE$170</definedName>
    <definedName name="v_37_SNO3">Model!$AF$170</definedName>
    <definedName name="v_37_SO2">Model!$AR$170</definedName>
    <definedName name="v_37_SORPswitch">Model!$CB$170</definedName>
    <definedName name="v_37_SP_B">Model!$AN$170</definedName>
    <definedName name="v_37_SPFOA">Model!$BV$170</definedName>
    <definedName name="v_37_SPFOS">Model!$BX$170</definedName>
    <definedName name="v_37_SPO4">Model!$AL$170</definedName>
    <definedName name="v_37_SU">Model!$L$170</definedName>
    <definedName name="v_37_SVFA">Model!$E$170</definedName>
    <definedName name="v_37_XACP">Model!$BR$170</definedName>
    <definedName name="v_37_XAHO">Model!$U$170</definedName>
    <definedName name="v_37_XALGAE">Model!$AC$170</definedName>
    <definedName name="v_37_XAMETO">Model!$AA$170</definedName>
    <definedName name="v_37_XAMX">Model!$Z$170</definedName>
    <definedName name="v_37_XAOB">Model!$X$170</definedName>
    <definedName name="v_37_XB">Model!$J$170</definedName>
    <definedName name="v_37_XB_e">Model!$K$170</definedName>
    <definedName name="v_37_XBSH">Model!$BS$170</definedName>
    <definedName name="v_37_XCaCO3">Model!$BQ$170</definedName>
    <definedName name="v_37_XCASTO">Model!$V$170</definedName>
    <definedName name="v_37_XE">Model!$R$170</definedName>
    <definedName name="v_37_XE_ana">Model!$S$170</definedName>
    <definedName name="v_37_XHAO_H">Model!$BJ$170</definedName>
    <definedName name="v_37_XHAO_H_P">Model!$BM$170</definedName>
    <definedName name="v_37_XHAO_H_P_old">Model!$BO$170</definedName>
    <definedName name="v_37_XHAO_L">Model!$BK$170</definedName>
    <definedName name="v_37_XHAO_L_P">Model!$BN$170</definedName>
    <definedName name="v_37_XHAO_L_P_old">Model!$BP$170</definedName>
    <definedName name="v_37_XHAO_old">Model!$BL$170</definedName>
    <definedName name="v_37_XHFO_H">Model!$BC$170</definedName>
    <definedName name="v_37_XHFO_H_P">Model!$BF$170</definedName>
    <definedName name="v_37_XHFO_H_P_old">Model!$BH$170</definedName>
    <definedName name="v_37_XHFO_L">Model!$BD$170</definedName>
    <definedName name="v_37_XHFO_L_P">Model!$BG$170</definedName>
    <definedName name="v_37_XHFO_L_P_old">Model!$BI$170</definedName>
    <definedName name="v_37_XHFO_old">Model!$BE$170</definedName>
    <definedName name="v_37_XHMETO">Model!$AB$170</definedName>
    <definedName name="v_37_XINORG">Model!$AV$170</definedName>
    <definedName name="v_37_XMEOLO">Model!$W$170</definedName>
    <definedName name="v_37_XN_B">Model!$AI$170</definedName>
    <definedName name="v_37_XN_Be">Model!$AJ$170</definedName>
    <definedName name="v_37_XN_U">Model!$AK$170</definedName>
    <definedName name="v_37_XNOB">Model!$Y$170</definedName>
    <definedName name="v_37_XOHO">Model!$T$170</definedName>
    <definedName name="v_37_XP_B">Model!$AO$170</definedName>
    <definedName name="v_37_XP_Be">Model!$AP$170</definedName>
    <definedName name="v_37_XP_U">Model!$AQ$170</definedName>
    <definedName name="v_37_XPFOA">Model!$BW$170</definedName>
    <definedName name="v_37_XPFOS">Model!$BY$170</definedName>
    <definedName name="v_37_XPHA_GAO">Model!$Q$170</definedName>
    <definedName name="v_37_XPHA_PAO">Model!$P$170</definedName>
    <definedName name="v_37_XPP">Model!$AM$170</definedName>
    <definedName name="v_37_XSTO">Model!$O$170</definedName>
    <definedName name="v_37_XSTR">Model!$BT$170</definedName>
    <definedName name="v_37_XU">Model!$N$170</definedName>
    <definedName name="v_37_XVivi">Model!$BU$170</definedName>
    <definedName name="v_38_CB">Model!$I$171</definedName>
    <definedName name="v_38_CU">Model!$M$171</definedName>
    <definedName name="v_38_GCH4">Model!$CD$171</definedName>
    <definedName name="v_38_GCH4_atm">Model!$CJ$171</definedName>
    <definedName name="v_38_GCO2">Model!$CC$171</definedName>
    <definedName name="v_38_GCO2_atm">Model!$CI$171</definedName>
    <definedName name="v_38_GH2">Model!$CE$171</definedName>
    <definedName name="v_38_GH2_atm">Model!$CK$171</definedName>
    <definedName name="v_38_GN2">Model!$CH$171</definedName>
    <definedName name="v_38_GN2_atm">Model!$CN$171</definedName>
    <definedName name="v_38_GNH3">Model!$CG$171</definedName>
    <definedName name="v_38_GNH3_atm">Model!$CM$171</definedName>
    <definedName name="v_38_GO2">Model!$CF$171</definedName>
    <definedName name="v_38_GO2_atm">Model!$CL$171</definedName>
    <definedName name="v_38_SALPHA">Model!$CA$171</definedName>
    <definedName name="v_38_SAN">Model!$AX$171</definedName>
    <definedName name="v_38_SB_mono">Model!$F$171</definedName>
    <definedName name="v_38_SB_poly">Model!$G$171</definedName>
    <definedName name="v_38_SCa">Model!$AY$171</definedName>
    <definedName name="v_38_SCAT">Model!$AW$171</definedName>
    <definedName name="v_38_SCH4">Model!$AS$171</definedName>
    <definedName name="v_38_SCO2">Model!$AU$171</definedName>
    <definedName name="v_38_SFe2">Model!$BB$171</definedName>
    <definedName name="v_38_SH">Model!$BZ$171</definedName>
    <definedName name="v_38_SH2">Model!$AT$171</definedName>
    <definedName name="v_38_SK">Model!$BA$171</definedName>
    <definedName name="v_38_SMEOL">Model!$H$171</definedName>
    <definedName name="v_38_SMg">Model!$AZ$171</definedName>
    <definedName name="v_38_SN_B">Model!$AH$171</definedName>
    <definedName name="v_38_SN2">Model!$AG$171</definedName>
    <definedName name="v_38_SNHx">Model!$AD$171</definedName>
    <definedName name="v_38_SNO2">Model!$AE$171</definedName>
    <definedName name="v_38_SNO3">Model!$AF$171</definedName>
    <definedName name="v_38_SO2">Model!$AR$171</definedName>
    <definedName name="v_38_SORPswitch">Model!$CB$171</definedName>
    <definedName name="v_38_SP_B">Model!$AN$171</definedName>
    <definedName name="v_38_SPFOA">Model!$BV$171</definedName>
    <definedName name="v_38_SPFOS">Model!$BX$171</definedName>
    <definedName name="v_38_SPO4">Model!$AL$171</definedName>
    <definedName name="v_38_SU">Model!$L$171</definedName>
    <definedName name="v_38_SVFA">Model!$E$171</definedName>
    <definedName name="v_38_XACP">Model!$BR$171</definedName>
    <definedName name="v_38_XAHO">Model!$U$171</definedName>
    <definedName name="v_38_XALGAE">Model!$AC$171</definedName>
    <definedName name="v_38_XAMETO">Model!$AA$171</definedName>
    <definedName name="v_38_XAMX">Model!$Z$171</definedName>
    <definedName name="v_38_XAOB">Model!$X$171</definedName>
    <definedName name="v_38_XB">Model!$J$171</definedName>
    <definedName name="v_38_XB_e">Model!$K$171</definedName>
    <definedName name="v_38_XBSH">Model!$BS$171</definedName>
    <definedName name="v_38_XCaCO3">Model!$BQ$171</definedName>
    <definedName name="v_38_XCASTO">Model!$V$171</definedName>
    <definedName name="v_38_XE">Model!$R$171</definedName>
    <definedName name="v_38_XE_ana">Model!$S$171</definedName>
    <definedName name="v_38_XHAO_H">Model!$BJ$171</definedName>
    <definedName name="v_38_XHAO_H_P">Model!$BM$171</definedName>
    <definedName name="v_38_XHAO_H_P_old">Model!$BO$171</definedName>
    <definedName name="v_38_XHAO_L">Model!$BK$171</definedName>
    <definedName name="v_38_XHAO_L_P">Model!$BN$171</definedName>
    <definedName name="v_38_XHAO_L_P_old">Model!$BP$171</definedName>
    <definedName name="v_38_XHAO_old">Model!$BL$171</definedName>
    <definedName name="v_38_XHFO_H">Model!$BC$171</definedName>
    <definedName name="v_38_XHFO_H_P">Model!$BF$171</definedName>
    <definedName name="v_38_XHFO_H_P_old">Model!$BH$171</definedName>
    <definedName name="v_38_XHFO_L">Model!$BD$171</definedName>
    <definedName name="v_38_XHFO_L_P">Model!$BG$171</definedName>
    <definedName name="v_38_XHFO_L_P_old">Model!$BI$171</definedName>
    <definedName name="v_38_XHFO_old">Model!$BE$171</definedName>
    <definedName name="v_38_XHMETO">Model!$AB$171</definedName>
    <definedName name="v_38_XINORG">Model!$AV$171</definedName>
    <definedName name="v_38_XMEOLO">Model!$W$171</definedName>
    <definedName name="v_38_XN_B">Model!$AI$171</definedName>
    <definedName name="v_38_XN_Be">Model!$AJ$171</definedName>
    <definedName name="v_38_XN_U">Model!$AK$171</definedName>
    <definedName name="v_38_XNOB">Model!$Y$171</definedName>
    <definedName name="v_38_XOHO">Model!$T$171</definedName>
    <definedName name="v_38_XP_B">Model!$AO$171</definedName>
    <definedName name="v_38_XP_Be">Model!$AP$171</definedName>
    <definedName name="v_38_XP_U">Model!$AQ$171</definedName>
    <definedName name="v_38_XPFOA">Model!$BW$171</definedName>
    <definedName name="v_38_XPFOS">Model!$BY$171</definedName>
    <definedName name="v_38_XPHA_GAO">Model!$Q$171</definedName>
    <definedName name="v_38_XPHA_PAO">Model!$P$171</definedName>
    <definedName name="v_38_XPP">Model!$AM$171</definedName>
    <definedName name="v_38_XSTO">Model!$O$171</definedName>
    <definedName name="v_38_XSTR">Model!$BT$171</definedName>
    <definedName name="v_38_XU">Model!$N$171</definedName>
    <definedName name="v_38_XVivi">Model!$BU$171</definedName>
    <definedName name="v_39_CB">Model!$I$172</definedName>
    <definedName name="v_39_CU">Model!$M$172</definedName>
    <definedName name="v_39_GCH4">Model!$CD$172</definedName>
    <definedName name="v_39_GCH4_atm">Model!$CJ$172</definedName>
    <definedName name="v_39_GCO2">Model!$CC$172</definedName>
    <definedName name="v_39_GCO2_atm">Model!$CI$172</definedName>
    <definedName name="v_39_GH2">Model!$CE$172</definedName>
    <definedName name="v_39_GH2_atm">Model!$CK$172</definedName>
    <definedName name="v_39_GN2">Model!$CH$172</definedName>
    <definedName name="v_39_GN2_atm">Model!$CN$172</definedName>
    <definedName name="v_39_GNH3">Model!$CG$172</definedName>
    <definedName name="v_39_GNH3_atm">Model!$CM$172</definedName>
    <definedName name="v_39_GO2">Model!$CF$172</definedName>
    <definedName name="v_39_GO2_atm">Model!$CL$172</definedName>
    <definedName name="v_39_SALPHA">Model!$CA$172</definedName>
    <definedName name="v_39_SAN">Model!$AX$172</definedName>
    <definedName name="v_39_SB_mono">Model!$F$172</definedName>
    <definedName name="v_39_SB_poly">Model!$G$172</definedName>
    <definedName name="v_39_SCa">Model!$AY$172</definedName>
    <definedName name="v_39_SCAT">Model!$AW$172</definedName>
    <definedName name="v_39_SCH4">Model!$AS$172</definedName>
    <definedName name="v_39_SCO2">Model!$AU$172</definedName>
    <definedName name="v_39_SFe2">Model!$BB$172</definedName>
    <definedName name="v_39_SH">Model!$BZ$172</definedName>
    <definedName name="v_39_SH2">Model!$AT$172</definedName>
    <definedName name="v_39_SK">Model!$BA$172</definedName>
    <definedName name="v_39_SMEOL">Model!$H$172</definedName>
    <definedName name="v_39_SMg">Model!$AZ$172</definedName>
    <definedName name="v_39_SN_B">Model!$AH$172</definedName>
    <definedName name="v_39_SN2">Model!$AG$172</definedName>
    <definedName name="v_39_SNHx">Model!$AD$172</definedName>
    <definedName name="v_39_SNO2">Model!$AE$172</definedName>
    <definedName name="v_39_SNO3">Model!$AF$172</definedName>
    <definedName name="v_39_SO2">Model!$AR$172</definedName>
    <definedName name="v_39_SORPswitch">Model!$CB$172</definedName>
    <definedName name="v_39_SP_B">Model!$AN$172</definedName>
    <definedName name="v_39_SPFOA">Model!$BV$172</definedName>
    <definedName name="v_39_SPFOS">Model!$BX$172</definedName>
    <definedName name="v_39_SPO4">Model!$AL$172</definedName>
    <definedName name="v_39_SU">Model!$L$172</definedName>
    <definedName name="v_39_SVFA">Model!$E$172</definedName>
    <definedName name="v_39_XACP">Model!$BR$172</definedName>
    <definedName name="v_39_XAHO">Model!$U$172</definedName>
    <definedName name="v_39_XALGAE">Model!$AC$172</definedName>
    <definedName name="v_39_XAMETO">Model!$AA$172</definedName>
    <definedName name="v_39_XAMX">Model!$Z$172</definedName>
    <definedName name="v_39_XAOB">Model!$X$172</definedName>
    <definedName name="v_39_XB">Model!$J$172</definedName>
    <definedName name="v_39_XB_e">Model!$K$172</definedName>
    <definedName name="v_39_XBSH">Model!$BS$172</definedName>
    <definedName name="v_39_XCaCO3">Model!$BQ$172</definedName>
    <definedName name="v_39_XCASTO">Model!$V$172</definedName>
    <definedName name="v_39_XE">Model!$R$172</definedName>
    <definedName name="v_39_XE_ana">Model!$S$172</definedName>
    <definedName name="v_39_XHAO_H">Model!$BJ$172</definedName>
    <definedName name="v_39_XHAO_H_P">Model!$BM$172</definedName>
    <definedName name="v_39_XHAO_H_P_old">Model!$BO$172</definedName>
    <definedName name="v_39_XHAO_L">Model!$BK$172</definedName>
    <definedName name="v_39_XHAO_L_P">Model!$BN$172</definedName>
    <definedName name="v_39_XHAO_L_P_old">Model!$BP$172</definedName>
    <definedName name="v_39_XHAO_old">Model!$BL$172</definedName>
    <definedName name="v_39_XHFO_H">Model!$BC$172</definedName>
    <definedName name="v_39_XHFO_H_P">Model!$BF$172</definedName>
    <definedName name="v_39_XHFO_H_P_old">Model!$BH$172</definedName>
    <definedName name="v_39_XHFO_L">Model!$BD$172</definedName>
    <definedName name="v_39_XHFO_L_P">Model!$BG$172</definedName>
    <definedName name="v_39_XHFO_L_P_old">Model!$BI$172</definedName>
    <definedName name="v_39_XHFO_old">Model!$BE$172</definedName>
    <definedName name="v_39_XHMETO">Model!$AB$172</definedName>
    <definedName name="v_39_XINORG">Model!$AV$172</definedName>
    <definedName name="v_39_XMEOLO">Model!$W$172</definedName>
    <definedName name="v_39_XN_B">Model!$AI$172</definedName>
    <definedName name="v_39_XN_Be">Model!$AJ$172</definedName>
    <definedName name="v_39_XN_U">Model!$AK$172</definedName>
    <definedName name="v_39_XNOB">Model!$Y$172</definedName>
    <definedName name="v_39_XOHO">Model!$T$172</definedName>
    <definedName name="v_39_XP_B">Model!$AO$172</definedName>
    <definedName name="v_39_XP_Be">Model!$AP$172</definedName>
    <definedName name="v_39_XP_U">Model!$AQ$172</definedName>
    <definedName name="v_39_XPFOA">Model!$BW$172</definedName>
    <definedName name="v_39_XPFOS">Model!$BY$172</definedName>
    <definedName name="v_39_XPHA_GAO">Model!$Q$172</definedName>
    <definedName name="v_39_XPHA_PAO">Model!$P$172</definedName>
    <definedName name="v_39_XPP">Model!$AM$172</definedName>
    <definedName name="v_39_XSTO">Model!$O$172</definedName>
    <definedName name="v_39_XSTR">Model!$BT$172</definedName>
    <definedName name="v_39_XU">Model!$N$172</definedName>
    <definedName name="v_39_XVivi">Model!$BU$172</definedName>
    <definedName name="v_4_CB">Model!$I$137</definedName>
    <definedName name="v_4_CU">Model!$M$137</definedName>
    <definedName name="v_4_GCH4">Model!$CD$137</definedName>
    <definedName name="v_4_GCH4_atm">Model!$CJ$137</definedName>
    <definedName name="v_4_GCO2">Model!$CC$137</definedName>
    <definedName name="v_4_GCO2_atm">Model!$CI$137</definedName>
    <definedName name="v_4_GH2">Model!$CE$137</definedName>
    <definedName name="v_4_GH2_atm">Model!$CK$137</definedName>
    <definedName name="v_4_GN2">Model!$CH$137</definedName>
    <definedName name="v_4_GN2_atm">Model!$CN$137</definedName>
    <definedName name="v_4_GNH3">Model!$CG$137</definedName>
    <definedName name="v_4_GNH3_atm">Model!$CM$137</definedName>
    <definedName name="v_4_GO2">Model!$CF$137</definedName>
    <definedName name="v_4_GO2_atm">Model!$CL$137</definedName>
    <definedName name="v_4_SALPHA">Model!$CA$137</definedName>
    <definedName name="v_4_SAN">Model!$AX$137</definedName>
    <definedName name="v_4_SB_mono">Model!$F$137</definedName>
    <definedName name="v_4_SB_poly">Model!$G$137</definedName>
    <definedName name="v_4_SCa">Model!$AY$137</definedName>
    <definedName name="v_4_SCAT">Model!$AW$137</definedName>
    <definedName name="v_4_SCH4">Model!$AS$137</definedName>
    <definedName name="v_4_SCO2">Model!$AU$137</definedName>
    <definedName name="v_4_SFe2">Model!$BB$137</definedName>
    <definedName name="v_4_SH">Model!$BZ$137</definedName>
    <definedName name="v_4_SH2">Model!$AT$137</definedName>
    <definedName name="v_4_SK">Model!$BA$137</definedName>
    <definedName name="v_4_SMEOL">Model!$H$137</definedName>
    <definedName name="v_4_SMg">Model!$AZ$137</definedName>
    <definedName name="v_4_SN_B">Model!$AH$137</definedName>
    <definedName name="v_4_SN2">Model!$AG$137</definedName>
    <definedName name="v_4_SNHx">Model!$AD$137</definedName>
    <definedName name="v_4_SNO2">Model!$AE$137</definedName>
    <definedName name="v_4_SNO3">Model!$AF$137</definedName>
    <definedName name="v_4_SO2">Model!$AR$137</definedName>
    <definedName name="v_4_SORPswitch">Model!$CB$137</definedName>
    <definedName name="v_4_SP_B">Model!$AN$137</definedName>
    <definedName name="v_4_SPFOA">Model!$BV$137</definedName>
    <definedName name="v_4_SPFOS">Model!$BX$137</definedName>
    <definedName name="v_4_SPO4">Model!$AL$137</definedName>
    <definedName name="v_4_SU">Model!$L$137</definedName>
    <definedName name="v_4_SVFA">Model!$E$137</definedName>
    <definedName name="v_4_XACP">Model!$BR$137</definedName>
    <definedName name="v_4_XAHO">Model!$U$137</definedName>
    <definedName name="v_4_XALGAE">Model!$AC$137</definedName>
    <definedName name="v_4_XAMETO">Model!$AA$137</definedName>
    <definedName name="v_4_XAMX">Model!$Z$137</definedName>
    <definedName name="v_4_XAOB">Model!$X$137</definedName>
    <definedName name="v_4_XB">Model!$J$137</definedName>
    <definedName name="v_4_XB_e">Model!$K$137</definedName>
    <definedName name="v_4_XBSH">Model!$BS$137</definedName>
    <definedName name="v_4_XCaCO3">Model!$BQ$137</definedName>
    <definedName name="v_4_XCASTO">Model!$V$137</definedName>
    <definedName name="v_4_XE">Model!$R$137</definedName>
    <definedName name="v_4_XE_ana">Model!$S$137</definedName>
    <definedName name="v_4_XHAO_H">Model!$BJ$137</definedName>
    <definedName name="v_4_XHAO_H_P">Model!$BM$137</definedName>
    <definedName name="v_4_XHAO_H_P_old">Model!$BO$137</definedName>
    <definedName name="v_4_XHAO_L">Model!$BK$137</definedName>
    <definedName name="v_4_XHAO_L_P">Model!$BN$137</definedName>
    <definedName name="v_4_XHAO_L_P_old">Model!$BP$137</definedName>
    <definedName name="v_4_XHAO_old">Model!$BL$137</definedName>
    <definedName name="v_4_XHFO_H">Model!$BC$137</definedName>
    <definedName name="v_4_XHFO_H_P">Model!$BF$137</definedName>
    <definedName name="v_4_XHFO_H_P_old">Model!$BH$137</definedName>
    <definedName name="v_4_XHFO_L">Model!$BD$137</definedName>
    <definedName name="v_4_XHFO_L_P">Model!$BG$137</definedName>
    <definedName name="v_4_XHFO_L_P_old">Model!$BI$137</definedName>
    <definedName name="v_4_XHFO_old">Model!$BE$137</definedName>
    <definedName name="v_4_XHMETO">Model!$AB$137</definedName>
    <definedName name="v_4_XINORG">Model!$AV$137</definedName>
    <definedName name="v_4_XMEOLO">Model!$W$137</definedName>
    <definedName name="v_4_XN_B">Model!$AI$137</definedName>
    <definedName name="v_4_XN_Be">Model!$AJ$137</definedName>
    <definedName name="v_4_XN_U">Model!$AK$137</definedName>
    <definedName name="v_4_XNOB">Model!$Y$137</definedName>
    <definedName name="v_4_XOHO">Model!$T$137</definedName>
    <definedName name="v_4_XP_B">Model!$AO$137</definedName>
    <definedName name="v_4_XP_Be">Model!$AP$137</definedName>
    <definedName name="v_4_XP_U">Model!$AQ$137</definedName>
    <definedName name="v_4_XPFOA">Model!$BW$137</definedName>
    <definedName name="v_4_XPFOS">Model!$BY$137</definedName>
    <definedName name="v_4_XPHA_GAO">Model!$Q$137</definedName>
    <definedName name="v_4_XPHA_PAO">Model!$P$137</definedName>
    <definedName name="v_4_XPP">Model!$AM$137</definedName>
    <definedName name="v_4_XSTO">Model!$O$137</definedName>
    <definedName name="v_4_XSTR">Model!$BT$137</definedName>
    <definedName name="v_4_XU">Model!$N$137</definedName>
    <definedName name="v_4_XVivi">Model!$BU$137</definedName>
    <definedName name="v_40_CB">Model!$I$173</definedName>
    <definedName name="v_40_CU">Model!$M$173</definedName>
    <definedName name="v_40_GCH4">Model!$CD$173</definedName>
    <definedName name="v_40_GCH4_atm">Model!$CJ$173</definedName>
    <definedName name="v_40_GCO2">Model!$CC$173</definedName>
    <definedName name="v_40_GCO2_atm">Model!$CI$173</definedName>
    <definedName name="v_40_GH2">Model!$CE$173</definedName>
    <definedName name="v_40_GH2_atm">Model!$CK$173</definedName>
    <definedName name="v_40_GN2">Model!$CH$173</definedName>
    <definedName name="v_40_GN2_atm">Model!$CN$173</definedName>
    <definedName name="v_40_GNH3">Model!$CG$173</definedName>
    <definedName name="v_40_GNH3_atm">Model!$CM$173</definedName>
    <definedName name="v_40_GO2">Model!$CF$173</definedName>
    <definedName name="v_40_GO2_atm">Model!$CL$173</definedName>
    <definedName name="v_40_SALPHA">Model!$CA$173</definedName>
    <definedName name="v_40_SAN">Model!$AX$173</definedName>
    <definedName name="v_40_SB_mono">Model!$F$173</definedName>
    <definedName name="v_40_SB_poly">Model!$G$173</definedName>
    <definedName name="v_40_SCa">Model!$AY$173</definedName>
    <definedName name="v_40_SCAT">Model!$AW$173</definedName>
    <definedName name="v_40_SCH4">Model!$AS$173</definedName>
    <definedName name="v_40_SCO2">Model!$AU$173</definedName>
    <definedName name="v_40_SFe2">Model!$BB$173</definedName>
    <definedName name="v_40_SH">Model!$BZ$173</definedName>
    <definedName name="v_40_SH2">Model!$AT$173</definedName>
    <definedName name="v_40_SK">Model!$BA$173</definedName>
    <definedName name="v_40_SMEOL">Model!$H$173</definedName>
    <definedName name="v_40_SMg">Model!$AZ$173</definedName>
    <definedName name="v_40_SN_B">Model!$AH$173</definedName>
    <definedName name="v_40_SN2">Model!$AG$173</definedName>
    <definedName name="v_40_SNHx">Model!$AD$173</definedName>
    <definedName name="v_40_SNO2">Model!$AE$173</definedName>
    <definedName name="v_40_SNO3">Model!$AF$173</definedName>
    <definedName name="v_40_SO2">Model!$AR$173</definedName>
    <definedName name="v_40_SORPswitch">Model!$CB$173</definedName>
    <definedName name="v_40_SP_B">Model!$AN$173</definedName>
    <definedName name="v_40_SPFOA">Model!$BV$173</definedName>
    <definedName name="v_40_SPFOS">Model!$BX$173</definedName>
    <definedName name="v_40_SPO4">Model!$AL$173</definedName>
    <definedName name="v_40_SU">Model!$L$173</definedName>
    <definedName name="v_40_SVFA">Model!$E$173</definedName>
    <definedName name="v_40_XACP">Model!$BR$173</definedName>
    <definedName name="v_40_XAHO">Model!$U$173</definedName>
    <definedName name="v_40_XALGAE">Model!$AC$173</definedName>
    <definedName name="v_40_XAMETO">Model!$AA$173</definedName>
    <definedName name="v_40_XAMX">Model!$Z$173</definedName>
    <definedName name="v_40_XAOB">Model!$X$173</definedName>
    <definedName name="v_40_XB">Model!$J$173</definedName>
    <definedName name="v_40_XB_e">Model!$K$173</definedName>
    <definedName name="v_40_XBSH">Model!$BS$173</definedName>
    <definedName name="v_40_XCaCO3">Model!$BQ$173</definedName>
    <definedName name="v_40_XCASTO">Model!$V$173</definedName>
    <definedName name="v_40_XE">Model!$R$173</definedName>
    <definedName name="v_40_XE_ana">Model!$S$173</definedName>
    <definedName name="v_40_XHAO_H">Model!$BJ$173</definedName>
    <definedName name="v_40_XHAO_H_P">Model!$BM$173</definedName>
    <definedName name="v_40_XHAO_H_P_old">Model!$BO$173</definedName>
    <definedName name="v_40_XHAO_L">Model!$BK$173</definedName>
    <definedName name="v_40_XHAO_L_P">Model!$BN$173</definedName>
    <definedName name="v_40_XHAO_L_P_old">Model!$BP$173</definedName>
    <definedName name="v_40_XHAO_old">Model!$BL$173</definedName>
    <definedName name="v_40_XHFO_H">Model!$BC$173</definedName>
    <definedName name="v_40_XHFO_H_P">Model!$BF$173</definedName>
    <definedName name="v_40_XHFO_H_P_old">Model!$BH$173</definedName>
    <definedName name="v_40_XHFO_L">Model!$BD$173</definedName>
    <definedName name="v_40_XHFO_L_P">Model!$BG$173</definedName>
    <definedName name="v_40_XHFO_L_P_old">Model!$BI$173</definedName>
    <definedName name="v_40_XHFO_old">Model!$BE$173</definedName>
    <definedName name="v_40_XHMETO">Model!$AB$173</definedName>
    <definedName name="v_40_XINORG">Model!$AV$173</definedName>
    <definedName name="v_40_XMEOLO">Model!$W$173</definedName>
    <definedName name="v_40_XN_B">Model!$AI$173</definedName>
    <definedName name="v_40_XN_Be">Model!$AJ$173</definedName>
    <definedName name="v_40_XN_U">Model!$AK$173</definedName>
    <definedName name="v_40_XNOB">Model!$Y$173</definedName>
    <definedName name="v_40_XOHO">Model!$T$173</definedName>
    <definedName name="v_40_XP_B">Model!$AO$173</definedName>
    <definedName name="v_40_XP_Be">Model!$AP$173</definedName>
    <definedName name="v_40_XP_U">Model!$AQ$173</definedName>
    <definedName name="v_40_XPFOA">Model!$BW$173</definedName>
    <definedName name="v_40_XPFOS">Model!$BY$173</definedName>
    <definedName name="v_40_XPHA_GAO">Model!$Q$173</definedName>
    <definedName name="v_40_XPHA_PAO">Model!$P$173</definedName>
    <definedName name="v_40_XPP">Model!$AM$173</definedName>
    <definedName name="v_40_XSTO">Model!$O$173</definedName>
    <definedName name="v_40_XSTR">Model!$BT$173</definedName>
    <definedName name="v_40_XU">Model!$N$173</definedName>
    <definedName name="v_40_XVivi">Model!$BU$173</definedName>
    <definedName name="v_41_CB">Model!$I$174</definedName>
    <definedName name="v_41_CU">Model!$M$174</definedName>
    <definedName name="v_41_GCH4">Model!$CD$174</definedName>
    <definedName name="v_41_GCH4_atm">Model!$CJ$174</definedName>
    <definedName name="v_41_GCO2">Model!$CC$174</definedName>
    <definedName name="v_41_GCO2_atm">Model!$CI$174</definedName>
    <definedName name="v_41_GH2">Model!$CE$174</definedName>
    <definedName name="v_41_GH2_atm">Model!$CK$174</definedName>
    <definedName name="v_41_GN2">Model!$CH$174</definedName>
    <definedName name="v_41_GN2_atm">Model!$CN$174</definedName>
    <definedName name="v_41_GNH3">Model!$CG$174</definedName>
    <definedName name="v_41_GNH3_atm">Model!$CM$174</definedName>
    <definedName name="v_41_GO2">Model!$CF$174</definedName>
    <definedName name="v_41_GO2_atm">Model!$CL$174</definedName>
    <definedName name="v_41_SALPHA">Model!$CA$174</definedName>
    <definedName name="v_41_SAN">Model!$AX$174</definedName>
    <definedName name="v_41_SB_mono">Model!$F$174</definedName>
    <definedName name="v_41_SB_poly">Model!$G$174</definedName>
    <definedName name="v_41_SCa">Model!$AY$174</definedName>
    <definedName name="v_41_SCAT">Model!$AW$174</definedName>
    <definedName name="v_41_SCH4">Model!$AS$174</definedName>
    <definedName name="v_41_SCO2">Model!$AU$174</definedName>
    <definedName name="v_41_SFe2">Model!$BB$174</definedName>
    <definedName name="v_41_SH">Model!$BZ$174</definedName>
    <definedName name="v_41_SH2">Model!$AT$174</definedName>
    <definedName name="v_41_SK">Model!$BA$174</definedName>
    <definedName name="v_41_SMEOL">Model!$H$174</definedName>
    <definedName name="v_41_SMg">Model!$AZ$174</definedName>
    <definedName name="v_41_SN_B">Model!$AH$174</definedName>
    <definedName name="v_41_SN2">Model!$AG$174</definedName>
    <definedName name="v_41_SNHx">Model!$AD$174</definedName>
    <definedName name="v_41_SNO2">Model!$AE$174</definedName>
    <definedName name="v_41_SNO3">Model!$AF$174</definedName>
    <definedName name="v_41_SO2">Model!$AR$174</definedName>
    <definedName name="v_41_SORPswitch">Model!$CB$174</definedName>
    <definedName name="v_41_SP_B">Model!$AN$174</definedName>
    <definedName name="v_41_SPFOA">Model!$BV$174</definedName>
    <definedName name="v_41_SPFOS">Model!$BX$174</definedName>
    <definedName name="v_41_SPO4">Model!$AL$174</definedName>
    <definedName name="v_41_SU">Model!$L$174</definedName>
    <definedName name="v_41_SVFA">Model!$E$174</definedName>
    <definedName name="v_41_XACP">Model!$BR$174</definedName>
    <definedName name="v_41_XAHO">Model!$U$174</definedName>
    <definedName name="v_41_XALGAE">Model!$AC$174</definedName>
    <definedName name="v_41_XAMETO">Model!$AA$174</definedName>
    <definedName name="v_41_XAMX">Model!$Z$174</definedName>
    <definedName name="v_41_XAOB">Model!$X$174</definedName>
    <definedName name="v_41_XB">Model!$J$174</definedName>
    <definedName name="v_41_XB_e">Model!$K$174</definedName>
    <definedName name="v_41_XBSH">Model!$BS$174</definedName>
    <definedName name="v_41_XCaCO3">Model!$BQ$174</definedName>
    <definedName name="v_41_XCASTO">Model!$V$174</definedName>
    <definedName name="v_41_XE">Model!$R$174</definedName>
    <definedName name="v_41_XE_ana">Model!$S$174</definedName>
    <definedName name="v_41_XHAO_H">Model!$BJ$174</definedName>
    <definedName name="v_41_XHAO_H_P">Model!$BM$174</definedName>
    <definedName name="v_41_XHAO_H_P_old">Model!$BO$174</definedName>
    <definedName name="v_41_XHAO_L">Model!$BK$174</definedName>
    <definedName name="v_41_XHAO_L_P">Model!$BN$174</definedName>
    <definedName name="v_41_XHAO_L_P_old">Model!$BP$174</definedName>
    <definedName name="v_41_XHAO_old">Model!$BL$174</definedName>
    <definedName name="v_41_XHFO_H">Model!$BC$174</definedName>
    <definedName name="v_41_XHFO_H_P">Model!$BF$174</definedName>
    <definedName name="v_41_XHFO_H_P_old">Model!$BH$174</definedName>
    <definedName name="v_41_XHFO_L">Model!$BD$174</definedName>
    <definedName name="v_41_XHFO_L_P">Model!$BG$174</definedName>
    <definedName name="v_41_XHFO_L_P_old">Model!$BI$174</definedName>
    <definedName name="v_41_XHFO_old">Model!$BE$174</definedName>
    <definedName name="v_41_XHMETO">Model!$AB$174</definedName>
    <definedName name="v_41_XINORG">Model!$AV$174</definedName>
    <definedName name="v_41_XMEOLO">Model!$W$174</definedName>
    <definedName name="v_41_XN_B">Model!$AI$174</definedName>
    <definedName name="v_41_XN_Be">Model!$AJ$174</definedName>
    <definedName name="v_41_XN_U">Model!$AK$174</definedName>
    <definedName name="v_41_XNOB">Model!$Y$174</definedName>
    <definedName name="v_41_XOHO">Model!$T$174</definedName>
    <definedName name="v_41_XP_B">Model!$AO$174</definedName>
    <definedName name="v_41_XP_Be">Model!$AP$174</definedName>
    <definedName name="v_41_XP_U">Model!$AQ$174</definedName>
    <definedName name="v_41_XPFOA">Model!$BW$174</definedName>
    <definedName name="v_41_XPFOS">Model!$BY$174</definedName>
    <definedName name="v_41_XPHA_GAO">Model!$Q$174</definedName>
    <definedName name="v_41_XPHA_PAO">Model!$P$174</definedName>
    <definedName name="v_41_XPP">Model!$AM$174</definedName>
    <definedName name="v_41_XSTO">Model!$O$174</definedName>
    <definedName name="v_41_XSTR">Model!$BT$174</definedName>
    <definedName name="v_41_XU">Model!$N$174</definedName>
    <definedName name="v_41_XVivi">Model!$BU$174</definedName>
    <definedName name="v_42_CB">Model!$I$175</definedName>
    <definedName name="v_42_CU">Model!$M$175</definedName>
    <definedName name="v_42_GCH4">Model!$CD$175</definedName>
    <definedName name="v_42_GCH4_atm">Model!$CJ$175</definedName>
    <definedName name="v_42_GCO2">Model!$CC$175</definedName>
    <definedName name="v_42_GCO2_atm">Model!$CI$175</definedName>
    <definedName name="v_42_GH2">Model!$CE$175</definedName>
    <definedName name="v_42_GH2_atm">Model!$CK$175</definedName>
    <definedName name="v_42_GN2">Model!$CH$175</definedName>
    <definedName name="v_42_GN2_atm">Model!$CN$175</definedName>
    <definedName name="v_42_GNH3">Model!$CG$175</definedName>
    <definedName name="v_42_GNH3_atm">Model!$CM$175</definedName>
    <definedName name="v_42_GO2">Model!$CF$175</definedName>
    <definedName name="v_42_GO2_atm">Model!$CL$175</definedName>
    <definedName name="v_42_SALPHA">Model!$CA$175</definedName>
    <definedName name="v_42_SAN">Model!$AX$175</definedName>
    <definedName name="v_42_SB_mono">Model!$F$175</definedName>
    <definedName name="v_42_SB_poly">Model!$G$175</definedName>
    <definedName name="v_42_SCa">Model!$AY$175</definedName>
    <definedName name="v_42_SCAT">Model!$AW$175</definedName>
    <definedName name="v_42_SCH4">Model!$AS$175</definedName>
    <definedName name="v_42_SCO2">Model!$AU$175</definedName>
    <definedName name="v_42_SFe2">Model!$BB$175</definedName>
    <definedName name="v_42_SH">Model!$BZ$175</definedName>
    <definedName name="v_42_SH2">Model!$AT$175</definedName>
    <definedName name="v_42_SK">Model!$BA$175</definedName>
    <definedName name="v_42_SMEOL">Model!$H$175</definedName>
    <definedName name="v_42_SMg">Model!$AZ$175</definedName>
    <definedName name="v_42_SN_B">Model!$AH$175</definedName>
    <definedName name="v_42_SN2">Model!$AG$175</definedName>
    <definedName name="v_42_SNHx">Model!$AD$175</definedName>
    <definedName name="v_42_SNO2">Model!$AE$175</definedName>
    <definedName name="v_42_SNO3">Model!$AF$175</definedName>
    <definedName name="v_42_SO2">Model!$AR$175</definedName>
    <definedName name="v_42_SORPswitch">Model!$CB$175</definedName>
    <definedName name="v_42_SP_B">Model!$AN$175</definedName>
    <definedName name="v_42_SPFOA">Model!$BV$175</definedName>
    <definedName name="v_42_SPFOS">Model!$BX$175</definedName>
    <definedName name="v_42_SPO4">Model!$AL$175</definedName>
    <definedName name="v_42_SU">Model!$L$175</definedName>
    <definedName name="v_42_SVFA">Model!$E$175</definedName>
    <definedName name="v_42_XACP">Model!$BR$175</definedName>
    <definedName name="v_42_XAHO">Model!$U$175</definedName>
    <definedName name="v_42_XALGAE">Model!$AC$175</definedName>
    <definedName name="v_42_XAMETO">Model!$AA$175</definedName>
    <definedName name="v_42_XAMX">Model!$Z$175</definedName>
    <definedName name="v_42_XAOB">Model!$X$175</definedName>
    <definedName name="v_42_XB">Model!$J$175</definedName>
    <definedName name="v_42_XB_e">Model!$K$175</definedName>
    <definedName name="v_42_XBSH">Model!$BS$175</definedName>
    <definedName name="v_42_XCaCO3">Model!$BQ$175</definedName>
    <definedName name="v_42_XCASTO">Model!$V$175</definedName>
    <definedName name="v_42_XE">Model!$R$175</definedName>
    <definedName name="v_42_XE_ana">Model!$S$175</definedName>
    <definedName name="v_42_XHAO_H">Model!$BJ$175</definedName>
    <definedName name="v_42_XHAO_H_P">Model!$BM$175</definedName>
    <definedName name="v_42_XHAO_H_P_old">Model!$BO$175</definedName>
    <definedName name="v_42_XHAO_L">Model!$BK$175</definedName>
    <definedName name="v_42_XHAO_L_P">Model!$BN$175</definedName>
    <definedName name="v_42_XHAO_L_P_old">Model!$BP$175</definedName>
    <definedName name="v_42_XHAO_old">Model!$BL$175</definedName>
    <definedName name="v_42_XHFO_H">Model!$BC$175</definedName>
    <definedName name="v_42_XHFO_H_P">Model!$BF$175</definedName>
    <definedName name="v_42_XHFO_H_P_old">Model!$BH$175</definedName>
    <definedName name="v_42_XHFO_L">Model!$BD$175</definedName>
    <definedName name="v_42_XHFO_L_P">Model!$BG$175</definedName>
    <definedName name="v_42_XHFO_L_P_old">Model!$BI$175</definedName>
    <definedName name="v_42_XHFO_old">Model!$BE$175</definedName>
    <definedName name="v_42_XHMETO">Model!$AB$175</definedName>
    <definedName name="v_42_XINORG">Model!$AV$175</definedName>
    <definedName name="v_42_XMEOLO">Model!$W$175</definedName>
    <definedName name="v_42_XN_B">Model!$AI$175</definedName>
    <definedName name="v_42_XN_Be">Model!$AJ$175</definedName>
    <definedName name="v_42_XN_U">Model!$AK$175</definedName>
    <definedName name="v_42_XNOB">Model!$Y$175</definedName>
    <definedName name="v_42_XOHO">Model!$T$175</definedName>
    <definedName name="v_42_XP_B">Model!$AO$175</definedName>
    <definedName name="v_42_XP_Be">Model!$AP$175</definedName>
    <definedName name="v_42_XP_U">Model!$AQ$175</definedName>
    <definedName name="v_42_XPFOA">Model!$BW$175</definedName>
    <definedName name="v_42_XPFOS">Model!$BY$175</definedName>
    <definedName name="v_42_XPHA_GAO">Model!$Q$175</definedName>
    <definedName name="v_42_XPHA_PAO">Model!$P$175</definedName>
    <definedName name="v_42_XPP">Model!$AM$175</definedName>
    <definedName name="v_42_XSTO">Model!$O$175</definedName>
    <definedName name="v_42_XSTR">Model!$BT$175</definedName>
    <definedName name="v_42_XU">Model!$N$175</definedName>
    <definedName name="v_42_XVivi">Model!$BU$175</definedName>
    <definedName name="v_43_CB">Model!$I$176</definedName>
    <definedName name="v_43_CU">Model!$M$176</definedName>
    <definedName name="v_43_GCH4">Model!$CD$176</definedName>
    <definedName name="v_43_GCH4_atm">Model!$CJ$176</definedName>
    <definedName name="v_43_GCO2">Model!$CC$176</definedName>
    <definedName name="v_43_GCO2_atm">Model!$CI$176</definedName>
    <definedName name="v_43_GH2">Model!$CE$176</definedName>
    <definedName name="v_43_GH2_atm">Model!$CK$176</definedName>
    <definedName name="v_43_GN2">Model!$CH$176</definedName>
    <definedName name="v_43_GN2_atm">Model!$CN$176</definedName>
    <definedName name="v_43_GNH3">Model!$CG$176</definedName>
    <definedName name="v_43_GNH3_atm">Model!$CM$176</definedName>
    <definedName name="v_43_GO2">Model!$CF$176</definedName>
    <definedName name="v_43_GO2_atm">Model!$CL$176</definedName>
    <definedName name="v_43_SALPHA">Model!$CA$176</definedName>
    <definedName name="v_43_SAN">Model!$AX$176</definedName>
    <definedName name="v_43_SB_mono">Model!$F$176</definedName>
    <definedName name="v_43_SB_poly">Model!$G$176</definedName>
    <definedName name="v_43_SCa">Model!$AY$176</definedName>
    <definedName name="v_43_SCAT">Model!$AW$176</definedName>
    <definedName name="v_43_SCH4">Model!$AS$176</definedName>
    <definedName name="v_43_SCO2">Model!$AU$176</definedName>
    <definedName name="v_43_SFe2">Model!$BB$176</definedName>
    <definedName name="v_43_SH">Model!$BZ$176</definedName>
    <definedName name="v_43_SH2">Model!$AT$176</definedName>
    <definedName name="v_43_SK">Model!$BA$176</definedName>
    <definedName name="v_43_SMEOL">Model!$H$176</definedName>
    <definedName name="v_43_SMg">Model!$AZ$176</definedName>
    <definedName name="v_43_SN_B">Model!$AH$176</definedName>
    <definedName name="v_43_SN2">Model!$AG$176</definedName>
    <definedName name="v_43_SNHx">Model!$AD$176</definedName>
    <definedName name="v_43_SNO2">Model!$AE$176</definedName>
    <definedName name="v_43_SNO3">Model!$AF$176</definedName>
    <definedName name="v_43_SO2">Model!$AR$176</definedName>
    <definedName name="v_43_SORPswitch">Model!$CB$176</definedName>
    <definedName name="v_43_SP_B">Model!$AN$176</definedName>
    <definedName name="v_43_SPFOA">Model!$BV$176</definedName>
    <definedName name="v_43_SPFOS">Model!$BX$176</definedName>
    <definedName name="v_43_SPO4">Model!$AL$176</definedName>
    <definedName name="v_43_SU">Model!$L$176</definedName>
    <definedName name="v_43_SVFA">Model!$E$176</definedName>
    <definedName name="v_43_XACP">Model!$BR$176</definedName>
    <definedName name="v_43_XAHO">Model!$U$176</definedName>
    <definedName name="v_43_XALGAE">Model!$AC$176</definedName>
    <definedName name="v_43_XAMETO">Model!$AA$176</definedName>
    <definedName name="v_43_XAMX">Model!$Z$176</definedName>
    <definedName name="v_43_XAOB">Model!$X$176</definedName>
    <definedName name="v_43_XB">Model!$J$176</definedName>
    <definedName name="v_43_XB_e">Model!$K$176</definedName>
    <definedName name="v_43_XBSH">Model!$BS$176</definedName>
    <definedName name="v_43_XCaCO3">Model!$BQ$176</definedName>
    <definedName name="v_43_XCASTO">Model!$V$176</definedName>
    <definedName name="v_43_XE">Model!$R$176</definedName>
    <definedName name="v_43_XE_ana">Model!$S$176</definedName>
    <definedName name="v_43_XHAO_H">Model!$BJ$176</definedName>
    <definedName name="v_43_XHAO_H_P">Model!$BM$176</definedName>
    <definedName name="v_43_XHAO_H_P_old">Model!$BO$176</definedName>
    <definedName name="v_43_XHAO_L">Model!$BK$176</definedName>
    <definedName name="v_43_XHAO_L_P">Model!$BN$176</definedName>
    <definedName name="v_43_XHAO_L_P_old">Model!$BP$176</definedName>
    <definedName name="v_43_XHAO_old">Model!$BL$176</definedName>
    <definedName name="v_43_XHFO_H">Model!$BC$176</definedName>
    <definedName name="v_43_XHFO_H_P">Model!$BF$176</definedName>
    <definedName name="v_43_XHFO_H_P_old">Model!$BH$176</definedName>
    <definedName name="v_43_XHFO_L">Model!$BD$176</definedName>
    <definedName name="v_43_XHFO_L_P">Model!$BG$176</definedName>
    <definedName name="v_43_XHFO_L_P_old">Model!$BI$176</definedName>
    <definedName name="v_43_XHFO_old">Model!$BE$176</definedName>
    <definedName name="v_43_XHMETO">Model!$AB$176</definedName>
    <definedName name="v_43_XINORG">Model!$AV$176</definedName>
    <definedName name="v_43_XMEOLO">Model!$W$176</definedName>
    <definedName name="v_43_XN_B">Model!$AI$176</definedName>
    <definedName name="v_43_XN_Be">Model!$AJ$176</definedName>
    <definedName name="v_43_XN_U">Model!$AK$176</definedName>
    <definedName name="v_43_XNOB">Model!$Y$176</definedName>
    <definedName name="v_43_XOHO">Model!$T$176</definedName>
    <definedName name="v_43_XP_B">Model!$AO$176</definedName>
    <definedName name="v_43_XP_Be">Model!$AP$176</definedName>
    <definedName name="v_43_XP_U">Model!$AQ$176</definedName>
    <definedName name="v_43_XPFOA">Model!$BW$176</definedName>
    <definedName name="v_43_XPFOS">Model!$BY$176</definedName>
    <definedName name="v_43_XPHA_GAO">Model!$Q$176</definedName>
    <definedName name="v_43_XPHA_PAO">Model!$P$176</definedName>
    <definedName name="v_43_XPP">Model!$AM$176</definedName>
    <definedName name="v_43_XSTO">Model!$O$176</definedName>
    <definedName name="v_43_XSTR">Model!$BT$176</definedName>
    <definedName name="v_43_XU">Model!$N$176</definedName>
    <definedName name="v_43_XVivi">Model!$BU$176</definedName>
    <definedName name="v_44_CB">Model!$I$177</definedName>
    <definedName name="v_44_CU">Model!$M$177</definedName>
    <definedName name="v_44_GCH4">Model!$CD$177</definedName>
    <definedName name="v_44_GCH4_atm">Model!$CJ$177</definedName>
    <definedName name="v_44_GCO2">Model!$CC$177</definedName>
    <definedName name="v_44_GCO2_atm">Model!$CI$177</definedName>
    <definedName name="v_44_GH2">Model!$CE$177</definedName>
    <definedName name="v_44_GH2_atm">Model!$CK$177</definedName>
    <definedName name="v_44_GN2">Model!$CH$177</definedName>
    <definedName name="v_44_GN2_atm">Model!$CN$177</definedName>
    <definedName name="v_44_GNH3">Model!$CG$177</definedName>
    <definedName name="v_44_GNH3_atm">Model!$CM$177</definedName>
    <definedName name="v_44_GO2">Model!$CF$177</definedName>
    <definedName name="v_44_GO2_atm">Model!$CL$177</definedName>
    <definedName name="v_44_SALPHA">Model!$CA$177</definedName>
    <definedName name="v_44_SAN">Model!$AX$177</definedName>
    <definedName name="v_44_SB_mono">Model!$F$177</definedName>
    <definedName name="v_44_SB_poly">Model!$G$177</definedName>
    <definedName name="v_44_SCa">Model!$AY$177</definedName>
    <definedName name="v_44_SCAT">Model!$AW$177</definedName>
    <definedName name="v_44_SCH4">Model!$AS$177</definedName>
    <definedName name="v_44_SCO2">Model!$AU$177</definedName>
    <definedName name="v_44_SFe2">Model!$BB$177</definedName>
    <definedName name="v_44_SH">Model!$BZ$177</definedName>
    <definedName name="v_44_SH2">Model!$AT$177</definedName>
    <definedName name="v_44_SK">Model!$BA$177</definedName>
    <definedName name="v_44_SMEOL">Model!$H$177</definedName>
    <definedName name="v_44_SMg">Model!$AZ$177</definedName>
    <definedName name="v_44_SN_B">Model!$AH$177</definedName>
    <definedName name="v_44_SN2">Model!$AG$177</definedName>
    <definedName name="v_44_SNHx">Model!$AD$177</definedName>
    <definedName name="v_44_SNO2">Model!$AE$177</definedName>
    <definedName name="v_44_SNO3">Model!$AF$177</definedName>
    <definedName name="v_44_SO2">Model!$AR$177</definedName>
    <definedName name="v_44_SORPswitch">Model!$CB$177</definedName>
    <definedName name="v_44_SP_B">Model!$AN$177</definedName>
    <definedName name="v_44_SPFOA">Model!$BV$177</definedName>
    <definedName name="v_44_SPFOS">Model!$BX$177</definedName>
    <definedName name="v_44_SPO4">Model!$AL$177</definedName>
    <definedName name="v_44_SU">Model!$L$177</definedName>
    <definedName name="v_44_SVFA">Model!$E$177</definedName>
    <definedName name="v_44_XACP">Model!$BR$177</definedName>
    <definedName name="v_44_XAHO">Model!$U$177</definedName>
    <definedName name="v_44_XALGAE">Model!$AC$177</definedName>
    <definedName name="v_44_XAMETO">Model!$AA$177</definedName>
    <definedName name="v_44_XAMX">Model!$Z$177</definedName>
    <definedName name="v_44_XAOB">Model!$X$177</definedName>
    <definedName name="v_44_XB">Model!$J$177</definedName>
    <definedName name="v_44_XB_e">Model!$K$177</definedName>
    <definedName name="v_44_XBSH">Model!$BS$177</definedName>
    <definedName name="v_44_XCaCO3">Model!$BQ$177</definedName>
    <definedName name="v_44_XCASTO">Model!$V$177</definedName>
    <definedName name="v_44_XE">Model!$R$177</definedName>
    <definedName name="v_44_XE_ana">Model!$S$177</definedName>
    <definedName name="v_44_XHAO_H">Model!$BJ$177</definedName>
    <definedName name="v_44_XHAO_H_P">Model!$BM$177</definedName>
    <definedName name="v_44_XHAO_H_P_old">Model!$BO$177</definedName>
    <definedName name="v_44_XHAO_L">Model!$BK$177</definedName>
    <definedName name="v_44_XHAO_L_P">Model!$BN$177</definedName>
    <definedName name="v_44_XHAO_L_P_old">Model!$BP$177</definedName>
    <definedName name="v_44_XHAO_old">Model!$BL$177</definedName>
    <definedName name="v_44_XHFO_H">Model!$BC$177</definedName>
    <definedName name="v_44_XHFO_H_P">Model!$BF$177</definedName>
    <definedName name="v_44_XHFO_H_P_old">Model!$BH$177</definedName>
    <definedName name="v_44_XHFO_L">Model!$BD$177</definedName>
    <definedName name="v_44_XHFO_L_P">Model!$BG$177</definedName>
    <definedName name="v_44_XHFO_L_P_old">Model!$BI$177</definedName>
    <definedName name="v_44_XHFO_old">Model!$BE$177</definedName>
    <definedName name="v_44_XHMETO">Model!$AB$177</definedName>
    <definedName name="v_44_XINORG">Model!$AV$177</definedName>
    <definedName name="v_44_XMEOLO">Model!$W$177</definedName>
    <definedName name="v_44_XN_B">Model!$AI$177</definedName>
    <definedName name="v_44_XN_Be">Model!$AJ$177</definedName>
    <definedName name="v_44_XN_U">Model!$AK$177</definedName>
    <definedName name="v_44_XNOB">Model!$Y$177</definedName>
    <definedName name="v_44_XOHO">Model!$T$177</definedName>
    <definedName name="v_44_XP_B">Model!$AO$177</definedName>
    <definedName name="v_44_XP_Be">Model!$AP$177</definedName>
    <definedName name="v_44_XP_U">Model!$AQ$177</definedName>
    <definedName name="v_44_XPFOA">Model!$BW$177</definedName>
    <definedName name="v_44_XPFOS">Model!$BY$177</definedName>
    <definedName name="v_44_XPHA_GAO">Model!$Q$177</definedName>
    <definedName name="v_44_XPHA_PAO">Model!$P$177</definedName>
    <definedName name="v_44_XPP">Model!$AM$177</definedName>
    <definedName name="v_44_XSTO">Model!$O$177</definedName>
    <definedName name="v_44_XSTR">Model!$BT$177</definedName>
    <definedName name="v_44_XU">Model!$N$177</definedName>
    <definedName name="v_44_XVivi">Model!$BU$177</definedName>
    <definedName name="v_45_CB">Model!$I$178</definedName>
    <definedName name="v_45_CU">Model!$M$178</definedName>
    <definedName name="v_45_GCH4">Model!$CD$178</definedName>
    <definedName name="v_45_GCH4_atm">Model!$CJ$178</definedName>
    <definedName name="v_45_GCO2">Model!$CC$178</definedName>
    <definedName name="v_45_GCO2_atm">Model!$CI$178</definedName>
    <definedName name="v_45_GH2">Model!$CE$178</definedName>
    <definedName name="v_45_GH2_atm">Model!$CK$178</definedName>
    <definedName name="v_45_GN2">Model!$CH$178</definedName>
    <definedName name="v_45_GN2_atm">Model!$CN$178</definedName>
    <definedName name="v_45_GNH3">Model!$CG$178</definedName>
    <definedName name="v_45_GNH3_atm">Model!$CM$178</definedName>
    <definedName name="v_45_GO2">Model!$CF$178</definedName>
    <definedName name="v_45_GO2_atm">Model!$CL$178</definedName>
    <definedName name="v_45_SALPHA">Model!$CA$178</definedName>
    <definedName name="v_45_SAN">Model!$AX$178</definedName>
    <definedName name="v_45_SB_mono">Model!$F$178</definedName>
    <definedName name="v_45_SB_poly">Model!$G$178</definedName>
    <definedName name="v_45_SCa">Model!$AY$178</definedName>
    <definedName name="v_45_SCAT">Model!$AW$178</definedName>
    <definedName name="v_45_SCH4">Model!$AS$178</definedName>
    <definedName name="v_45_SCO2">Model!$AU$178</definedName>
    <definedName name="v_45_SFe2">Model!$BB$178</definedName>
    <definedName name="v_45_SH">Model!$BZ$178</definedName>
    <definedName name="v_45_SH2">Model!$AT$178</definedName>
    <definedName name="v_45_SK">Model!$BA$178</definedName>
    <definedName name="v_45_SMEOL">Model!$H$178</definedName>
    <definedName name="v_45_SMg">Model!$AZ$178</definedName>
    <definedName name="v_45_SN_B">Model!$AH$178</definedName>
    <definedName name="v_45_SN2">Model!$AG$178</definedName>
    <definedName name="v_45_SNHx">Model!$AD$178</definedName>
    <definedName name="v_45_SNO2">Model!$AE$178</definedName>
    <definedName name="v_45_SNO3">Model!$AF$178</definedName>
    <definedName name="v_45_SO2">Model!$AR$178</definedName>
    <definedName name="v_45_SORPswitch">Model!$CB$178</definedName>
    <definedName name="v_45_SP_B">Model!$AN$178</definedName>
    <definedName name="v_45_SPFOA">Model!$BV$178</definedName>
    <definedName name="v_45_SPFOS">Model!$BX$178</definedName>
    <definedName name="v_45_SPO4">Model!$AL$178</definedName>
    <definedName name="v_45_SU">Model!$L$178</definedName>
    <definedName name="v_45_SVFA">Model!$E$178</definedName>
    <definedName name="v_45_XACP">Model!$BR$178</definedName>
    <definedName name="v_45_XAHO">Model!$U$178</definedName>
    <definedName name="v_45_XALGAE">Model!$AC$178</definedName>
    <definedName name="v_45_XAMETO">Model!$AA$178</definedName>
    <definedName name="v_45_XAMX">Model!$Z$178</definedName>
    <definedName name="v_45_XAOB">Model!$X$178</definedName>
    <definedName name="v_45_XB">Model!$J$178</definedName>
    <definedName name="v_45_XB_e">Model!$K$178</definedName>
    <definedName name="v_45_XBSH">Model!$BS$178</definedName>
    <definedName name="v_45_XCaCO3">Model!$BQ$178</definedName>
    <definedName name="v_45_XCASTO">Model!$V$178</definedName>
    <definedName name="v_45_XE">Model!$R$178</definedName>
    <definedName name="v_45_XE_ana">Model!$S$178</definedName>
    <definedName name="v_45_XHAO_H">Model!$BJ$178</definedName>
    <definedName name="v_45_XHAO_H_P">Model!$BM$178</definedName>
    <definedName name="v_45_XHAO_H_P_old">Model!$BO$178</definedName>
    <definedName name="v_45_XHAO_L">Model!$BK$178</definedName>
    <definedName name="v_45_XHAO_L_P">Model!$BN$178</definedName>
    <definedName name="v_45_XHAO_L_P_old">Model!$BP$178</definedName>
    <definedName name="v_45_XHAO_old">Model!$BL$178</definedName>
    <definedName name="v_45_XHFO_H">Model!$BC$178</definedName>
    <definedName name="v_45_XHFO_H_P">Model!$BF$178</definedName>
    <definedName name="v_45_XHFO_H_P_old">Model!$BH$178</definedName>
    <definedName name="v_45_XHFO_L">Model!$BD$178</definedName>
    <definedName name="v_45_XHFO_L_P">Model!$BG$178</definedName>
    <definedName name="v_45_XHFO_L_P_old">Model!$BI$178</definedName>
    <definedName name="v_45_XHFO_old">Model!$BE$178</definedName>
    <definedName name="v_45_XHMETO">Model!$AB$178</definedName>
    <definedName name="v_45_XINORG">Model!$AV$178</definedName>
    <definedName name="v_45_XMEOLO">Model!$W$178</definedName>
    <definedName name="v_45_XN_B">Model!$AI$178</definedName>
    <definedName name="v_45_XN_Be">Model!$AJ$178</definedName>
    <definedName name="v_45_XN_U">Model!$AK$178</definedName>
    <definedName name="v_45_XNOB">Model!$Y$178</definedName>
    <definedName name="v_45_XOHO">Model!$T$178</definedName>
    <definedName name="v_45_XP_B">Model!$AO$178</definedName>
    <definedName name="v_45_XP_Be">Model!$AP$178</definedName>
    <definedName name="v_45_XP_U">Model!$AQ$178</definedName>
    <definedName name="v_45_XPFOA">Model!$BW$178</definedName>
    <definedName name="v_45_XPFOS">Model!$BY$178</definedName>
    <definedName name="v_45_XPHA_GAO">Model!$Q$178</definedName>
    <definedName name="v_45_XPHA_PAO">Model!$P$178</definedName>
    <definedName name="v_45_XPP">Model!$AM$178</definedName>
    <definedName name="v_45_XSTO">Model!$O$178</definedName>
    <definedName name="v_45_XSTR">Model!$BT$178</definedName>
    <definedName name="v_45_XU">Model!$N$178</definedName>
    <definedName name="v_45_XVivi">Model!$BU$178</definedName>
    <definedName name="v_46_CB">Model!$I$179</definedName>
    <definedName name="v_46_CU">Model!$M$179</definedName>
    <definedName name="v_46_GCH4">Model!$CD$179</definedName>
    <definedName name="v_46_GCH4_atm">Model!$CJ$179</definedName>
    <definedName name="v_46_GCO2">Model!$CC$179</definedName>
    <definedName name="v_46_GCO2_atm">Model!$CI$179</definedName>
    <definedName name="v_46_GH2">Model!$CE$179</definedName>
    <definedName name="v_46_GH2_atm">Model!$CK$179</definedName>
    <definedName name="v_46_GN2">Model!$CH$179</definedName>
    <definedName name="v_46_GN2_atm">Model!$CN$179</definedName>
    <definedName name="v_46_GNH3">Model!$CG$179</definedName>
    <definedName name="v_46_GNH3_atm">Model!$CM$179</definedName>
    <definedName name="v_46_GO2">Model!$CF$179</definedName>
    <definedName name="v_46_GO2_atm">Model!$CL$179</definedName>
    <definedName name="v_46_SALPHA">Model!$CA$179</definedName>
    <definedName name="v_46_SAN">Model!$AX$179</definedName>
    <definedName name="v_46_SB_mono">Model!$F$179</definedName>
    <definedName name="v_46_SB_poly">Model!$G$179</definedName>
    <definedName name="v_46_SCa">Model!$AY$179</definedName>
    <definedName name="v_46_SCAT">Model!$AW$179</definedName>
    <definedName name="v_46_SCH4">Model!$AS$179</definedName>
    <definedName name="v_46_SCO2">Model!$AU$179</definedName>
    <definedName name="v_46_SFe2">Model!$BB$179</definedName>
    <definedName name="v_46_SH">Model!$BZ$179</definedName>
    <definedName name="v_46_SH2">Model!$AT$179</definedName>
    <definedName name="v_46_SK">Model!$BA$179</definedName>
    <definedName name="v_46_SMEOL">Model!$H$179</definedName>
    <definedName name="v_46_SMg">Model!$AZ$179</definedName>
    <definedName name="v_46_SN_B">Model!$AH$179</definedName>
    <definedName name="v_46_SN2">Model!$AG$179</definedName>
    <definedName name="v_46_SNHx">Model!$AD$179</definedName>
    <definedName name="v_46_SNO2">Model!$AE$179</definedName>
    <definedName name="v_46_SNO3">Model!$AF$179</definedName>
    <definedName name="v_46_SO2">Model!$AR$179</definedName>
    <definedName name="v_46_SORPswitch">Model!$CB$179</definedName>
    <definedName name="v_46_SP_B">Model!$AN$179</definedName>
    <definedName name="v_46_SPFOA">Model!$BV$179</definedName>
    <definedName name="v_46_SPFOS">Model!$BX$179</definedName>
    <definedName name="v_46_SPO4">Model!$AL$179</definedName>
    <definedName name="v_46_SU">Model!$L$179</definedName>
    <definedName name="v_46_SVFA">Model!$E$179</definedName>
    <definedName name="v_46_XACP">Model!$BR$179</definedName>
    <definedName name="v_46_XAHO">Model!$U$179</definedName>
    <definedName name="v_46_XALGAE">Model!$AC$179</definedName>
    <definedName name="v_46_XAMETO">Model!$AA$179</definedName>
    <definedName name="v_46_XAMX">Model!$Z$179</definedName>
    <definedName name="v_46_XAOB">Model!$X$179</definedName>
    <definedName name="v_46_XB">Model!$J$179</definedName>
    <definedName name="v_46_XB_e">Model!$K$179</definedName>
    <definedName name="v_46_XBSH">Model!$BS$179</definedName>
    <definedName name="v_46_XCaCO3">Model!$BQ$179</definedName>
    <definedName name="v_46_XCASTO">Model!$V$179</definedName>
    <definedName name="v_46_XE">Model!$R$179</definedName>
    <definedName name="v_46_XE_ana">Model!$S$179</definedName>
    <definedName name="v_46_XHAO_H">Model!$BJ$179</definedName>
    <definedName name="v_46_XHAO_H_P">Model!$BM$179</definedName>
    <definedName name="v_46_XHAO_H_P_old">Model!$BO$179</definedName>
    <definedName name="v_46_XHAO_L">Model!$BK$179</definedName>
    <definedName name="v_46_XHAO_L_P">Model!$BN$179</definedName>
    <definedName name="v_46_XHAO_L_P_old">Model!$BP$179</definedName>
    <definedName name="v_46_XHAO_old">Model!$BL$179</definedName>
    <definedName name="v_46_XHFO_H">Model!$BC$179</definedName>
    <definedName name="v_46_XHFO_H_P">Model!$BF$179</definedName>
    <definedName name="v_46_XHFO_H_P_old">Model!$BH$179</definedName>
    <definedName name="v_46_XHFO_L">Model!$BD$179</definedName>
    <definedName name="v_46_XHFO_L_P">Model!$BG$179</definedName>
    <definedName name="v_46_XHFO_L_P_old">Model!$BI$179</definedName>
    <definedName name="v_46_XHFO_old">Model!$BE$179</definedName>
    <definedName name="v_46_XHMETO">Model!$AB$179</definedName>
    <definedName name="v_46_XINORG">Model!$AV$179</definedName>
    <definedName name="v_46_XMEOLO">Model!$W$179</definedName>
    <definedName name="v_46_XN_B">Model!$AI$179</definedName>
    <definedName name="v_46_XN_Be">Model!$AJ$179</definedName>
    <definedName name="v_46_XN_U">Model!$AK$179</definedName>
    <definedName name="v_46_XNOB">Model!$Y$179</definedName>
    <definedName name="v_46_XOHO">Model!$T$179</definedName>
    <definedName name="v_46_XP_B">Model!$AO$179</definedName>
    <definedName name="v_46_XP_Be">Model!$AP$179</definedName>
    <definedName name="v_46_XP_U">Model!$AQ$179</definedName>
    <definedName name="v_46_XPFOA">Model!$BW$179</definedName>
    <definedName name="v_46_XPFOS">Model!$BY$179</definedName>
    <definedName name="v_46_XPHA_GAO">Model!$Q$179</definedName>
    <definedName name="v_46_XPHA_PAO">Model!$P$179</definedName>
    <definedName name="v_46_XPP">Model!$AM$179</definedName>
    <definedName name="v_46_XSTO">Model!$O$179</definedName>
    <definedName name="v_46_XSTR">Model!$BT$179</definedName>
    <definedName name="v_46_XU">Model!$N$179</definedName>
    <definedName name="v_46_XVivi">Model!$BU$179</definedName>
    <definedName name="v_47_CB">Model!$I$180</definedName>
    <definedName name="v_47_CU">Model!$M$180</definedName>
    <definedName name="v_47_GCH4">Model!$CD$180</definedName>
    <definedName name="v_47_GCH4_atm">Model!$CJ$180</definedName>
    <definedName name="v_47_GCO2">Model!$CC$180</definedName>
    <definedName name="v_47_GCO2_atm">Model!$CI$180</definedName>
    <definedName name="v_47_GH2">Model!$CE$180</definedName>
    <definedName name="v_47_GH2_atm">Model!$CK$180</definedName>
    <definedName name="v_47_GN2">Model!$CH$180</definedName>
    <definedName name="v_47_GN2_atm">Model!$CN$180</definedName>
    <definedName name="v_47_GNH3">Model!$CG$180</definedName>
    <definedName name="v_47_GNH3_atm">Model!$CM$180</definedName>
    <definedName name="v_47_GO2">Model!$CF$180</definedName>
    <definedName name="v_47_GO2_atm">Model!$CL$180</definedName>
    <definedName name="v_47_SALPHA">Model!$CA$180</definedName>
    <definedName name="v_47_SAN">Model!$AX$180</definedName>
    <definedName name="v_47_SB_mono">Model!$F$180</definedName>
    <definedName name="v_47_SB_poly">Model!$G$180</definedName>
    <definedName name="v_47_SCa">Model!$AY$180</definedName>
    <definedName name="v_47_SCAT">Model!$AW$180</definedName>
    <definedName name="v_47_SCH4">Model!$AS$180</definedName>
    <definedName name="v_47_SCO2">Model!$AU$180</definedName>
    <definedName name="v_47_SFe2">Model!$BB$180</definedName>
    <definedName name="v_47_SH">Model!$BZ$180</definedName>
    <definedName name="v_47_SH2">Model!$AT$180</definedName>
    <definedName name="v_47_SK">Model!$BA$180</definedName>
    <definedName name="v_47_SMEOL">Model!$H$180</definedName>
    <definedName name="v_47_SMg">Model!$AZ$180</definedName>
    <definedName name="v_47_SN_B">Model!$AH$180</definedName>
    <definedName name="v_47_SN2">Model!$AG$180</definedName>
    <definedName name="v_47_SNHx">Model!$AD$180</definedName>
    <definedName name="v_47_SNO2">Model!$AE$180</definedName>
    <definedName name="v_47_SNO3">Model!$AF$180</definedName>
    <definedName name="v_47_SO2">Model!$AR$180</definedName>
    <definedName name="v_47_SORPswitch">Model!$CB$180</definedName>
    <definedName name="v_47_SP_B">Model!$AN$180</definedName>
    <definedName name="v_47_SPFOA">Model!$BV$180</definedName>
    <definedName name="v_47_SPFOS">Model!$BX$180</definedName>
    <definedName name="v_47_SPO4">Model!$AL$180</definedName>
    <definedName name="v_47_SU">Model!$L$180</definedName>
    <definedName name="v_47_SVFA">Model!$E$180</definedName>
    <definedName name="v_47_XACP">Model!$BR$180</definedName>
    <definedName name="v_47_XAHO">Model!$U$180</definedName>
    <definedName name="v_47_XALGAE">Model!$AC$180</definedName>
    <definedName name="v_47_XAMETO">Model!$AA$180</definedName>
    <definedName name="v_47_XAMX">Model!$Z$180</definedName>
    <definedName name="v_47_XAOB">Model!$X$180</definedName>
    <definedName name="v_47_XB">Model!$J$180</definedName>
    <definedName name="v_47_XB_e">Model!$K$180</definedName>
    <definedName name="v_47_XBSH">Model!$BS$180</definedName>
    <definedName name="v_47_XCaCO3">Model!$BQ$180</definedName>
    <definedName name="v_47_XCASTO">Model!$V$180</definedName>
    <definedName name="v_47_XE">Model!$R$180</definedName>
    <definedName name="v_47_XE_ana">Model!$S$180</definedName>
    <definedName name="v_47_XHAO_H">Model!$BJ$180</definedName>
    <definedName name="v_47_XHAO_H_P">Model!$BM$180</definedName>
    <definedName name="v_47_XHAO_H_P_old">Model!$BO$180</definedName>
    <definedName name="v_47_XHAO_L">Model!$BK$180</definedName>
    <definedName name="v_47_XHAO_L_P">Model!$BN$180</definedName>
    <definedName name="v_47_XHAO_L_P_old">Model!$BP$180</definedName>
    <definedName name="v_47_XHAO_old">Model!$BL$180</definedName>
    <definedName name="v_47_XHFO_H">Model!$BC$180</definedName>
    <definedName name="v_47_XHFO_H_P">Model!$BF$180</definedName>
    <definedName name="v_47_XHFO_H_P_old">Model!$BH$180</definedName>
    <definedName name="v_47_XHFO_L">Model!$BD$180</definedName>
    <definedName name="v_47_XHFO_L_P">Model!$BG$180</definedName>
    <definedName name="v_47_XHFO_L_P_old">Model!$BI$180</definedName>
    <definedName name="v_47_XHFO_old">Model!$BE$180</definedName>
    <definedName name="v_47_XHMETO">Model!$AB$180</definedName>
    <definedName name="v_47_XINORG">Model!$AV$180</definedName>
    <definedName name="v_47_XMEOLO">Model!$W$180</definedName>
    <definedName name="v_47_XN_B">Model!$AI$180</definedName>
    <definedName name="v_47_XN_Be">Model!$AJ$180</definedName>
    <definedName name="v_47_XN_U">Model!$AK$180</definedName>
    <definedName name="v_47_XNOB">Model!$Y$180</definedName>
    <definedName name="v_47_XOHO">Model!$T$180</definedName>
    <definedName name="v_47_XP_B">Model!$AO$180</definedName>
    <definedName name="v_47_XP_Be">Model!$AP$180</definedName>
    <definedName name="v_47_XP_U">Model!$AQ$180</definedName>
    <definedName name="v_47_XPFOA">Model!$BW$180</definedName>
    <definedName name="v_47_XPFOS">Model!$BY$180</definedName>
    <definedName name="v_47_XPHA_GAO">Model!$Q$180</definedName>
    <definedName name="v_47_XPHA_PAO">Model!$P$180</definedName>
    <definedName name="v_47_XPP">Model!$AM$180</definedName>
    <definedName name="v_47_XSTO">Model!$O$180</definedName>
    <definedName name="v_47_XSTR">Model!$BT$180</definedName>
    <definedName name="v_47_XU">Model!$N$180</definedName>
    <definedName name="v_47_XVivi">Model!$BU$180</definedName>
    <definedName name="v_48_CB">Model!$I$181</definedName>
    <definedName name="v_48_CU">Model!$M$181</definedName>
    <definedName name="v_48_GCH4">Model!$CD$181</definedName>
    <definedName name="v_48_GCH4_atm">Model!$CJ$181</definedName>
    <definedName name="v_48_GCO2">Model!$CC$181</definedName>
    <definedName name="v_48_GCO2_atm">Model!$CI$181</definedName>
    <definedName name="v_48_GH2">Model!$CE$181</definedName>
    <definedName name="v_48_GH2_atm">Model!$CK$181</definedName>
    <definedName name="v_48_GN2">Model!$CH$181</definedName>
    <definedName name="v_48_GN2_atm">Model!$CN$181</definedName>
    <definedName name="v_48_GNH3">Model!$CG$181</definedName>
    <definedName name="v_48_GNH3_atm">Model!$CM$181</definedName>
    <definedName name="v_48_GO2">Model!$CF$181</definedName>
    <definedName name="v_48_GO2_atm">Model!$CL$181</definedName>
    <definedName name="v_48_SALPHA">Model!$CA$181</definedName>
    <definedName name="v_48_SAN">Model!$AX$181</definedName>
    <definedName name="v_48_SB_mono">Model!$F$181</definedName>
    <definedName name="v_48_SB_poly">Model!$G$181</definedName>
    <definedName name="v_48_SCa">Model!$AY$181</definedName>
    <definedName name="v_48_SCAT">Model!$AW$181</definedName>
    <definedName name="v_48_SCH4">Model!$AS$181</definedName>
    <definedName name="v_48_SCO2">Model!$AU$181</definedName>
    <definedName name="v_48_SFe2">Model!$BB$181</definedName>
    <definedName name="v_48_SH">Model!$BZ$181</definedName>
    <definedName name="v_48_SH2">Model!$AT$181</definedName>
    <definedName name="v_48_SK">Model!$BA$181</definedName>
    <definedName name="v_48_SMEOL">Model!$H$181</definedName>
    <definedName name="v_48_SMg">Model!$AZ$181</definedName>
    <definedName name="v_48_SN_B">Model!$AH$181</definedName>
    <definedName name="v_48_SN2">Model!$AG$181</definedName>
    <definedName name="v_48_SNHx">Model!$AD$181</definedName>
    <definedName name="v_48_SNO2">Model!$AE$181</definedName>
    <definedName name="v_48_SNO3">Model!$AF$181</definedName>
    <definedName name="v_48_SO2">Model!$AR$181</definedName>
    <definedName name="v_48_SORPswitch">Model!$CB$181</definedName>
    <definedName name="v_48_SP_B">Model!$AN$181</definedName>
    <definedName name="v_48_SPFOA">Model!$BV$181</definedName>
    <definedName name="v_48_SPFOS">Model!$BX$181</definedName>
    <definedName name="v_48_SPO4">Model!$AL$181</definedName>
    <definedName name="v_48_SU">Model!$L$181</definedName>
    <definedName name="v_48_SVFA">Model!$E$181</definedName>
    <definedName name="v_48_XACP">Model!$BR$181</definedName>
    <definedName name="v_48_XAHO">Model!$U$181</definedName>
    <definedName name="v_48_XALGAE">Model!$AC$181</definedName>
    <definedName name="v_48_XAMETO">Model!$AA$181</definedName>
    <definedName name="v_48_XAMX">Model!$Z$181</definedName>
    <definedName name="v_48_XAOB">Model!$X$181</definedName>
    <definedName name="v_48_XB">Model!$J$181</definedName>
    <definedName name="v_48_XB_e">Model!$K$181</definedName>
    <definedName name="v_48_XBSH">Model!$BS$181</definedName>
    <definedName name="v_48_XCaCO3">Model!$BQ$181</definedName>
    <definedName name="v_48_XCASTO">Model!$V$181</definedName>
    <definedName name="v_48_XE">Model!$R$181</definedName>
    <definedName name="v_48_XE_ana">Model!$S$181</definedName>
    <definedName name="v_48_XHAO_H">Model!$BJ$181</definedName>
    <definedName name="v_48_XHAO_H_P">Model!$BM$181</definedName>
    <definedName name="v_48_XHAO_H_P_old">Model!$BO$181</definedName>
    <definedName name="v_48_XHAO_L">Model!$BK$181</definedName>
    <definedName name="v_48_XHAO_L_P">Model!$BN$181</definedName>
    <definedName name="v_48_XHAO_L_P_old">Model!$BP$181</definedName>
    <definedName name="v_48_XHAO_old">Model!$BL$181</definedName>
    <definedName name="v_48_XHFO_H">Model!$BC$181</definedName>
    <definedName name="v_48_XHFO_H_P">Model!$BF$181</definedName>
    <definedName name="v_48_XHFO_H_P_old">Model!$BH$181</definedName>
    <definedName name="v_48_XHFO_L">Model!$BD$181</definedName>
    <definedName name="v_48_XHFO_L_P">Model!$BG$181</definedName>
    <definedName name="v_48_XHFO_L_P_old">Model!$BI$181</definedName>
    <definedName name="v_48_XHFO_old">Model!$BE$181</definedName>
    <definedName name="v_48_XHMETO">Model!$AB$181</definedName>
    <definedName name="v_48_XINORG">Model!$AV$181</definedName>
    <definedName name="v_48_XMEOLO">Model!$W$181</definedName>
    <definedName name="v_48_XN_B">Model!$AI$181</definedName>
    <definedName name="v_48_XN_Be">Model!$AJ$181</definedName>
    <definedName name="v_48_XN_U">Model!$AK$181</definedName>
    <definedName name="v_48_XNOB">Model!$Y$181</definedName>
    <definedName name="v_48_XOHO">Model!$T$181</definedName>
    <definedName name="v_48_XP_B">Model!$AO$181</definedName>
    <definedName name="v_48_XP_Be">Model!$AP$181</definedName>
    <definedName name="v_48_XP_U">Model!$AQ$181</definedName>
    <definedName name="v_48_XPFOA">Model!$BW$181</definedName>
    <definedName name="v_48_XPFOS">Model!$BY$181</definedName>
    <definedName name="v_48_XPHA_GAO">Model!$Q$181</definedName>
    <definedName name="v_48_XPHA_PAO">Model!$P$181</definedName>
    <definedName name="v_48_XPP">Model!$AM$181</definedName>
    <definedName name="v_48_XSTO">Model!$O$181</definedName>
    <definedName name="v_48_XSTR">Model!$BT$181</definedName>
    <definedName name="v_48_XU">Model!$N$181</definedName>
    <definedName name="v_48_XVivi">Model!$BU$181</definedName>
    <definedName name="v_49_CB">Model!$I$182</definedName>
    <definedName name="v_49_CU">Model!$M$182</definedName>
    <definedName name="v_49_GCH4">Model!$CD$182</definedName>
    <definedName name="v_49_GCH4_atm">Model!$CJ$182</definedName>
    <definedName name="v_49_GCO2">Model!$CC$182</definedName>
    <definedName name="v_49_GCO2_atm">Model!$CI$182</definedName>
    <definedName name="v_49_GH2">Model!$CE$182</definedName>
    <definedName name="v_49_GH2_atm">Model!$CK$182</definedName>
    <definedName name="v_49_GN2">Model!$CH$182</definedName>
    <definedName name="v_49_GN2_atm">Model!$CN$182</definedName>
    <definedName name="v_49_GNH3">Model!$CG$182</definedName>
    <definedName name="v_49_GNH3_atm">Model!$CM$182</definedName>
    <definedName name="v_49_GO2">Model!$CF$182</definedName>
    <definedName name="v_49_GO2_atm">Model!$CL$182</definedName>
    <definedName name="v_49_SALPHA">Model!$CA$182</definedName>
    <definedName name="v_49_SAN">Model!$AX$182</definedName>
    <definedName name="v_49_SB_mono">Model!$F$182</definedName>
    <definedName name="v_49_SB_poly">Model!$G$182</definedName>
    <definedName name="v_49_SCa">Model!$AY$182</definedName>
    <definedName name="v_49_SCAT">Model!$AW$182</definedName>
    <definedName name="v_49_SCH4">Model!$AS$182</definedName>
    <definedName name="v_49_SCO2">Model!$AU$182</definedName>
    <definedName name="v_49_SFe2">Model!$BB$182</definedName>
    <definedName name="v_49_SH">Model!$BZ$182</definedName>
    <definedName name="v_49_SH2">Model!$AT$182</definedName>
    <definedName name="v_49_SK">Model!$BA$182</definedName>
    <definedName name="v_49_SMEOL">Model!$H$182</definedName>
    <definedName name="v_49_SMg">Model!$AZ$182</definedName>
    <definedName name="v_49_SN_B">Model!$AH$182</definedName>
    <definedName name="v_49_SN2">Model!$AG$182</definedName>
    <definedName name="v_49_SNHx">Model!$AD$182</definedName>
    <definedName name="v_49_SNO2">Model!$AE$182</definedName>
    <definedName name="v_49_SNO3">Model!$AF$182</definedName>
    <definedName name="v_49_SO2">Model!$AR$182</definedName>
    <definedName name="v_49_SORPswitch">Model!$CB$182</definedName>
    <definedName name="v_49_SP_B">Model!$AN$182</definedName>
    <definedName name="v_49_SPFOA">Model!$BV$182</definedName>
    <definedName name="v_49_SPFOS">Model!$BX$182</definedName>
    <definedName name="v_49_SPO4">Model!$AL$182</definedName>
    <definedName name="v_49_SU">Model!$L$182</definedName>
    <definedName name="v_49_SVFA">Model!$E$182</definedName>
    <definedName name="v_49_XACP">Model!$BR$182</definedName>
    <definedName name="v_49_XAHO">Model!$U$182</definedName>
    <definedName name="v_49_XALGAE">Model!$AC$182</definedName>
    <definedName name="v_49_XAMETO">Model!$AA$182</definedName>
    <definedName name="v_49_XAMX">Model!$Z$182</definedName>
    <definedName name="v_49_XAOB">Model!$X$182</definedName>
    <definedName name="v_49_XB">Model!$J$182</definedName>
    <definedName name="v_49_XB_e">Model!$K$182</definedName>
    <definedName name="v_49_XBSH">Model!$BS$182</definedName>
    <definedName name="v_49_XCaCO3">Model!$BQ$182</definedName>
    <definedName name="v_49_XCASTO">Model!$V$182</definedName>
    <definedName name="v_49_XE">Model!$R$182</definedName>
    <definedName name="v_49_XE_ana">Model!$S$182</definedName>
    <definedName name="v_49_XHAO_H">Model!$BJ$182</definedName>
    <definedName name="v_49_XHAO_H_P">Model!$BM$182</definedName>
    <definedName name="v_49_XHAO_H_P_old">Model!$BO$182</definedName>
    <definedName name="v_49_XHAO_L">Model!$BK$182</definedName>
    <definedName name="v_49_XHAO_L_P">Model!$BN$182</definedName>
    <definedName name="v_49_XHAO_L_P_old">Model!$BP$182</definedName>
    <definedName name="v_49_XHAO_old">Model!$BL$182</definedName>
    <definedName name="v_49_XHFO_H">Model!$BC$182</definedName>
    <definedName name="v_49_XHFO_H_P">Model!$BF$182</definedName>
    <definedName name="v_49_XHFO_H_P_old">Model!$BH$182</definedName>
    <definedName name="v_49_XHFO_L">Model!$BD$182</definedName>
    <definedName name="v_49_XHFO_L_P">Model!$BG$182</definedName>
    <definedName name="v_49_XHFO_L_P_old">Model!$BI$182</definedName>
    <definedName name="v_49_XHFO_old">Model!$BE$182</definedName>
    <definedName name="v_49_XHMETO">Model!$AB$182</definedName>
    <definedName name="v_49_XINORG">Model!$AV$182</definedName>
    <definedName name="v_49_XMEOLO">Model!$W$182</definedName>
    <definedName name="v_49_XN_B">Model!$AI$182</definedName>
    <definedName name="v_49_XN_Be">Model!$AJ$182</definedName>
    <definedName name="v_49_XN_U">Model!$AK$182</definedName>
    <definedName name="v_49_XNOB">Model!$Y$182</definedName>
    <definedName name="v_49_XOHO">Model!$T$182</definedName>
    <definedName name="v_49_XP_B">Model!$AO$182</definedName>
    <definedName name="v_49_XP_Be">Model!$AP$182</definedName>
    <definedName name="v_49_XP_U">Model!$AQ$182</definedName>
    <definedName name="v_49_XPFOA">Model!$BW$182</definedName>
    <definedName name="v_49_XPFOS">Model!$BY$182</definedName>
    <definedName name="v_49_XPHA_GAO">Model!$Q$182</definedName>
    <definedName name="v_49_XPHA_PAO">Model!$P$182</definedName>
    <definedName name="v_49_XPP">Model!$AM$182</definedName>
    <definedName name="v_49_XSTO">Model!$O$182</definedName>
    <definedName name="v_49_XSTR">Model!$BT$182</definedName>
    <definedName name="v_49_XU">Model!$N$182</definedName>
    <definedName name="v_49_XVivi">Model!$BU$182</definedName>
    <definedName name="v_5_CB">Model!$I$138</definedName>
    <definedName name="v_5_CU">Model!$M$138</definedName>
    <definedName name="v_5_GCH4">Model!$CD$138</definedName>
    <definedName name="v_5_GCH4_atm">Model!$CJ$138</definedName>
    <definedName name="v_5_GCO2">Model!$CC$138</definedName>
    <definedName name="v_5_GCO2_atm">Model!$CI$138</definedName>
    <definedName name="v_5_GH2">Model!$CE$138</definedName>
    <definedName name="v_5_GH2_atm">Model!$CK$138</definedName>
    <definedName name="v_5_GN2">Model!$CH$138</definedName>
    <definedName name="v_5_GN2_atm">Model!$CN$138</definedName>
    <definedName name="v_5_GNH3">Model!$CG$138</definedName>
    <definedName name="v_5_GNH3_atm">Model!$CM$138</definedName>
    <definedName name="v_5_GO2">Model!$CF$138</definedName>
    <definedName name="v_5_GO2_atm">Model!$CL$138</definedName>
    <definedName name="v_5_SALPHA">Model!$CA$138</definedName>
    <definedName name="v_5_SAN">Model!$AX$138</definedName>
    <definedName name="v_5_SB_mono">Model!$F$138</definedName>
    <definedName name="v_5_SB_poly">Model!$G$138</definedName>
    <definedName name="v_5_SCa">Model!$AY$138</definedName>
    <definedName name="v_5_SCAT">Model!$AW$138</definedName>
    <definedName name="v_5_SCH4">Model!$AS$138</definedName>
    <definedName name="v_5_SCO2">Model!$AU$138</definedName>
    <definedName name="v_5_SFe2">Model!$BB$138</definedName>
    <definedName name="v_5_SH">Model!$BZ$138</definedName>
    <definedName name="v_5_SH2">Model!$AT$138</definedName>
    <definedName name="v_5_SK">Model!$BA$138</definedName>
    <definedName name="v_5_SMEOL">Model!$H$138</definedName>
    <definedName name="v_5_SMg">Model!$AZ$138</definedName>
    <definedName name="v_5_SN_B">Model!$AH$138</definedName>
    <definedName name="v_5_SN2">Model!$AG$138</definedName>
    <definedName name="v_5_SNHx">Model!$AD$138</definedName>
    <definedName name="v_5_SNO2">Model!$AE$138</definedName>
    <definedName name="v_5_SNO3">Model!$AF$138</definedName>
    <definedName name="v_5_SO2">Model!$AR$138</definedName>
    <definedName name="v_5_SORPswitch">Model!$CB$138</definedName>
    <definedName name="v_5_SP_B">Model!$AN$138</definedName>
    <definedName name="v_5_SPFOA">Model!$BV$138</definedName>
    <definedName name="v_5_SPFOS">Model!$BX$138</definedName>
    <definedName name="v_5_SPO4">Model!$AL$138</definedName>
    <definedName name="v_5_SU">Model!$L$138</definedName>
    <definedName name="v_5_SVFA">Model!$E$138</definedName>
    <definedName name="v_5_XACP">Model!$BR$138</definedName>
    <definedName name="v_5_XAHO">Model!$U$138</definedName>
    <definedName name="v_5_XALGAE">Model!$AC$138</definedName>
    <definedName name="v_5_XAMETO">Model!$AA$138</definedName>
    <definedName name="v_5_XAMX">Model!$Z$138</definedName>
    <definedName name="v_5_XAOB">Model!$X$138</definedName>
    <definedName name="v_5_XB">Model!$J$138</definedName>
    <definedName name="v_5_XB_e">Model!$K$138</definedName>
    <definedName name="v_5_XBSH">Model!$BS$138</definedName>
    <definedName name="v_5_XCaCO3">Model!$BQ$138</definedName>
    <definedName name="v_5_XCASTO">Model!$V$138</definedName>
    <definedName name="v_5_XE">Model!$R$138</definedName>
    <definedName name="v_5_XE_ana">Model!$S$138</definedName>
    <definedName name="v_5_XHAO_H">Model!$BJ$138</definedName>
    <definedName name="v_5_XHAO_H_P">Model!$BM$138</definedName>
    <definedName name="v_5_XHAO_H_P_old">Model!$BO$138</definedName>
    <definedName name="v_5_XHAO_L">Model!$BK$138</definedName>
    <definedName name="v_5_XHAO_L_P">Model!$BN$138</definedName>
    <definedName name="v_5_XHAO_L_P_old">Model!$BP$138</definedName>
    <definedName name="v_5_XHAO_old">Model!$BL$138</definedName>
    <definedName name="v_5_XHFO_H">Model!$BC$138</definedName>
    <definedName name="v_5_XHFO_H_P">Model!$BF$138</definedName>
    <definedName name="v_5_XHFO_H_P_old">Model!$BH$138</definedName>
    <definedName name="v_5_XHFO_L">Model!$BD$138</definedName>
    <definedName name="v_5_XHFO_L_P">Model!$BG$138</definedName>
    <definedName name="v_5_XHFO_L_P_old">Model!$BI$138</definedName>
    <definedName name="v_5_XHFO_old">Model!$BE$138</definedName>
    <definedName name="v_5_XHMETO">Model!$AB$138</definedName>
    <definedName name="v_5_XINORG">Model!$AV$138</definedName>
    <definedName name="v_5_XMEOLO">Model!$W$138</definedName>
    <definedName name="v_5_XN_B">Model!$AI$138</definedName>
    <definedName name="v_5_XN_Be">Model!$AJ$138</definedName>
    <definedName name="v_5_XN_U">Model!$AK$138</definedName>
    <definedName name="v_5_XNOB">Model!$Y$138</definedName>
    <definedName name="v_5_XOHO">Model!$T$138</definedName>
    <definedName name="v_5_XP_B">Model!$AO$138</definedName>
    <definedName name="v_5_XP_Be">Model!$AP$138</definedName>
    <definedName name="v_5_XP_U">Model!$AQ$138</definedName>
    <definedName name="v_5_XPFOA">Model!$BW$138</definedName>
    <definedName name="v_5_XPFOS">Model!$BY$138</definedName>
    <definedName name="v_5_XPHA_GAO">Model!$Q$138</definedName>
    <definedName name="v_5_XPHA_PAO">Model!$P$138</definedName>
    <definedName name="v_5_XPP">Model!$AM$138</definedName>
    <definedName name="v_5_XSTO">Model!$O$138</definedName>
    <definedName name="v_5_XSTR">Model!$BT$138</definedName>
    <definedName name="v_5_XU">Model!$N$138</definedName>
    <definedName name="v_5_XVivi">Model!$BU$138</definedName>
    <definedName name="v_50_CB">Model!$I$183</definedName>
    <definedName name="v_50_CU">Model!$M$183</definedName>
    <definedName name="v_50_GCH4">Model!$CD$183</definedName>
    <definedName name="v_50_GCH4_atm">Model!$CJ$183</definedName>
    <definedName name="v_50_GCO2">Model!$CC$183</definedName>
    <definedName name="v_50_GCO2_atm">Model!$CI$183</definedName>
    <definedName name="v_50_GH2">Model!$CE$183</definedName>
    <definedName name="v_50_GH2_atm">Model!$CK$183</definedName>
    <definedName name="v_50_GN2">Model!$CH$183</definedName>
    <definedName name="v_50_GN2_atm">Model!$CN$183</definedName>
    <definedName name="v_50_GNH3">Model!$CG$183</definedName>
    <definedName name="v_50_GNH3_atm">Model!$CM$183</definedName>
    <definedName name="v_50_GO2">Model!$CF$183</definedName>
    <definedName name="v_50_GO2_atm">Model!$CL$183</definedName>
    <definedName name="v_50_SALPHA">Model!$CA$183</definedName>
    <definedName name="v_50_SAN">Model!$AX$183</definedName>
    <definedName name="v_50_SB_mono">Model!$F$183</definedName>
    <definedName name="v_50_SB_poly">Model!$G$183</definedName>
    <definedName name="v_50_SCa">Model!$AY$183</definedName>
    <definedName name="v_50_SCAT">Model!$AW$183</definedName>
    <definedName name="v_50_SCH4">Model!$AS$183</definedName>
    <definedName name="v_50_SCO2">Model!$AU$183</definedName>
    <definedName name="v_50_SFe2">Model!$BB$183</definedName>
    <definedName name="v_50_SH">Model!$BZ$183</definedName>
    <definedName name="v_50_SH2">Model!$AT$183</definedName>
    <definedName name="v_50_SK">Model!$BA$183</definedName>
    <definedName name="v_50_SMEOL">Model!$H$183</definedName>
    <definedName name="v_50_SMg">Model!$AZ$183</definedName>
    <definedName name="v_50_SN_B">Model!$AH$183</definedName>
    <definedName name="v_50_SN2">Model!$AG$183</definedName>
    <definedName name="v_50_SNHx">Model!$AD$183</definedName>
    <definedName name="v_50_SNO2">Model!$AE$183</definedName>
    <definedName name="v_50_SNO3">Model!$AF$183</definedName>
    <definedName name="v_50_SO2">Model!$AR$183</definedName>
    <definedName name="v_50_SORPswitch">Model!$CB$183</definedName>
    <definedName name="v_50_SP_B">Model!$AN$183</definedName>
    <definedName name="v_50_SPFOA">Model!$BV$183</definedName>
    <definedName name="v_50_SPFOS">Model!$BX$183</definedName>
    <definedName name="v_50_SPO4">Model!$AL$183</definedName>
    <definedName name="v_50_SU">Model!$L$183</definedName>
    <definedName name="v_50_SVFA">Model!$E$183</definedName>
    <definedName name="v_50_XACP">Model!$BR$183</definedName>
    <definedName name="v_50_XAHO">Model!$U$183</definedName>
    <definedName name="v_50_XALGAE">Model!$AC$183</definedName>
    <definedName name="v_50_XAMETO">Model!$AA$183</definedName>
    <definedName name="v_50_XAMX">Model!$Z$183</definedName>
    <definedName name="v_50_XAOB">Model!$X$183</definedName>
    <definedName name="v_50_XB">Model!$J$183</definedName>
    <definedName name="v_50_XB_e">Model!$K$183</definedName>
    <definedName name="v_50_XBSH">Model!$BS$183</definedName>
    <definedName name="v_50_XCaCO3">Model!$BQ$183</definedName>
    <definedName name="v_50_XCASTO">Model!$V$183</definedName>
    <definedName name="v_50_XE">Model!$R$183</definedName>
    <definedName name="v_50_XE_ana">Model!$S$183</definedName>
    <definedName name="v_50_XHAO_H">Model!$BJ$183</definedName>
    <definedName name="v_50_XHAO_H_P">Model!$BM$183</definedName>
    <definedName name="v_50_XHAO_H_P_old">Model!$BO$183</definedName>
    <definedName name="v_50_XHAO_L">Model!$BK$183</definedName>
    <definedName name="v_50_XHAO_L_P">Model!$BN$183</definedName>
    <definedName name="v_50_XHAO_L_P_old">Model!$BP$183</definedName>
    <definedName name="v_50_XHAO_old">Model!$BL$183</definedName>
    <definedName name="v_50_XHFO_H">Model!$BC$183</definedName>
    <definedName name="v_50_XHFO_H_P">Model!$BF$183</definedName>
    <definedName name="v_50_XHFO_H_P_old">Model!$BH$183</definedName>
    <definedName name="v_50_XHFO_L">Model!$BD$183</definedName>
    <definedName name="v_50_XHFO_L_P">Model!$BG$183</definedName>
    <definedName name="v_50_XHFO_L_P_old">Model!$BI$183</definedName>
    <definedName name="v_50_XHFO_old">Model!$BE$183</definedName>
    <definedName name="v_50_XHMETO">Model!$AB$183</definedName>
    <definedName name="v_50_XINORG">Model!$AV$183</definedName>
    <definedName name="v_50_XMEOLO">Model!$W$183</definedName>
    <definedName name="v_50_XN_B">Model!$AI$183</definedName>
    <definedName name="v_50_XN_Be">Model!$AJ$183</definedName>
    <definedName name="v_50_XN_U">Model!$AK$183</definedName>
    <definedName name="v_50_XNOB">Model!$Y$183</definedName>
    <definedName name="v_50_XOHO">Model!$T$183</definedName>
    <definedName name="v_50_XP_B">Model!$AO$183</definedName>
    <definedName name="v_50_XP_Be">Model!$AP$183</definedName>
    <definedName name="v_50_XP_U">Model!$AQ$183</definedName>
    <definedName name="v_50_XPFOA">Model!$BW$183</definedName>
    <definedName name="v_50_XPFOS">Model!$BY$183</definedName>
    <definedName name="v_50_XPHA_GAO">Model!$Q$183</definedName>
    <definedName name="v_50_XPHA_PAO">Model!$P$183</definedName>
    <definedName name="v_50_XPP">Model!$AM$183</definedName>
    <definedName name="v_50_XSTO">Model!$O$183</definedName>
    <definedName name="v_50_XSTR">Model!$BT$183</definedName>
    <definedName name="v_50_XU">Model!$N$183</definedName>
    <definedName name="v_50_XVivi">Model!$BU$183</definedName>
    <definedName name="v_51_CB">Model!$I$184</definedName>
    <definedName name="v_51_CU">Model!$M$184</definedName>
    <definedName name="v_51_GCH4">Model!$CD$184</definedName>
    <definedName name="v_51_GCH4_atm">Model!$CJ$184</definedName>
    <definedName name="v_51_GCO2">Model!$CC$184</definedName>
    <definedName name="v_51_GCO2_atm">Model!$CI$184</definedName>
    <definedName name="v_51_GH2">Model!$CE$184</definedName>
    <definedName name="v_51_GH2_atm">Model!$CK$184</definedName>
    <definedName name="v_51_GN2">Model!$CH$184</definedName>
    <definedName name="v_51_GN2_atm">Model!$CN$184</definedName>
    <definedName name="v_51_GNH3">Model!$CG$184</definedName>
    <definedName name="v_51_GNH3_atm">Model!$CM$184</definedName>
    <definedName name="v_51_GO2">Model!$CF$184</definedName>
    <definedName name="v_51_GO2_atm">Model!$CL$184</definedName>
    <definedName name="v_51_SALPHA">Model!$CA$184</definedName>
    <definedName name="v_51_SAN">Model!$AX$184</definedName>
    <definedName name="v_51_SB_mono">Model!$F$184</definedName>
    <definedName name="v_51_SB_poly">Model!$G$184</definedName>
    <definedName name="v_51_SCa">Model!$AY$184</definedName>
    <definedName name="v_51_SCAT">Model!$AW$184</definedName>
    <definedName name="v_51_SCH4">Model!$AS$184</definedName>
    <definedName name="v_51_SCO2">Model!$AU$184</definedName>
    <definedName name="v_51_SFe2">Model!$BB$184</definedName>
    <definedName name="v_51_SH">Model!$BZ$184</definedName>
    <definedName name="v_51_SH2">Model!$AT$184</definedName>
    <definedName name="v_51_SK">Model!$BA$184</definedName>
    <definedName name="v_51_SMEOL">Model!$H$184</definedName>
    <definedName name="v_51_SMg">Model!$AZ$184</definedName>
    <definedName name="v_51_SN_B">Model!$AH$184</definedName>
    <definedName name="v_51_SN2">Model!$AG$184</definedName>
    <definedName name="v_51_SNHx">Model!$AD$184</definedName>
    <definedName name="v_51_SNO2">Model!$AE$184</definedName>
    <definedName name="v_51_SNO3">Model!$AF$184</definedName>
    <definedName name="v_51_SO2">Model!$AR$184</definedName>
    <definedName name="v_51_SORPswitch">Model!$CB$184</definedName>
    <definedName name="v_51_SP_B">Model!$AN$184</definedName>
    <definedName name="v_51_SPFOA">Model!$BV$184</definedName>
    <definedName name="v_51_SPFOS">Model!$BX$184</definedName>
    <definedName name="v_51_SPO4">Model!$AL$184</definedName>
    <definedName name="v_51_SU">Model!$L$184</definedName>
    <definedName name="v_51_SVFA">Model!$E$184</definedName>
    <definedName name="v_51_XACP">Model!$BR$184</definedName>
    <definedName name="v_51_XAHO">Model!$U$184</definedName>
    <definedName name="v_51_XALGAE">Model!$AC$184</definedName>
    <definedName name="v_51_XAMETO">Model!$AA$184</definedName>
    <definedName name="v_51_XAMX">Model!$Z$184</definedName>
    <definedName name="v_51_XAOB">Model!$X$184</definedName>
    <definedName name="v_51_XB">Model!$J$184</definedName>
    <definedName name="v_51_XB_e">Model!$K$184</definedName>
    <definedName name="v_51_XBSH">Model!$BS$184</definedName>
    <definedName name="v_51_XCaCO3">Model!$BQ$184</definedName>
    <definedName name="v_51_XCASTO">Model!$V$184</definedName>
    <definedName name="v_51_XE">Model!$R$184</definedName>
    <definedName name="v_51_XE_ana">Model!$S$184</definedName>
    <definedName name="v_51_XHAO_H">Model!$BJ$184</definedName>
    <definedName name="v_51_XHAO_H_P">Model!$BM$184</definedName>
    <definedName name="v_51_XHAO_H_P_old">Model!$BO$184</definedName>
    <definedName name="v_51_XHAO_L">Model!$BK$184</definedName>
    <definedName name="v_51_XHAO_L_P">Model!$BN$184</definedName>
    <definedName name="v_51_XHAO_L_P_old">Model!$BP$184</definedName>
    <definedName name="v_51_XHAO_old">Model!$BL$184</definedName>
    <definedName name="v_51_XHFO_H">Model!$BC$184</definedName>
    <definedName name="v_51_XHFO_H_P">Model!$BF$184</definedName>
    <definedName name="v_51_XHFO_H_P_old">Model!$BH$184</definedName>
    <definedName name="v_51_XHFO_L">Model!$BD$184</definedName>
    <definedName name="v_51_XHFO_L_P">Model!$BG$184</definedName>
    <definedName name="v_51_XHFO_L_P_old">Model!$BI$184</definedName>
    <definedName name="v_51_XHFO_old">Model!$BE$184</definedName>
    <definedName name="v_51_XHMETO">Model!$AB$184</definedName>
    <definedName name="v_51_XINORG">Model!$AV$184</definedName>
    <definedName name="v_51_XMEOLO">Model!$W$184</definedName>
    <definedName name="v_51_XN_B">Model!$AI$184</definedName>
    <definedName name="v_51_XN_Be">Model!$AJ$184</definedName>
    <definedName name="v_51_XN_U">Model!$AK$184</definedName>
    <definedName name="v_51_XNOB">Model!$Y$184</definedName>
    <definedName name="v_51_XOHO">Model!$T$184</definedName>
    <definedName name="v_51_XP_B">Model!$AO$184</definedName>
    <definedName name="v_51_XP_Be">Model!$AP$184</definedName>
    <definedName name="v_51_XP_U">Model!$AQ$184</definedName>
    <definedName name="v_51_XPFOA">Model!$BW$184</definedName>
    <definedName name="v_51_XPFOS">Model!$BY$184</definedName>
    <definedName name="v_51_XPHA_GAO">Model!$Q$184</definedName>
    <definedName name="v_51_XPHA_PAO">Model!$P$184</definedName>
    <definedName name="v_51_XPP">Model!$AM$184</definedName>
    <definedName name="v_51_XSTO">Model!$O$184</definedName>
    <definedName name="v_51_XSTR">Model!$BT$184</definedName>
    <definedName name="v_51_XU">Model!$N$184</definedName>
    <definedName name="v_51_XVivi">Model!$BU$184</definedName>
    <definedName name="v_52_CB">Model!$I$185</definedName>
    <definedName name="v_52_CU">Model!$M$185</definedName>
    <definedName name="v_52_GCH4">Model!$CD$185</definedName>
    <definedName name="v_52_GCH4_atm">Model!$CJ$185</definedName>
    <definedName name="v_52_GCO2">Model!$CC$185</definedName>
    <definedName name="v_52_GCO2_atm">Model!$CI$185</definedName>
    <definedName name="v_52_GH2">Model!$CE$185</definedName>
    <definedName name="v_52_GH2_atm">Model!$CK$185</definedName>
    <definedName name="v_52_GN2">Model!$CH$185</definedName>
    <definedName name="v_52_GN2_atm">Model!$CN$185</definedName>
    <definedName name="v_52_GNH3">Model!$CG$185</definedName>
    <definedName name="v_52_GNH3_atm">Model!$CM$185</definedName>
    <definedName name="v_52_GO2">Model!$CF$185</definedName>
    <definedName name="v_52_GO2_atm">Model!$CL$185</definedName>
    <definedName name="v_52_SALPHA">Model!$CA$185</definedName>
    <definedName name="v_52_SAN">Model!$AX$185</definedName>
    <definedName name="v_52_SB_mono">Model!$F$185</definedName>
    <definedName name="v_52_SB_poly">Model!$G$185</definedName>
    <definedName name="v_52_SCa">Model!$AY$185</definedName>
    <definedName name="v_52_SCAT">Model!$AW$185</definedName>
    <definedName name="v_52_SCH4">Model!$AS$185</definedName>
    <definedName name="v_52_SCO2">Model!$AU$185</definedName>
    <definedName name="v_52_SFe2">Model!$BB$185</definedName>
    <definedName name="v_52_SH">Model!$BZ$185</definedName>
    <definedName name="v_52_SH2">Model!$AT$185</definedName>
    <definedName name="v_52_SK">Model!$BA$185</definedName>
    <definedName name="v_52_SMEOL">Model!$H$185</definedName>
    <definedName name="v_52_SMg">Model!$AZ$185</definedName>
    <definedName name="v_52_SN_B">Model!$AH$185</definedName>
    <definedName name="v_52_SN2">Model!$AG$185</definedName>
    <definedName name="v_52_SNHx">Model!$AD$185</definedName>
    <definedName name="v_52_SNO2">Model!$AE$185</definedName>
    <definedName name="v_52_SNO3">Model!$AF$185</definedName>
    <definedName name="v_52_SO2">Model!$AR$185</definedName>
    <definedName name="v_52_SORPswitch">Model!$CB$185</definedName>
    <definedName name="v_52_SP_B">Model!$AN$185</definedName>
    <definedName name="v_52_SPFOA">Model!$BV$185</definedName>
    <definedName name="v_52_SPFOS">Model!$BX$185</definedName>
    <definedName name="v_52_SPO4">Model!$AL$185</definedName>
    <definedName name="v_52_SU">Model!$L$185</definedName>
    <definedName name="v_52_SVFA">Model!$E$185</definedName>
    <definedName name="v_52_XACP">Model!$BR$185</definedName>
    <definedName name="v_52_XAHO">Model!$U$185</definedName>
    <definedName name="v_52_XALGAE">Model!$AC$185</definedName>
    <definedName name="v_52_XAMETO">Model!$AA$185</definedName>
    <definedName name="v_52_XAMX">Model!$Z$185</definedName>
    <definedName name="v_52_XAOB">Model!$X$185</definedName>
    <definedName name="v_52_XB">Model!$J$185</definedName>
    <definedName name="v_52_XB_e">Model!$K$185</definedName>
    <definedName name="v_52_XBSH">Model!$BS$185</definedName>
    <definedName name="v_52_XCaCO3">Model!$BQ$185</definedName>
    <definedName name="v_52_XCASTO">Model!$V$185</definedName>
    <definedName name="v_52_XE">Model!$R$185</definedName>
    <definedName name="v_52_XE_ana">Model!$S$185</definedName>
    <definedName name="v_52_XHAO_H">Model!$BJ$185</definedName>
    <definedName name="v_52_XHAO_H_P">Model!$BM$185</definedName>
    <definedName name="v_52_XHAO_H_P_old">Model!$BO$185</definedName>
    <definedName name="v_52_XHAO_L">Model!$BK$185</definedName>
    <definedName name="v_52_XHAO_L_P">Model!$BN$185</definedName>
    <definedName name="v_52_XHAO_L_P_old">Model!$BP$185</definedName>
    <definedName name="v_52_XHAO_old">Model!$BL$185</definedName>
    <definedName name="v_52_XHFO_H">Model!$BC$185</definedName>
    <definedName name="v_52_XHFO_H_P">Model!$BF$185</definedName>
    <definedName name="v_52_XHFO_H_P_old">Model!$BH$185</definedName>
    <definedName name="v_52_XHFO_L">Model!$BD$185</definedName>
    <definedName name="v_52_XHFO_L_P">Model!$BG$185</definedName>
    <definedName name="v_52_XHFO_L_P_old">Model!$BI$185</definedName>
    <definedName name="v_52_XHFO_old">Model!$BE$185</definedName>
    <definedName name="v_52_XHMETO">Model!$AB$185</definedName>
    <definedName name="v_52_XINORG">Model!$AV$185</definedName>
    <definedName name="v_52_XMEOLO">Model!$W$185</definedName>
    <definedName name="v_52_XN_B">Model!$AI$185</definedName>
    <definedName name="v_52_XN_Be">Model!$AJ$185</definedName>
    <definedName name="v_52_XN_U">Model!$AK$185</definedName>
    <definedName name="v_52_XNOB">Model!$Y$185</definedName>
    <definedName name="v_52_XOHO">Model!$T$185</definedName>
    <definedName name="v_52_XP_B">Model!$AO$185</definedName>
    <definedName name="v_52_XP_Be">Model!$AP$185</definedName>
    <definedName name="v_52_XP_U">Model!$AQ$185</definedName>
    <definedName name="v_52_XPFOA">Model!$BW$185</definedName>
    <definedName name="v_52_XPFOS">Model!$BY$185</definedName>
    <definedName name="v_52_XPHA_GAO">Model!$Q$185</definedName>
    <definedName name="v_52_XPHA_PAO">Model!$P$185</definedName>
    <definedName name="v_52_XPP">Model!$AM$185</definedName>
    <definedName name="v_52_XSTO">Model!$O$185</definedName>
    <definedName name="v_52_XSTR">Model!$BT$185</definedName>
    <definedName name="v_52_XU">Model!$N$185</definedName>
    <definedName name="v_52_XVivi">Model!$BU$185</definedName>
    <definedName name="v_53_CB">Model!$I$186</definedName>
    <definedName name="v_53_CU">Model!$M$186</definedName>
    <definedName name="v_53_GCH4">Model!$CD$186</definedName>
    <definedName name="v_53_GCH4_atm">Model!$CJ$186</definedName>
    <definedName name="v_53_GCO2">Model!$CC$186</definedName>
    <definedName name="v_53_GCO2_atm">Model!$CI$186</definedName>
    <definedName name="v_53_GH2">Model!$CE$186</definedName>
    <definedName name="v_53_GH2_atm">Model!$CK$186</definedName>
    <definedName name="v_53_GN2">Model!$CH$186</definedName>
    <definedName name="v_53_GN2_atm">Model!$CN$186</definedName>
    <definedName name="v_53_GNH3">Model!$CG$186</definedName>
    <definedName name="v_53_GNH3_atm">Model!$CM$186</definedName>
    <definedName name="v_53_GO2">Model!$CF$186</definedName>
    <definedName name="v_53_GO2_atm">Model!$CL$186</definedName>
    <definedName name="v_53_SALPHA">Model!$CA$186</definedName>
    <definedName name="v_53_SAN">Model!$AX$186</definedName>
    <definedName name="v_53_SB_mono">Model!$F$186</definedName>
    <definedName name="v_53_SB_poly">Model!$G$186</definedName>
    <definedName name="v_53_SCa">Model!$AY$186</definedName>
    <definedName name="v_53_SCAT">Model!$AW$186</definedName>
    <definedName name="v_53_SCH4">Model!$AS$186</definedName>
    <definedName name="v_53_SCO2">Model!$AU$186</definedName>
    <definedName name="v_53_SFe2">Model!$BB$186</definedName>
    <definedName name="v_53_SH">Model!$BZ$186</definedName>
    <definedName name="v_53_SH2">Model!$AT$186</definedName>
    <definedName name="v_53_SK">Model!$BA$186</definedName>
    <definedName name="v_53_SMEOL">Model!$H$186</definedName>
    <definedName name="v_53_SMg">Model!$AZ$186</definedName>
    <definedName name="v_53_SN_B">Model!$AH$186</definedName>
    <definedName name="v_53_SN2">Model!$AG$186</definedName>
    <definedName name="v_53_SNHx">Model!$AD$186</definedName>
    <definedName name="v_53_SNO2">Model!$AE$186</definedName>
    <definedName name="v_53_SNO3">Model!$AF$186</definedName>
    <definedName name="v_53_SO2">Model!$AR$186</definedName>
    <definedName name="v_53_SORPswitch">Model!$CB$186</definedName>
    <definedName name="v_53_SP_B">Model!$AN$186</definedName>
    <definedName name="v_53_SPFOA">Model!$BV$186</definedName>
    <definedName name="v_53_SPFOS">Model!$BX$186</definedName>
    <definedName name="v_53_SPO4">Model!$AL$186</definedName>
    <definedName name="v_53_SU">Model!$L$186</definedName>
    <definedName name="v_53_SVFA">Model!$E$186</definedName>
    <definedName name="v_53_XACP">Model!$BR$186</definedName>
    <definedName name="v_53_XAHO">Model!$U$186</definedName>
    <definedName name="v_53_XALGAE">Model!$AC$186</definedName>
    <definedName name="v_53_XAMETO">Model!$AA$186</definedName>
    <definedName name="v_53_XAMX">Model!$Z$186</definedName>
    <definedName name="v_53_XAOB">Model!$X$186</definedName>
    <definedName name="v_53_XB">Model!$J$186</definedName>
    <definedName name="v_53_XB_e">Model!$K$186</definedName>
    <definedName name="v_53_XBSH">Model!$BS$186</definedName>
    <definedName name="v_53_XCaCO3">Model!$BQ$186</definedName>
    <definedName name="v_53_XCASTO">Model!$V$186</definedName>
    <definedName name="v_53_XE">Model!$R$186</definedName>
    <definedName name="v_53_XE_ana">Model!$S$186</definedName>
    <definedName name="v_53_XHAO_H">Model!$BJ$186</definedName>
    <definedName name="v_53_XHAO_H_P">Model!$BM$186</definedName>
    <definedName name="v_53_XHAO_H_P_old">Model!$BO$186</definedName>
    <definedName name="v_53_XHAO_L">Model!$BK$186</definedName>
    <definedName name="v_53_XHAO_L_P">Model!$BN$186</definedName>
    <definedName name="v_53_XHAO_L_P_old">Model!$BP$186</definedName>
    <definedName name="v_53_XHAO_old">Model!$BL$186</definedName>
    <definedName name="v_53_XHFO_H">Model!$BC$186</definedName>
    <definedName name="v_53_XHFO_H_P">Model!$BF$186</definedName>
    <definedName name="v_53_XHFO_H_P_old">Model!$BH$186</definedName>
    <definedName name="v_53_XHFO_L">Model!$BD$186</definedName>
    <definedName name="v_53_XHFO_L_P">Model!$BG$186</definedName>
    <definedName name="v_53_XHFO_L_P_old">Model!$BI$186</definedName>
    <definedName name="v_53_XHFO_old">Model!$BE$186</definedName>
    <definedName name="v_53_XHMETO">Model!$AB$186</definedName>
    <definedName name="v_53_XINORG">Model!$AV$186</definedName>
    <definedName name="v_53_XMEOLO">Model!$W$186</definedName>
    <definedName name="v_53_XN_B">Model!$AI$186</definedName>
    <definedName name="v_53_XN_Be">Model!$AJ$186</definedName>
    <definedName name="v_53_XN_U">Model!$AK$186</definedName>
    <definedName name="v_53_XNOB">Model!$Y$186</definedName>
    <definedName name="v_53_XOHO">Model!$T$186</definedName>
    <definedName name="v_53_XP_B">Model!$AO$186</definedName>
    <definedName name="v_53_XP_Be">Model!$AP$186</definedName>
    <definedName name="v_53_XP_U">Model!$AQ$186</definedName>
    <definedName name="v_53_XPFOA">Model!$BW$186</definedName>
    <definedName name="v_53_XPFOS">Model!$BY$186</definedName>
    <definedName name="v_53_XPHA_GAO">Model!$Q$186</definedName>
    <definedName name="v_53_XPHA_PAO">Model!$P$186</definedName>
    <definedName name="v_53_XPP">Model!$AM$186</definedName>
    <definedName name="v_53_XSTO">Model!$O$186</definedName>
    <definedName name="v_53_XSTR">Model!$BT$186</definedName>
    <definedName name="v_53_XU">Model!$N$186</definedName>
    <definedName name="v_53_XVivi">Model!$BU$186</definedName>
    <definedName name="v_54_CB">Model!$I$187</definedName>
    <definedName name="v_54_CU">Model!$M$187</definedName>
    <definedName name="v_54_GCH4">Model!$CD$187</definedName>
    <definedName name="v_54_GCH4_atm">Model!$CJ$187</definedName>
    <definedName name="v_54_GCO2">Model!$CC$187</definedName>
    <definedName name="v_54_GCO2_atm">Model!$CI$187</definedName>
    <definedName name="v_54_GH2">Model!$CE$187</definedName>
    <definedName name="v_54_GH2_atm">Model!$CK$187</definedName>
    <definedName name="v_54_GN2">Model!$CH$187</definedName>
    <definedName name="v_54_GN2_atm">Model!$CN$187</definedName>
    <definedName name="v_54_GNH3">Model!$CG$187</definedName>
    <definedName name="v_54_GNH3_atm">Model!$CM$187</definedName>
    <definedName name="v_54_GO2">Model!$CF$187</definedName>
    <definedName name="v_54_GO2_atm">Model!$CL$187</definedName>
    <definedName name="v_54_SALPHA">Model!$CA$187</definedName>
    <definedName name="v_54_SAN">Model!$AX$187</definedName>
    <definedName name="v_54_SB_mono">Model!$F$187</definedName>
    <definedName name="v_54_SB_poly">Model!$G$187</definedName>
    <definedName name="v_54_SCa">Model!$AY$187</definedName>
    <definedName name="v_54_SCAT">Model!$AW$187</definedName>
    <definedName name="v_54_SCH4">Model!$AS$187</definedName>
    <definedName name="v_54_SCO2">Model!$AU$187</definedName>
    <definedName name="v_54_SFe2">Model!$BB$187</definedName>
    <definedName name="v_54_SH">Model!$BZ$187</definedName>
    <definedName name="v_54_SH2">Model!$AT$187</definedName>
    <definedName name="v_54_SK">Model!$BA$187</definedName>
    <definedName name="v_54_SMEOL">Model!$H$187</definedName>
    <definedName name="v_54_SMg">Model!$AZ$187</definedName>
    <definedName name="v_54_SN_B">Model!$AH$187</definedName>
    <definedName name="v_54_SN2">Model!$AG$187</definedName>
    <definedName name="v_54_SNHx">Model!$AD$187</definedName>
    <definedName name="v_54_SNO2">Model!$AE$187</definedName>
    <definedName name="v_54_SNO3">Model!$AF$187</definedName>
    <definedName name="v_54_SO2">Model!$AR$187</definedName>
    <definedName name="v_54_SORPswitch">Model!$CB$187</definedName>
    <definedName name="v_54_SP_B">Model!$AN$187</definedName>
    <definedName name="v_54_SPFOA">Model!$BV$187</definedName>
    <definedName name="v_54_SPFOS">Model!$BX$187</definedName>
    <definedName name="v_54_SPO4">Model!$AL$187</definedName>
    <definedName name="v_54_SU">Model!$L$187</definedName>
    <definedName name="v_54_SVFA">Model!$E$187</definedName>
    <definedName name="v_54_XACP">Model!$BR$187</definedName>
    <definedName name="v_54_XAHO">Model!$U$187</definedName>
    <definedName name="v_54_XALGAE">Model!$AC$187</definedName>
    <definedName name="v_54_XAMETO">Model!$AA$187</definedName>
    <definedName name="v_54_XAMX">Model!$Z$187</definedName>
    <definedName name="v_54_XAOB">Model!$X$187</definedName>
    <definedName name="v_54_XB">Model!$J$187</definedName>
    <definedName name="v_54_XB_e">Model!$K$187</definedName>
    <definedName name="v_54_XBSH">Model!$BS$187</definedName>
    <definedName name="v_54_XCaCO3">Model!$BQ$187</definedName>
    <definedName name="v_54_XCASTO">Model!$V$187</definedName>
    <definedName name="v_54_XE">Model!$R$187</definedName>
    <definedName name="v_54_XE_ana">Model!$S$187</definedName>
    <definedName name="v_54_XHAO_H">Model!$BJ$187</definedName>
    <definedName name="v_54_XHAO_H_P">Model!$BM$187</definedName>
    <definedName name="v_54_XHAO_H_P_old">Model!$BO$187</definedName>
    <definedName name="v_54_XHAO_L">Model!$BK$187</definedName>
    <definedName name="v_54_XHAO_L_P">Model!$BN$187</definedName>
    <definedName name="v_54_XHAO_L_P_old">Model!$BP$187</definedName>
    <definedName name="v_54_XHAO_old">Model!$BL$187</definedName>
    <definedName name="v_54_XHFO_H">Model!$BC$187</definedName>
    <definedName name="v_54_XHFO_H_P">Model!$BF$187</definedName>
    <definedName name="v_54_XHFO_H_P_old">Model!$BH$187</definedName>
    <definedName name="v_54_XHFO_L">Model!$BD$187</definedName>
    <definedName name="v_54_XHFO_L_P">Model!$BG$187</definedName>
    <definedName name="v_54_XHFO_L_P_old">Model!$BI$187</definedName>
    <definedName name="v_54_XHFO_old">Model!$BE$187</definedName>
    <definedName name="v_54_XHMETO">Model!$AB$187</definedName>
    <definedName name="v_54_XINORG">Model!$AV$187</definedName>
    <definedName name="v_54_XMEOLO">Model!$W$187</definedName>
    <definedName name="v_54_XN_B">Model!$AI$187</definedName>
    <definedName name="v_54_XN_Be">Model!$AJ$187</definedName>
    <definedName name="v_54_XN_U">Model!$AK$187</definedName>
    <definedName name="v_54_XNOB">Model!$Y$187</definedName>
    <definedName name="v_54_XOHO">Model!$T$187</definedName>
    <definedName name="v_54_XP_B">Model!$AO$187</definedName>
    <definedName name="v_54_XP_Be">Model!$AP$187</definedName>
    <definedName name="v_54_XP_U">Model!$AQ$187</definedName>
    <definedName name="v_54_XPFOA">Model!$BW$187</definedName>
    <definedName name="v_54_XPFOS">Model!$BY$187</definedName>
    <definedName name="v_54_XPHA_GAO">Model!$Q$187</definedName>
    <definedName name="v_54_XPHA_PAO">Model!$P$187</definedName>
    <definedName name="v_54_XPP">Model!$AM$187</definedName>
    <definedName name="v_54_XSTO">Model!$O$187</definedName>
    <definedName name="v_54_XSTR">Model!$BT$187</definedName>
    <definedName name="v_54_XU">Model!$N$187</definedName>
    <definedName name="v_54_XVivi">Model!$BU$187</definedName>
    <definedName name="v_55_CB">Model!$I$188</definedName>
    <definedName name="v_55_CU">Model!$M$188</definedName>
    <definedName name="v_55_GCH4">Model!$CD$188</definedName>
    <definedName name="v_55_GCH4_atm">Model!$CJ$188</definedName>
    <definedName name="v_55_GCO2">Model!$CC$188</definedName>
    <definedName name="v_55_GCO2_atm">Model!$CI$188</definedName>
    <definedName name="v_55_GH2">Model!$CE$188</definedName>
    <definedName name="v_55_GH2_atm">Model!$CK$188</definedName>
    <definedName name="v_55_GN2">Model!$CH$188</definedName>
    <definedName name="v_55_GN2_atm">Model!$CN$188</definedName>
    <definedName name="v_55_GNH3">Model!$CG$188</definedName>
    <definedName name="v_55_GNH3_atm">Model!$CM$188</definedName>
    <definedName name="v_55_GO2">Model!$CF$188</definedName>
    <definedName name="v_55_GO2_atm">Model!$CL$188</definedName>
    <definedName name="v_55_SALPHA">Model!$CA$188</definedName>
    <definedName name="v_55_SAN">Model!$AX$188</definedName>
    <definedName name="v_55_SB_mono">Model!$F$188</definedName>
    <definedName name="v_55_SB_poly">Model!$G$188</definedName>
    <definedName name="v_55_SCa">Model!$AY$188</definedName>
    <definedName name="v_55_SCAT">Model!$AW$188</definedName>
    <definedName name="v_55_SCH4">Model!$AS$188</definedName>
    <definedName name="v_55_SCO2">Model!$AU$188</definedName>
    <definedName name="v_55_SFe2">Model!$BB$188</definedName>
    <definedName name="v_55_SH">Model!$BZ$188</definedName>
    <definedName name="v_55_SH2">Model!$AT$188</definedName>
    <definedName name="v_55_SK">Model!$BA$188</definedName>
    <definedName name="v_55_SMEOL">Model!$H$188</definedName>
    <definedName name="v_55_SMg">Model!$AZ$188</definedName>
    <definedName name="v_55_SN_B">Model!$AH$188</definedName>
    <definedName name="v_55_SN2">Model!$AG$188</definedName>
    <definedName name="v_55_SNHx">Model!$AD$188</definedName>
    <definedName name="v_55_SNO2">Model!$AE$188</definedName>
    <definedName name="v_55_SNO3">Model!$AF$188</definedName>
    <definedName name="v_55_SO2">Model!$AR$188</definedName>
    <definedName name="v_55_SORPswitch">Model!$CB$188</definedName>
    <definedName name="v_55_SP_B">Model!$AN$188</definedName>
    <definedName name="v_55_SPFOA">Model!$BV$188</definedName>
    <definedName name="v_55_SPFOS">Model!$BX$188</definedName>
    <definedName name="v_55_SPO4">Model!$AL$188</definedName>
    <definedName name="v_55_SU">Model!$L$188</definedName>
    <definedName name="v_55_SVFA">Model!$E$188</definedName>
    <definedName name="v_55_XACP">Model!$BR$188</definedName>
    <definedName name="v_55_XAHO">Model!$U$188</definedName>
    <definedName name="v_55_XALGAE">Model!$AC$188</definedName>
    <definedName name="v_55_XAMETO">Model!$AA$188</definedName>
    <definedName name="v_55_XAMX">Model!$Z$188</definedName>
    <definedName name="v_55_XAOB">Model!$X$188</definedName>
    <definedName name="v_55_XB">Model!$J$188</definedName>
    <definedName name="v_55_XB_e">Model!$K$188</definedName>
    <definedName name="v_55_XBSH">Model!$BS$188</definedName>
    <definedName name="v_55_XCaCO3">Model!$BQ$188</definedName>
    <definedName name="v_55_XCASTO">Model!$V$188</definedName>
    <definedName name="v_55_XE">Model!$R$188</definedName>
    <definedName name="v_55_XE_ana">Model!$S$188</definedName>
    <definedName name="v_55_XHAO_H">Model!$BJ$188</definedName>
    <definedName name="v_55_XHAO_H_P">Model!$BM$188</definedName>
    <definedName name="v_55_XHAO_H_P_old">Model!$BO$188</definedName>
    <definedName name="v_55_XHAO_L">Model!$BK$188</definedName>
    <definedName name="v_55_XHAO_L_P">Model!$BN$188</definedName>
    <definedName name="v_55_XHAO_L_P_old">Model!$BP$188</definedName>
    <definedName name="v_55_XHAO_old">Model!$BL$188</definedName>
    <definedName name="v_55_XHFO_H">Model!$BC$188</definedName>
    <definedName name="v_55_XHFO_H_P">Model!$BF$188</definedName>
    <definedName name="v_55_XHFO_H_P_old">Model!$BH$188</definedName>
    <definedName name="v_55_XHFO_L">Model!$BD$188</definedName>
    <definedName name="v_55_XHFO_L_P">Model!$BG$188</definedName>
    <definedName name="v_55_XHFO_L_P_old">Model!$BI$188</definedName>
    <definedName name="v_55_XHFO_old">Model!$BE$188</definedName>
    <definedName name="v_55_XHMETO">Model!$AB$188</definedName>
    <definedName name="v_55_XINORG">Model!$AV$188</definedName>
    <definedName name="v_55_XMEOLO">Model!$W$188</definedName>
    <definedName name="v_55_XN_B">Model!$AI$188</definedName>
    <definedName name="v_55_XN_Be">Model!$AJ$188</definedName>
    <definedName name="v_55_XN_U">Model!$AK$188</definedName>
    <definedName name="v_55_XNOB">Model!$Y$188</definedName>
    <definedName name="v_55_XOHO">Model!$T$188</definedName>
    <definedName name="v_55_XP_B">Model!$AO$188</definedName>
    <definedName name="v_55_XP_Be">Model!$AP$188</definedName>
    <definedName name="v_55_XP_U">Model!$AQ$188</definedName>
    <definedName name="v_55_XPFOA">Model!$BW$188</definedName>
    <definedName name="v_55_XPFOS">Model!$BY$188</definedName>
    <definedName name="v_55_XPHA_GAO">Model!$Q$188</definedName>
    <definedName name="v_55_XPHA_PAO">Model!$P$188</definedName>
    <definedName name="v_55_XPP">Model!$AM$188</definedName>
    <definedName name="v_55_XSTO">Model!$O$188</definedName>
    <definedName name="v_55_XSTR">Model!$BT$188</definedName>
    <definedName name="v_55_XU">Model!$N$188</definedName>
    <definedName name="v_55_XVivi">Model!$BU$188</definedName>
    <definedName name="v_56_CB">Model!$I$189</definedName>
    <definedName name="v_56_CU">Model!$M$189</definedName>
    <definedName name="v_56_GCH4">Model!$CD$189</definedName>
    <definedName name="v_56_GCH4_atm">Model!$CJ$189</definedName>
    <definedName name="v_56_GCO2">Model!$CC$189</definedName>
    <definedName name="v_56_GCO2_atm">Model!$CI$189</definedName>
    <definedName name="v_56_GH2">Model!$CE$189</definedName>
    <definedName name="v_56_GH2_atm">Model!$CK$189</definedName>
    <definedName name="v_56_GN2">Model!$CH$189</definedName>
    <definedName name="v_56_GN2_atm">Model!$CN$189</definedName>
    <definedName name="v_56_GNH3">Model!$CG$189</definedName>
    <definedName name="v_56_GNH3_atm">Model!$CM$189</definedName>
    <definedName name="v_56_GO2">Model!$CF$189</definedName>
    <definedName name="v_56_GO2_atm">Model!$CL$189</definedName>
    <definedName name="v_56_SALPHA">Model!$CA$189</definedName>
    <definedName name="v_56_SAN">Model!$AX$189</definedName>
    <definedName name="v_56_SB_mono">Model!$F$189</definedName>
    <definedName name="v_56_SB_poly">Model!$G$189</definedName>
    <definedName name="v_56_SCa">Model!$AY$189</definedName>
    <definedName name="v_56_SCAT">Model!$AW$189</definedName>
    <definedName name="v_56_SCH4">Model!$AS$189</definedName>
    <definedName name="v_56_SCO2">Model!$AU$189</definedName>
    <definedName name="v_56_SFe2">Model!$BB$189</definedName>
    <definedName name="v_56_SH">Model!$BZ$189</definedName>
    <definedName name="v_56_SH2">Model!$AT$189</definedName>
    <definedName name="v_56_SK">Model!$BA$189</definedName>
    <definedName name="v_56_SMEOL">Model!$H$189</definedName>
    <definedName name="v_56_SMg">Model!$AZ$189</definedName>
    <definedName name="v_56_SN_B">Model!$AH$189</definedName>
    <definedName name="v_56_SN2">Model!$AG$189</definedName>
    <definedName name="v_56_SNHx">Model!$AD$189</definedName>
    <definedName name="v_56_SNO2">Model!$AE$189</definedName>
    <definedName name="v_56_SNO3">Model!$AF$189</definedName>
    <definedName name="v_56_SO2">Model!$AR$189</definedName>
    <definedName name="v_56_SORPswitch">Model!$CB$189</definedName>
    <definedName name="v_56_SP_B">Model!$AN$189</definedName>
    <definedName name="v_56_SPFOA">Model!$BV$189</definedName>
    <definedName name="v_56_SPFOS">Model!$BX$189</definedName>
    <definedName name="v_56_SPO4">Model!$AL$189</definedName>
    <definedName name="v_56_SU">Model!$L$189</definedName>
    <definedName name="v_56_SVFA">Model!$E$189</definedName>
    <definedName name="v_56_XACP">Model!$BR$189</definedName>
    <definedName name="v_56_XAHO">Model!$U$189</definedName>
    <definedName name="v_56_XALGAE">Model!$AC$189</definedName>
    <definedName name="v_56_XAMETO">Model!$AA$189</definedName>
    <definedName name="v_56_XAMX">Model!$Z$189</definedName>
    <definedName name="v_56_XAOB">Model!$X$189</definedName>
    <definedName name="v_56_XB">Model!$J$189</definedName>
    <definedName name="v_56_XB_e">Model!$K$189</definedName>
    <definedName name="v_56_XBSH">Model!$BS$189</definedName>
    <definedName name="v_56_XCaCO3">Model!$BQ$189</definedName>
    <definedName name="v_56_XCASTO">Model!$V$189</definedName>
    <definedName name="v_56_XE">Model!$R$189</definedName>
    <definedName name="v_56_XE_ana">Model!$S$189</definedName>
    <definedName name="v_56_XHAO_H">Model!$BJ$189</definedName>
    <definedName name="v_56_XHAO_H_P">Model!$BM$189</definedName>
    <definedName name="v_56_XHAO_H_P_old">Model!$BO$189</definedName>
    <definedName name="v_56_XHAO_L">Model!$BK$189</definedName>
    <definedName name="v_56_XHAO_L_P">Model!$BN$189</definedName>
    <definedName name="v_56_XHAO_L_P_old">Model!$BP$189</definedName>
    <definedName name="v_56_XHAO_old">Model!$BL$189</definedName>
    <definedName name="v_56_XHFO_H">Model!$BC$189</definedName>
    <definedName name="v_56_XHFO_H_P">Model!$BF$189</definedName>
    <definedName name="v_56_XHFO_H_P_old">Model!$BH$189</definedName>
    <definedName name="v_56_XHFO_L">Model!$BD$189</definedName>
    <definedName name="v_56_XHFO_L_P">Model!$BG$189</definedName>
    <definedName name="v_56_XHFO_L_P_old">Model!$BI$189</definedName>
    <definedName name="v_56_XHFO_old">Model!$BE$189</definedName>
    <definedName name="v_56_XHMETO">Model!$AB$189</definedName>
    <definedName name="v_56_XINORG">Model!$AV$189</definedName>
    <definedName name="v_56_XMEOLO">Model!$W$189</definedName>
    <definedName name="v_56_XN_B">Model!$AI$189</definedName>
    <definedName name="v_56_XN_Be">Model!$AJ$189</definedName>
    <definedName name="v_56_XN_U">Model!$AK$189</definedName>
    <definedName name="v_56_XNOB">Model!$Y$189</definedName>
    <definedName name="v_56_XOHO">Model!$T$189</definedName>
    <definedName name="v_56_XP_B">Model!$AO$189</definedName>
    <definedName name="v_56_XP_Be">Model!$AP$189</definedName>
    <definedName name="v_56_XP_U">Model!$AQ$189</definedName>
    <definedName name="v_56_XPFOA">Model!$BW$189</definedName>
    <definedName name="v_56_XPFOS">Model!$BY$189</definedName>
    <definedName name="v_56_XPHA_GAO">Model!$Q$189</definedName>
    <definedName name="v_56_XPHA_PAO">Model!$P$189</definedName>
    <definedName name="v_56_XPP">Model!$AM$189</definedName>
    <definedName name="v_56_XSTO">Model!$O$189</definedName>
    <definedName name="v_56_XSTR">Model!$BT$189</definedName>
    <definedName name="v_56_XU">Model!$N$189</definedName>
    <definedName name="v_56_XVivi">Model!$BU$189</definedName>
    <definedName name="v_57_CB">Model!$I$190</definedName>
    <definedName name="v_57_CU">Model!$M$190</definedName>
    <definedName name="v_57_GCH4">Model!$CD$190</definedName>
    <definedName name="v_57_GCH4_atm">Model!$CJ$190</definedName>
    <definedName name="v_57_GCO2">Model!$CC$190</definedName>
    <definedName name="v_57_GCO2_atm">Model!$CI$190</definedName>
    <definedName name="v_57_GH2">Model!$CE$190</definedName>
    <definedName name="v_57_GH2_atm">Model!$CK$190</definedName>
    <definedName name="v_57_GN2">Model!$CH$190</definedName>
    <definedName name="v_57_GN2_atm">Model!$CN$190</definedName>
    <definedName name="v_57_GNH3">Model!$CG$190</definedName>
    <definedName name="v_57_GNH3_atm">Model!$CM$190</definedName>
    <definedName name="v_57_GO2">Model!$CF$190</definedName>
    <definedName name="v_57_GO2_atm">Model!$CL$190</definedName>
    <definedName name="v_57_SALPHA">Model!$CA$190</definedName>
    <definedName name="v_57_SAN">Model!$AX$190</definedName>
    <definedName name="v_57_SB_mono">Model!$F$190</definedName>
    <definedName name="v_57_SB_poly">Model!$G$190</definedName>
    <definedName name="v_57_SCa">Model!$AY$190</definedName>
    <definedName name="v_57_SCAT">Model!$AW$190</definedName>
    <definedName name="v_57_SCH4">Model!$AS$190</definedName>
    <definedName name="v_57_SCO2">Model!$AU$190</definedName>
    <definedName name="v_57_SFe2">Model!$BB$190</definedName>
    <definedName name="v_57_SH">Model!$BZ$190</definedName>
    <definedName name="v_57_SH2">Model!$AT$190</definedName>
    <definedName name="v_57_SK">Model!$BA$190</definedName>
    <definedName name="v_57_SMEOL">Model!$H$190</definedName>
    <definedName name="v_57_SMg">Model!$AZ$190</definedName>
    <definedName name="v_57_SN_B">Model!$AH$190</definedName>
    <definedName name="v_57_SN2">Model!$AG$190</definedName>
    <definedName name="v_57_SNHx">Model!$AD$190</definedName>
    <definedName name="v_57_SNO2">Model!$AE$190</definedName>
    <definedName name="v_57_SNO3">Model!$AF$190</definedName>
    <definedName name="v_57_SO2">Model!$AR$190</definedName>
    <definedName name="v_57_SORPswitch">Model!$CB$190</definedName>
    <definedName name="v_57_SP_B">Model!$AN$190</definedName>
    <definedName name="v_57_SPFOA">Model!$BV$190</definedName>
    <definedName name="v_57_SPFOS">Model!$BX$190</definedName>
    <definedName name="v_57_SPO4">Model!$AL$190</definedName>
    <definedName name="v_57_SU">Model!$L$190</definedName>
    <definedName name="v_57_SVFA">Model!$E$190</definedName>
    <definedName name="v_57_XACP">Model!$BR$190</definedName>
    <definedName name="v_57_XAHO">Model!$U$190</definedName>
    <definedName name="v_57_XALGAE">Model!$AC$190</definedName>
    <definedName name="v_57_XAMETO">Model!$AA$190</definedName>
    <definedName name="v_57_XAMX">Model!$Z$190</definedName>
    <definedName name="v_57_XAOB">Model!$X$190</definedName>
    <definedName name="v_57_XB">Model!$J$190</definedName>
    <definedName name="v_57_XB_e">Model!$K$190</definedName>
    <definedName name="v_57_XBSH">Model!$BS$190</definedName>
    <definedName name="v_57_XCaCO3">Model!$BQ$190</definedName>
    <definedName name="v_57_XCASTO">Model!$V$190</definedName>
    <definedName name="v_57_XE">Model!$R$190</definedName>
    <definedName name="v_57_XE_ana">Model!$S$190</definedName>
    <definedName name="v_57_XHAO_H">Model!$BJ$190</definedName>
    <definedName name="v_57_XHAO_H_P">Model!$BM$190</definedName>
    <definedName name="v_57_XHAO_H_P_old">Model!$BO$190</definedName>
    <definedName name="v_57_XHAO_L">Model!$BK$190</definedName>
    <definedName name="v_57_XHAO_L_P">Model!$BN$190</definedName>
    <definedName name="v_57_XHAO_L_P_old">Model!$BP$190</definedName>
    <definedName name="v_57_XHAO_old">Model!$BL$190</definedName>
    <definedName name="v_57_XHFO_H">Model!$BC$190</definedName>
    <definedName name="v_57_XHFO_H_P">Model!$BF$190</definedName>
    <definedName name="v_57_XHFO_H_P_old">Model!$BH$190</definedName>
    <definedName name="v_57_XHFO_L">Model!$BD$190</definedName>
    <definedName name="v_57_XHFO_L_P">Model!$BG$190</definedName>
    <definedName name="v_57_XHFO_L_P_old">Model!$BI$190</definedName>
    <definedName name="v_57_XHFO_old">Model!$BE$190</definedName>
    <definedName name="v_57_XHMETO">Model!$AB$190</definedName>
    <definedName name="v_57_XINORG">Model!$AV$190</definedName>
    <definedName name="v_57_XMEOLO">Model!$W$190</definedName>
    <definedName name="v_57_XN_B">Model!$AI$190</definedName>
    <definedName name="v_57_XN_Be">Model!$AJ$190</definedName>
    <definedName name="v_57_XN_U">Model!$AK$190</definedName>
    <definedName name="v_57_XNOB">Model!$Y$190</definedName>
    <definedName name="v_57_XOHO">Model!$T$190</definedName>
    <definedName name="v_57_XP_B">Model!$AO$190</definedName>
    <definedName name="v_57_XP_Be">Model!$AP$190</definedName>
    <definedName name="v_57_XP_U">Model!$AQ$190</definedName>
    <definedName name="v_57_XPFOA">Model!$BW$190</definedName>
    <definedName name="v_57_XPFOS">Model!$BY$190</definedName>
    <definedName name="v_57_XPHA_GAO">Model!$Q$190</definedName>
    <definedName name="v_57_XPHA_PAO">Model!$P$190</definedName>
    <definedName name="v_57_XPP">Model!$AM$190</definedName>
    <definedName name="v_57_XSTO">Model!$O$190</definedName>
    <definedName name="v_57_XSTR">Model!$BT$190</definedName>
    <definedName name="v_57_XU">Model!$N$190</definedName>
    <definedName name="v_57_XVivi">Model!$BU$190</definedName>
    <definedName name="v_58_CB">Model!$I$191</definedName>
    <definedName name="v_58_CU">Model!$M$191</definedName>
    <definedName name="v_58_GCH4">Model!$CD$191</definedName>
    <definedName name="v_58_GCH4_atm">Model!$CJ$191</definedName>
    <definedName name="v_58_GCO2">Model!$CC$191</definedName>
    <definedName name="v_58_GCO2_atm">Model!$CI$191</definedName>
    <definedName name="v_58_GH2">Model!$CE$191</definedName>
    <definedName name="v_58_GH2_atm">Model!$CK$191</definedName>
    <definedName name="v_58_GN2">Model!$CH$191</definedName>
    <definedName name="v_58_GN2_atm">Model!$CN$191</definedName>
    <definedName name="v_58_GNH3">Model!$CG$191</definedName>
    <definedName name="v_58_GNH3_atm">Model!$CM$191</definedName>
    <definedName name="v_58_GO2">Model!$CF$191</definedName>
    <definedName name="v_58_GO2_atm">Model!$CL$191</definedName>
    <definedName name="v_58_SALPHA">Model!$CA$191</definedName>
    <definedName name="v_58_SAN">Model!$AX$191</definedName>
    <definedName name="v_58_SB_mono">Model!$F$191</definedName>
    <definedName name="v_58_SB_poly">Model!$G$191</definedName>
    <definedName name="v_58_SCa">Model!$AY$191</definedName>
    <definedName name="v_58_SCAT">Model!$AW$191</definedName>
    <definedName name="v_58_SCH4">Model!$AS$191</definedName>
    <definedName name="v_58_SCO2">Model!$AU$191</definedName>
    <definedName name="v_58_SFe2">Model!$BB$191</definedName>
    <definedName name="v_58_SH">Model!$BZ$191</definedName>
    <definedName name="v_58_SH2">Model!$AT$191</definedName>
    <definedName name="v_58_SK">Model!$BA$191</definedName>
    <definedName name="v_58_SMEOL">Model!$H$191</definedName>
    <definedName name="v_58_SMg">Model!$AZ$191</definedName>
    <definedName name="v_58_SN_B">Model!$AH$191</definedName>
    <definedName name="v_58_SN2">Model!$AG$191</definedName>
    <definedName name="v_58_SNHx">Model!$AD$191</definedName>
    <definedName name="v_58_SNO2">Model!$AE$191</definedName>
    <definedName name="v_58_SNO3">Model!$AF$191</definedName>
    <definedName name="v_58_SO2">Model!$AR$191</definedName>
    <definedName name="v_58_SORPswitch">Model!$CB$191</definedName>
    <definedName name="v_58_SP_B">Model!$AN$191</definedName>
    <definedName name="v_58_SPFOA">Model!$BV$191</definedName>
    <definedName name="v_58_SPFOS">Model!$BX$191</definedName>
    <definedName name="v_58_SPO4">Model!$AL$191</definedName>
    <definedName name="v_58_SU">Model!$L$191</definedName>
    <definedName name="v_58_SVFA">Model!$E$191</definedName>
    <definedName name="v_58_XACP">Model!$BR$191</definedName>
    <definedName name="v_58_XAHO">Model!$U$191</definedName>
    <definedName name="v_58_XALGAE">Model!$AC$191</definedName>
    <definedName name="v_58_XAMETO">Model!$AA$191</definedName>
    <definedName name="v_58_XAMX">Model!$Z$191</definedName>
    <definedName name="v_58_XAOB">Model!$X$191</definedName>
    <definedName name="v_58_XB">Model!$J$191</definedName>
    <definedName name="v_58_XB_e">Model!$K$191</definedName>
    <definedName name="v_58_XBSH">Model!$BS$191</definedName>
    <definedName name="v_58_XCaCO3">Model!$BQ$191</definedName>
    <definedName name="v_58_XCASTO">Model!$V$191</definedName>
    <definedName name="v_58_XE">Model!$R$191</definedName>
    <definedName name="v_58_XE_ana">Model!$S$191</definedName>
    <definedName name="v_58_XHAO_H">Model!$BJ$191</definedName>
    <definedName name="v_58_XHAO_H_P">Model!$BM$191</definedName>
    <definedName name="v_58_XHAO_H_P_old">Model!$BO$191</definedName>
    <definedName name="v_58_XHAO_L">Model!$BK$191</definedName>
    <definedName name="v_58_XHAO_L_P">Model!$BN$191</definedName>
    <definedName name="v_58_XHAO_L_P_old">Model!$BP$191</definedName>
    <definedName name="v_58_XHAO_old">Model!$BL$191</definedName>
    <definedName name="v_58_XHFO_H">Model!$BC$191</definedName>
    <definedName name="v_58_XHFO_H_P">Model!$BF$191</definedName>
    <definedName name="v_58_XHFO_H_P_old">Model!$BH$191</definedName>
    <definedName name="v_58_XHFO_L">Model!$BD$191</definedName>
    <definedName name="v_58_XHFO_L_P">Model!$BG$191</definedName>
    <definedName name="v_58_XHFO_L_P_old">Model!$BI$191</definedName>
    <definedName name="v_58_XHFO_old">Model!$BE$191</definedName>
    <definedName name="v_58_XHMETO">Model!$AB$191</definedName>
    <definedName name="v_58_XINORG">Model!$AV$191</definedName>
    <definedName name="v_58_XMEOLO">Model!$W$191</definedName>
    <definedName name="v_58_XN_B">Model!$AI$191</definedName>
    <definedName name="v_58_XN_Be">Model!$AJ$191</definedName>
    <definedName name="v_58_XN_U">Model!$AK$191</definedName>
    <definedName name="v_58_XNOB">Model!$Y$191</definedName>
    <definedName name="v_58_XOHO">Model!$T$191</definedName>
    <definedName name="v_58_XP_B">Model!$AO$191</definedName>
    <definedName name="v_58_XP_Be">Model!$AP$191</definedName>
    <definedName name="v_58_XP_U">Model!$AQ$191</definedName>
    <definedName name="v_58_XPFOA">Model!$BW$191</definedName>
    <definedName name="v_58_XPFOS">Model!$BY$191</definedName>
    <definedName name="v_58_XPHA_GAO">Model!$Q$191</definedName>
    <definedName name="v_58_XPHA_PAO">Model!$P$191</definedName>
    <definedName name="v_58_XPP">Model!$AM$191</definedName>
    <definedName name="v_58_XSTO">Model!$O$191</definedName>
    <definedName name="v_58_XSTR">Model!$BT$191</definedName>
    <definedName name="v_58_XU">Model!$N$191</definedName>
    <definedName name="v_58_XVivi">Model!$BU$191</definedName>
    <definedName name="v_59_CB">Model!$I$192</definedName>
    <definedName name="v_59_CU">Model!$M$192</definedName>
    <definedName name="v_59_GCH4">Model!$CD$192</definedName>
    <definedName name="v_59_GCH4_atm">Model!$CJ$192</definedName>
    <definedName name="v_59_GCO2">Model!$CC$192</definedName>
    <definedName name="v_59_GCO2_atm">Model!$CI$192</definedName>
    <definedName name="v_59_GH2">Model!$CE$192</definedName>
    <definedName name="v_59_GH2_atm">Model!$CK$192</definedName>
    <definedName name="v_59_GN2">Model!$CH$192</definedName>
    <definedName name="v_59_GN2_atm">Model!$CN$192</definedName>
    <definedName name="v_59_GNH3">Model!$CG$192</definedName>
    <definedName name="v_59_GNH3_atm">Model!$CM$192</definedName>
    <definedName name="v_59_GO2">Model!$CF$192</definedName>
    <definedName name="v_59_GO2_atm">Model!$CL$192</definedName>
    <definedName name="v_59_SALPHA">Model!$CA$192</definedName>
    <definedName name="v_59_SAN">Model!$AX$192</definedName>
    <definedName name="v_59_SB_mono">Model!$F$192</definedName>
    <definedName name="v_59_SB_poly">Model!$G$192</definedName>
    <definedName name="v_59_SCa">Model!$AY$192</definedName>
    <definedName name="v_59_SCAT">Model!$AW$192</definedName>
    <definedName name="v_59_SCH4">Model!$AS$192</definedName>
    <definedName name="v_59_SCO2">Model!$AU$192</definedName>
    <definedName name="v_59_SFe2">Model!$BB$192</definedName>
    <definedName name="v_59_SH">Model!$BZ$192</definedName>
    <definedName name="v_59_SH2">Model!$AT$192</definedName>
    <definedName name="v_59_SK">Model!$BA$192</definedName>
    <definedName name="v_59_SMEOL">Model!$H$192</definedName>
    <definedName name="v_59_SMg">Model!$AZ$192</definedName>
    <definedName name="v_59_SN_B">Model!$AH$192</definedName>
    <definedName name="v_59_SN2">Model!$AG$192</definedName>
    <definedName name="v_59_SNHx">Model!$AD$192</definedName>
    <definedName name="v_59_SNO2">Model!$AE$192</definedName>
    <definedName name="v_59_SNO3">Model!$AF$192</definedName>
    <definedName name="v_59_SO2">Model!$AR$192</definedName>
    <definedName name="v_59_SORPswitch">Model!$CB$192</definedName>
    <definedName name="v_59_SP_B">Model!$AN$192</definedName>
    <definedName name="v_59_SPFOA">Model!$BV$192</definedName>
    <definedName name="v_59_SPFOS">Model!$BX$192</definedName>
    <definedName name="v_59_SPO4">Model!$AL$192</definedName>
    <definedName name="v_59_SU">Model!$L$192</definedName>
    <definedName name="v_59_SVFA">Model!$E$192</definedName>
    <definedName name="v_59_XACP">Model!$BR$192</definedName>
    <definedName name="v_59_XAHO">Model!$U$192</definedName>
    <definedName name="v_59_XALGAE">Model!$AC$192</definedName>
    <definedName name="v_59_XAMETO">Model!$AA$192</definedName>
    <definedName name="v_59_XAMX">Model!$Z$192</definedName>
    <definedName name="v_59_XAOB">Model!$X$192</definedName>
    <definedName name="v_59_XB">Model!$J$192</definedName>
    <definedName name="v_59_XB_e">Model!$K$192</definedName>
    <definedName name="v_59_XBSH">Model!$BS$192</definedName>
    <definedName name="v_59_XCaCO3">Model!$BQ$192</definedName>
    <definedName name="v_59_XCASTO">Model!$V$192</definedName>
    <definedName name="v_59_XE">Model!$R$192</definedName>
    <definedName name="v_59_XE_ana">Model!$S$192</definedName>
    <definedName name="v_59_XHAO_H">Model!$BJ$192</definedName>
    <definedName name="v_59_XHAO_H_P">Model!$BM$192</definedName>
    <definedName name="v_59_XHAO_H_P_old">Model!$BO$192</definedName>
    <definedName name="v_59_XHAO_L">Model!$BK$192</definedName>
    <definedName name="v_59_XHAO_L_P">Model!$BN$192</definedName>
    <definedName name="v_59_XHAO_L_P_old">Model!$BP$192</definedName>
    <definedName name="v_59_XHAO_old">Model!$BL$192</definedName>
    <definedName name="v_59_XHFO_H">Model!$BC$192</definedName>
    <definedName name="v_59_XHFO_H_P">Model!$BF$192</definedName>
    <definedName name="v_59_XHFO_H_P_old">Model!$BH$192</definedName>
    <definedName name="v_59_XHFO_L">Model!$BD$192</definedName>
    <definedName name="v_59_XHFO_L_P">Model!$BG$192</definedName>
    <definedName name="v_59_XHFO_L_P_old">Model!$BI$192</definedName>
    <definedName name="v_59_XHFO_old">Model!$BE$192</definedName>
    <definedName name="v_59_XHMETO">Model!$AB$192</definedName>
    <definedName name="v_59_XINORG">Model!$AV$192</definedName>
    <definedName name="v_59_XMEOLO">Model!$W$192</definedName>
    <definedName name="v_59_XN_B">Model!$AI$192</definedName>
    <definedName name="v_59_XN_Be">Model!$AJ$192</definedName>
    <definedName name="v_59_XN_U">Model!$AK$192</definedName>
    <definedName name="v_59_XNOB">Model!$Y$192</definedName>
    <definedName name="v_59_XOHO">Model!$T$192</definedName>
    <definedName name="v_59_XP_B">Model!$AO$192</definedName>
    <definedName name="v_59_XP_Be">Model!$AP$192</definedName>
    <definedName name="v_59_XP_U">Model!$AQ$192</definedName>
    <definedName name="v_59_XPFOA">Model!$BW$192</definedName>
    <definedName name="v_59_XPFOS">Model!$BY$192</definedName>
    <definedName name="v_59_XPHA_GAO">Model!$Q$192</definedName>
    <definedName name="v_59_XPHA_PAO">Model!$P$192</definedName>
    <definedName name="v_59_XPP">Model!$AM$192</definedName>
    <definedName name="v_59_XSTO">Model!$O$192</definedName>
    <definedName name="v_59_XSTR">Model!$BT$192</definedName>
    <definedName name="v_59_XU">Model!$N$192</definedName>
    <definedName name="v_59_XVivi">Model!$BU$192</definedName>
    <definedName name="v_6_CB">Model!$I$139</definedName>
    <definedName name="v_6_CU">Model!$M$139</definedName>
    <definedName name="v_6_GCH4">Model!$CD$139</definedName>
    <definedName name="v_6_GCH4_atm">Model!$CJ$139</definedName>
    <definedName name="v_6_GCO2">Model!$CC$139</definedName>
    <definedName name="v_6_GCO2_atm">Model!$CI$139</definedName>
    <definedName name="v_6_GH2">Model!$CE$139</definedName>
    <definedName name="v_6_GH2_atm">Model!$CK$139</definedName>
    <definedName name="v_6_GN2">Model!$CH$139</definedName>
    <definedName name="v_6_GN2_atm">Model!$CN$139</definedName>
    <definedName name="v_6_GNH3">Model!$CG$139</definedName>
    <definedName name="v_6_GNH3_atm">Model!$CM$139</definedName>
    <definedName name="v_6_GO2">Model!$CF$139</definedName>
    <definedName name="v_6_GO2_atm">Model!$CL$139</definedName>
    <definedName name="v_6_SALPHA">Model!$CA$139</definedName>
    <definedName name="v_6_SAN">Model!$AX$139</definedName>
    <definedName name="v_6_SB_mono">Model!$F$139</definedName>
    <definedName name="v_6_SB_poly">Model!$G$139</definedName>
    <definedName name="v_6_SCa">Model!$AY$139</definedName>
    <definedName name="v_6_SCAT">Model!$AW$139</definedName>
    <definedName name="v_6_SCH4">Model!$AS$139</definedName>
    <definedName name="v_6_SCO2">Model!$AU$139</definedName>
    <definedName name="v_6_SFe2">Model!$BB$139</definedName>
    <definedName name="v_6_SH">Model!$BZ$139</definedName>
    <definedName name="v_6_SH2">Model!$AT$139</definedName>
    <definedName name="v_6_SK">Model!$BA$139</definedName>
    <definedName name="v_6_SMEOL">Model!$H$139</definedName>
    <definedName name="v_6_SMg">Model!$AZ$139</definedName>
    <definedName name="v_6_SN_B">Model!$AH$139</definedName>
    <definedName name="v_6_SN2">Model!$AG$139</definedName>
    <definedName name="v_6_SNHx">Model!$AD$139</definedName>
    <definedName name="v_6_SNO2">Model!$AE$139</definedName>
    <definedName name="v_6_SNO3">Model!$AF$139</definedName>
    <definedName name="v_6_SO2">Model!$AR$139</definedName>
    <definedName name="v_6_SORPswitch">Model!$CB$139</definedName>
    <definedName name="v_6_SP_B">Model!$AN$139</definedName>
    <definedName name="v_6_SPFOA">Model!$BV$139</definedName>
    <definedName name="v_6_SPFOS">Model!$BX$139</definedName>
    <definedName name="v_6_SPO4">Model!$AL$139</definedName>
    <definedName name="v_6_SU">Model!$L$139</definedName>
    <definedName name="v_6_SVFA">Model!$E$139</definedName>
    <definedName name="v_6_XACP">Model!$BR$139</definedName>
    <definedName name="v_6_XAHO">Model!$U$139</definedName>
    <definedName name="v_6_XALGAE">Model!$AC$139</definedName>
    <definedName name="v_6_XAMETO">Model!$AA$139</definedName>
    <definedName name="v_6_XAMX">Model!$Z$139</definedName>
    <definedName name="v_6_XAOB">Model!$X$139</definedName>
    <definedName name="v_6_XB">Model!$J$139</definedName>
    <definedName name="v_6_XB_e">Model!$K$139</definedName>
    <definedName name="v_6_XBSH">Model!$BS$139</definedName>
    <definedName name="v_6_XCaCO3">Model!$BQ$139</definedName>
    <definedName name="v_6_XCASTO">Model!$V$139</definedName>
    <definedName name="v_6_XE">Model!$R$139</definedName>
    <definedName name="v_6_XE_ana">Model!$S$139</definedName>
    <definedName name="v_6_XHAO_H">Model!$BJ$139</definedName>
    <definedName name="v_6_XHAO_H_P">Model!$BM$139</definedName>
    <definedName name="v_6_XHAO_H_P_old">Model!$BO$139</definedName>
    <definedName name="v_6_XHAO_L">Model!$BK$139</definedName>
    <definedName name="v_6_XHAO_L_P">Model!$BN$139</definedName>
    <definedName name="v_6_XHAO_L_P_old">Model!$BP$139</definedName>
    <definedName name="v_6_XHAO_old">Model!$BL$139</definedName>
    <definedName name="v_6_XHFO_H">Model!$BC$139</definedName>
    <definedName name="v_6_XHFO_H_P">Model!$BF$139</definedName>
    <definedName name="v_6_XHFO_H_P_old">Model!$BH$139</definedName>
    <definedName name="v_6_XHFO_L">Model!$BD$139</definedName>
    <definedName name="v_6_XHFO_L_P">Model!$BG$139</definedName>
    <definedName name="v_6_XHFO_L_P_old">Model!$BI$139</definedName>
    <definedName name="v_6_XHFO_old">Model!$BE$139</definedName>
    <definedName name="v_6_XHMETO">Model!$AB$139</definedName>
    <definedName name="v_6_XINORG">Model!$AV$139</definedName>
    <definedName name="v_6_XMEOLO">Model!$W$139</definedName>
    <definedName name="v_6_XN_B">Model!$AI$139</definedName>
    <definedName name="v_6_XN_Be">Model!$AJ$139</definedName>
    <definedName name="v_6_XN_U">Model!$AK$139</definedName>
    <definedName name="v_6_XNOB">Model!$Y$139</definedName>
    <definedName name="v_6_XOHO">Model!$T$139</definedName>
    <definedName name="v_6_XP_B">Model!$AO$139</definedName>
    <definedName name="v_6_XP_Be">Model!$AP$139</definedName>
    <definedName name="v_6_XP_U">Model!$AQ$139</definedName>
    <definedName name="v_6_XPFOA">Model!$BW$139</definedName>
    <definedName name="v_6_XPFOS">Model!$BY$139</definedName>
    <definedName name="v_6_XPHA_GAO">Model!$Q$139</definedName>
    <definedName name="v_6_XPHA_PAO">Model!$P$139</definedName>
    <definedName name="v_6_XPP">Model!$AM$139</definedName>
    <definedName name="v_6_XSTO">Model!$O$139</definedName>
    <definedName name="v_6_XSTR">Model!$BT$139</definedName>
    <definedName name="v_6_XU">Model!$N$139</definedName>
    <definedName name="v_6_XVivi">Model!$BU$139</definedName>
    <definedName name="v_60_CB">Model!$I$193</definedName>
    <definedName name="v_60_CU">Model!$M$193</definedName>
    <definedName name="v_60_GCH4">Model!$CD$193</definedName>
    <definedName name="v_60_GCH4_atm">Model!$CJ$193</definedName>
    <definedName name="v_60_GCO2">Model!$CC$193</definedName>
    <definedName name="v_60_GCO2_atm">Model!$CI$193</definedName>
    <definedName name="v_60_GH2">Model!$CE$193</definedName>
    <definedName name="v_60_GH2_atm">Model!$CK$193</definedName>
    <definedName name="v_60_GN2">Model!$CH$193</definedName>
    <definedName name="v_60_GN2_atm">Model!$CN$193</definedName>
    <definedName name="v_60_GNH3">Model!$CG$193</definedName>
    <definedName name="v_60_GNH3_atm">Model!$CM$193</definedName>
    <definedName name="v_60_GO2">Model!$CF$193</definedName>
    <definedName name="v_60_GO2_atm">Model!$CL$193</definedName>
    <definedName name="v_60_SALPHA">Model!$CA$193</definedName>
    <definedName name="v_60_SAN">Model!$AX$193</definedName>
    <definedName name="v_60_SB_mono">Model!$F$193</definedName>
    <definedName name="v_60_SB_poly">Model!$G$193</definedName>
    <definedName name="v_60_SCa">Model!$AY$193</definedName>
    <definedName name="v_60_SCAT">Model!$AW$193</definedName>
    <definedName name="v_60_SCH4">Model!$AS$193</definedName>
    <definedName name="v_60_SCO2">Model!$AU$193</definedName>
    <definedName name="v_60_SFe2">Model!$BB$193</definedName>
    <definedName name="v_60_SH">Model!$BZ$193</definedName>
    <definedName name="v_60_SH2">Model!$AT$193</definedName>
    <definedName name="v_60_SK">Model!$BA$193</definedName>
    <definedName name="v_60_SMEOL">Model!$H$193</definedName>
    <definedName name="v_60_SMg">Model!$AZ$193</definedName>
    <definedName name="v_60_SN_B">Model!$AH$193</definedName>
    <definedName name="v_60_SN2">Model!$AG$193</definedName>
    <definedName name="v_60_SNHx">Model!$AD$193</definedName>
    <definedName name="v_60_SNO2">Model!$AE$193</definedName>
    <definedName name="v_60_SNO3">Model!$AF$193</definedName>
    <definedName name="v_60_SO2">Model!$AR$193</definedName>
    <definedName name="v_60_SORPswitch">Model!$CB$193</definedName>
    <definedName name="v_60_SP_B">Model!$AN$193</definedName>
    <definedName name="v_60_SPFOA">Model!$BV$193</definedName>
    <definedName name="v_60_SPFOS">Model!$BX$193</definedName>
    <definedName name="v_60_SPO4">Model!$AL$193</definedName>
    <definedName name="v_60_SU">Model!$L$193</definedName>
    <definedName name="v_60_SVFA">Model!$E$193</definedName>
    <definedName name="v_60_XACP">Model!$BR$193</definedName>
    <definedName name="v_60_XAHO">Model!$U$193</definedName>
    <definedName name="v_60_XALGAE">Model!$AC$193</definedName>
    <definedName name="v_60_XAMETO">Model!$AA$193</definedName>
    <definedName name="v_60_XAMX">Model!$Z$193</definedName>
    <definedName name="v_60_XAOB">Model!$X$193</definedName>
    <definedName name="v_60_XB">Model!$J$193</definedName>
    <definedName name="v_60_XB_e">Model!$K$193</definedName>
    <definedName name="v_60_XBSH">Model!$BS$193</definedName>
    <definedName name="v_60_XCaCO3">Model!$BQ$193</definedName>
    <definedName name="v_60_XCASTO">Model!$V$193</definedName>
    <definedName name="v_60_XE">Model!$R$193</definedName>
    <definedName name="v_60_XE_ana">Model!$S$193</definedName>
    <definedName name="v_60_XHAO_H">Model!$BJ$193</definedName>
    <definedName name="v_60_XHAO_H_P">Model!$BM$193</definedName>
    <definedName name="v_60_XHAO_H_P_old">Model!$BO$193</definedName>
    <definedName name="v_60_XHAO_L">Model!$BK$193</definedName>
    <definedName name="v_60_XHAO_L_P">Model!$BN$193</definedName>
    <definedName name="v_60_XHAO_L_P_old">Model!$BP$193</definedName>
    <definedName name="v_60_XHAO_old">Model!$BL$193</definedName>
    <definedName name="v_60_XHFO_H">Model!$BC$193</definedName>
    <definedName name="v_60_XHFO_H_P">Model!$BF$193</definedName>
    <definedName name="v_60_XHFO_H_P_old">Model!$BH$193</definedName>
    <definedName name="v_60_XHFO_L">Model!$BD$193</definedName>
    <definedName name="v_60_XHFO_L_P">Model!$BG$193</definedName>
    <definedName name="v_60_XHFO_L_P_old">Model!$BI$193</definedName>
    <definedName name="v_60_XHFO_old">Model!$BE$193</definedName>
    <definedName name="v_60_XHMETO">Model!$AB$193</definedName>
    <definedName name="v_60_XINORG">Model!$AV$193</definedName>
    <definedName name="v_60_XMEOLO">Model!$W$193</definedName>
    <definedName name="v_60_XN_B">Model!$AI$193</definedName>
    <definedName name="v_60_XN_Be">Model!$AJ$193</definedName>
    <definedName name="v_60_XN_U">Model!$AK$193</definedName>
    <definedName name="v_60_XNOB">Model!$Y$193</definedName>
    <definedName name="v_60_XOHO">Model!$T$193</definedName>
    <definedName name="v_60_XP_B">Model!$AO$193</definedName>
    <definedName name="v_60_XP_Be">Model!$AP$193</definedName>
    <definedName name="v_60_XP_U">Model!$AQ$193</definedName>
    <definedName name="v_60_XPFOA">Model!$BW$193</definedName>
    <definedName name="v_60_XPFOS">Model!$BY$193</definedName>
    <definedName name="v_60_XPHA_GAO">Model!$Q$193</definedName>
    <definedName name="v_60_XPHA_PAO">Model!$P$193</definedName>
    <definedName name="v_60_XPP">Model!$AM$193</definedName>
    <definedName name="v_60_XSTO">Model!$O$193</definedName>
    <definedName name="v_60_XSTR">Model!$BT$193</definedName>
    <definedName name="v_60_XU">Model!$N$193</definedName>
    <definedName name="v_60_XVivi">Model!$BU$193</definedName>
    <definedName name="v_61_CB">Model!$I$194</definedName>
    <definedName name="v_61_CU">Model!$M$194</definedName>
    <definedName name="v_61_GCH4">Model!$CD$194</definedName>
    <definedName name="v_61_GCH4_atm">Model!$CJ$194</definedName>
    <definedName name="v_61_GCO2">Model!$CC$194</definedName>
    <definedName name="v_61_GCO2_atm">Model!$CI$194</definedName>
    <definedName name="v_61_GH2">Model!$CE$194</definedName>
    <definedName name="v_61_GH2_atm">Model!$CK$194</definedName>
    <definedName name="v_61_GN2">Model!$CH$194</definedName>
    <definedName name="v_61_GN2_atm">Model!$CN$194</definedName>
    <definedName name="v_61_GNH3">Model!$CG$194</definedName>
    <definedName name="v_61_GNH3_atm">Model!$CM$194</definedName>
    <definedName name="v_61_GO2">Model!$CF$194</definedName>
    <definedName name="v_61_GO2_atm">Model!$CL$194</definedName>
    <definedName name="v_61_SALPHA">Model!$CA$194</definedName>
    <definedName name="v_61_SAN">Model!$AX$194</definedName>
    <definedName name="v_61_SB_mono">Model!$F$194</definedName>
    <definedName name="v_61_SB_poly">Model!$G$194</definedName>
    <definedName name="v_61_SCa">Model!$AY$194</definedName>
    <definedName name="v_61_SCAT">Model!$AW$194</definedName>
    <definedName name="v_61_SCH4">Model!$AS$194</definedName>
    <definedName name="v_61_SCO2">Model!$AU$194</definedName>
    <definedName name="v_61_SFe2">Model!$BB$194</definedName>
    <definedName name="v_61_SH">Model!$BZ$194</definedName>
    <definedName name="v_61_SH2">Model!$AT$194</definedName>
    <definedName name="v_61_SK">Model!$BA$194</definedName>
    <definedName name="v_61_SMEOL">Model!$H$194</definedName>
    <definedName name="v_61_SMg">Model!$AZ$194</definedName>
    <definedName name="v_61_SN_B">Model!$AH$194</definedName>
    <definedName name="v_61_SN2">Model!$AG$194</definedName>
    <definedName name="v_61_SNHx">Model!$AD$194</definedName>
    <definedName name="v_61_SNO2">Model!$AE$194</definedName>
    <definedName name="v_61_SNO3">Model!$AF$194</definedName>
    <definedName name="v_61_SO2">Model!$AR$194</definedName>
    <definedName name="v_61_SORPswitch">Model!$CB$194</definedName>
    <definedName name="v_61_SP_B">Model!$AN$194</definedName>
    <definedName name="v_61_SPFOA">Model!$BV$194</definedName>
    <definedName name="v_61_SPFOS">Model!$BX$194</definedName>
    <definedName name="v_61_SPO4">Model!$AL$194</definedName>
    <definedName name="v_61_SU">Model!$L$194</definedName>
    <definedName name="v_61_SVFA">Model!$E$194</definedName>
    <definedName name="v_61_XACP">Model!$BR$194</definedName>
    <definedName name="v_61_XAHO">Model!$U$194</definedName>
    <definedName name="v_61_XALGAE">Model!$AC$194</definedName>
    <definedName name="v_61_XAMETO">Model!$AA$194</definedName>
    <definedName name="v_61_XAMX">Model!$Z$194</definedName>
    <definedName name="v_61_XAOB">Model!$X$194</definedName>
    <definedName name="v_61_XB">Model!$J$194</definedName>
    <definedName name="v_61_XB_e">Model!$K$194</definedName>
    <definedName name="v_61_XBSH">Model!$BS$194</definedName>
    <definedName name="v_61_XCaCO3">Model!$BQ$194</definedName>
    <definedName name="v_61_XCASTO">Model!$V$194</definedName>
    <definedName name="v_61_XE">Model!$R$194</definedName>
    <definedName name="v_61_XE_ana">Model!$S$194</definedName>
    <definedName name="v_61_XHAO_H">Model!$BJ$194</definedName>
    <definedName name="v_61_XHAO_H_P">Model!$BM$194</definedName>
    <definedName name="v_61_XHAO_H_P_old">Model!$BO$194</definedName>
    <definedName name="v_61_XHAO_L">Model!$BK$194</definedName>
    <definedName name="v_61_XHAO_L_P">Model!$BN$194</definedName>
    <definedName name="v_61_XHAO_L_P_old">Model!$BP$194</definedName>
    <definedName name="v_61_XHAO_old">Model!$BL$194</definedName>
    <definedName name="v_61_XHFO_H">Model!$BC$194</definedName>
    <definedName name="v_61_XHFO_H_P">Model!$BF$194</definedName>
    <definedName name="v_61_XHFO_H_P_old">Model!$BH$194</definedName>
    <definedName name="v_61_XHFO_L">Model!$BD$194</definedName>
    <definedName name="v_61_XHFO_L_P">Model!$BG$194</definedName>
    <definedName name="v_61_XHFO_L_P_old">Model!$BI$194</definedName>
    <definedName name="v_61_XHFO_old">Model!$BE$194</definedName>
    <definedName name="v_61_XHMETO">Model!$AB$194</definedName>
    <definedName name="v_61_XINORG">Model!$AV$194</definedName>
    <definedName name="v_61_XMEOLO">Model!$W$194</definedName>
    <definedName name="v_61_XN_B">Model!$AI$194</definedName>
    <definedName name="v_61_XN_Be">Model!$AJ$194</definedName>
    <definedName name="v_61_XN_U">Model!$AK$194</definedName>
    <definedName name="v_61_XNOB">Model!$Y$194</definedName>
    <definedName name="v_61_XOHO">Model!$T$194</definedName>
    <definedName name="v_61_XP_B">Model!$AO$194</definedName>
    <definedName name="v_61_XP_Be">Model!$AP$194</definedName>
    <definedName name="v_61_XP_U">Model!$AQ$194</definedName>
    <definedName name="v_61_XPFOA">Model!$BW$194</definedName>
    <definedName name="v_61_XPFOS">Model!$BY$194</definedName>
    <definedName name="v_61_XPHA_GAO">Model!$Q$194</definedName>
    <definedName name="v_61_XPHA_PAO">Model!$P$194</definedName>
    <definedName name="v_61_XPP">Model!$AM$194</definedName>
    <definedName name="v_61_XSTO">Model!$O$194</definedName>
    <definedName name="v_61_XSTR">Model!$BT$194</definedName>
    <definedName name="v_61_XU">Model!$N$194</definedName>
    <definedName name="v_61_XVivi">Model!$BU$194</definedName>
    <definedName name="v_62_CB">Model!$I$195</definedName>
    <definedName name="v_62_CU">Model!$M$195</definedName>
    <definedName name="v_62_GCH4">Model!$CD$195</definedName>
    <definedName name="v_62_GCH4_atm">Model!$CJ$195</definedName>
    <definedName name="v_62_GCO2">Model!$CC$195</definedName>
    <definedName name="v_62_GCO2_atm">Model!$CI$195</definedName>
    <definedName name="v_62_GH2">Model!$CE$195</definedName>
    <definedName name="v_62_GH2_atm">Model!$CK$195</definedName>
    <definedName name="v_62_GN2">Model!$CH$195</definedName>
    <definedName name="v_62_GN2_atm">Model!$CN$195</definedName>
    <definedName name="v_62_GNH3">Model!$CG$195</definedName>
    <definedName name="v_62_GNH3_atm">Model!$CM$195</definedName>
    <definedName name="v_62_GO2">Model!$CF$195</definedName>
    <definedName name="v_62_GO2_atm">Model!$CL$195</definedName>
    <definedName name="v_62_SALPHA">Model!$CA$195</definedName>
    <definedName name="v_62_SAN">Model!$AX$195</definedName>
    <definedName name="v_62_SB_mono">Model!$F$195</definedName>
    <definedName name="v_62_SB_poly">Model!$G$195</definedName>
    <definedName name="v_62_SCa">Model!$AY$195</definedName>
    <definedName name="v_62_SCAT">Model!$AW$195</definedName>
    <definedName name="v_62_SCH4">Model!$AS$195</definedName>
    <definedName name="v_62_SCO2">Model!$AU$195</definedName>
    <definedName name="v_62_SFe2">Model!$BB$195</definedName>
    <definedName name="v_62_SH">Model!$BZ$195</definedName>
    <definedName name="v_62_SH2">Model!$AT$195</definedName>
    <definedName name="v_62_SK">Model!$BA$195</definedName>
    <definedName name="v_62_SMEOL">Model!$H$195</definedName>
    <definedName name="v_62_SMg">Model!$AZ$195</definedName>
    <definedName name="v_62_SN_B">Model!$AH$195</definedName>
    <definedName name="v_62_SN2">Model!$AG$195</definedName>
    <definedName name="v_62_SNHx">Model!$AD$195</definedName>
    <definedName name="v_62_SNO2">Model!$AE$195</definedName>
    <definedName name="v_62_SNO3">Model!$AF$195</definedName>
    <definedName name="v_62_SO2">Model!$AR$195</definedName>
    <definedName name="v_62_SORPswitch">Model!$CB$195</definedName>
    <definedName name="v_62_SP_B">Model!$AN$195</definedName>
    <definedName name="v_62_SPFOA">Model!$BV$195</definedName>
    <definedName name="v_62_SPFOS">Model!$BX$195</definedName>
    <definedName name="v_62_SPO4">Model!$AL$195</definedName>
    <definedName name="v_62_SU">Model!$L$195</definedName>
    <definedName name="v_62_SVFA">Model!$E$195</definedName>
    <definedName name="v_62_XACP">Model!$BR$195</definedName>
    <definedName name="v_62_XAHO">Model!$U$195</definedName>
    <definedName name="v_62_XALGAE">Model!$AC$195</definedName>
    <definedName name="v_62_XAMETO">Model!$AA$195</definedName>
    <definedName name="v_62_XAMX">Model!$Z$195</definedName>
    <definedName name="v_62_XAOB">Model!$X$195</definedName>
    <definedName name="v_62_XB">Model!$J$195</definedName>
    <definedName name="v_62_XB_e">Model!$K$195</definedName>
    <definedName name="v_62_XBSH">Model!$BS$195</definedName>
    <definedName name="v_62_XCaCO3">Model!$BQ$195</definedName>
    <definedName name="v_62_XCASTO">Model!$V$195</definedName>
    <definedName name="v_62_XE">Model!$R$195</definedName>
    <definedName name="v_62_XE_ana">Model!$S$195</definedName>
    <definedName name="v_62_XHAO_H">Model!$BJ$195</definedName>
    <definedName name="v_62_XHAO_H_P">Model!$BM$195</definedName>
    <definedName name="v_62_XHAO_H_P_old">Model!$BO$195</definedName>
    <definedName name="v_62_XHAO_L">Model!$BK$195</definedName>
    <definedName name="v_62_XHAO_L_P">Model!$BN$195</definedName>
    <definedName name="v_62_XHAO_L_P_old">Model!$BP$195</definedName>
    <definedName name="v_62_XHAO_old">Model!$BL$195</definedName>
    <definedName name="v_62_XHFO_H">Model!$BC$195</definedName>
    <definedName name="v_62_XHFO_H_P">Model!$BF$195</definedName>
    <definedName name="v_62_XHFO_H_P_old">Model!$BH$195</definedName>
    <definedName name="v_62_XHFO_L">Model!$BD$195</definedName>
    <definedName name="v_62_XHFO_L_P">Model!$BG$195</definedName>
    <definedName name="v_62_XHFO_L_P_old">Model!$BI$195</definedName>
    <definedName name="v_62_XHFO_old">Model!$BE$195</definedName>
    <definedName name="v_62_XHMETO">Model!$AB$195</definedName>
    <definedName name="v_62_XINORG">Model!$AV$195</definedName>
    <definedName name="v_62_XMEOLO">Model!$W$195</definedName>
    <definedName name="v_62_XN_B">Model!$AI$195</definedName>
    <definedName name="v_62_XN_Be">Model!$AJ$195</definedName>
    <definedName name="v_62_XN_U">Model!$AK$195</definedName>
    <definedName name="v_62_XNOB">Model!$Y$195</definedName>
    <definedName name="v_62_XOHO">Model!$T$195</definedName>
    <definedName name="v_62_XP_B">Model!$AO$195</definedName>
    <definedName name="v_62_XP_Be">Model!$AP$195</definedName>
    <definedName name="v_62_XP_U">Model!$AQ$195</definedName>
    <definedName name="v_62_XPFOA">Model!$BW$195</definedName>
    <definedName name="v_62_XPFOS">Model!$BY$195</definedName>
    <definedName name="v_62_XPHA_GAO">Model!$Q$195</definedName>
    <definedName name="v_62_XPHA_PAO">Model!$P$195</definedName>
    <definedName name="v_62_XPP">Model!$AM$195</definedName>
    <definedName name="v_62_XSTO">Model!$O$195</definedName>
    <definedName name="v_62_XSTR">Model!$BT$195</definedName>
    <definedName name="v_62_XU">Model!$N$195</definedName>
    <definedName name="v_62_XVivi">Model!$BU$195</definedName>
    <definedName name="v_63_CB">Model!$I$196</definedName>
    <definedName name="v_63_CU">Model!$M$196</definedName>
    <definedName name="v_63_GCH4">Model!$CD$196</definedName>
    <definedName name="v_63_GCH4_atm">Model!$CJ$196</definedName>
    <definedName name="v_63_GCO2">Model!$CC$196</definedName>
    <definedName name="v_63_GCO2_atm">Model!$CI$196</definedName>
    <definedName name="v_63_GH2">Model!$CE$196</definedName>
    <definedName name="v_63_GH2_atm">Model!$CK$196</definedName>
    <definedName name="v_63_GN2">Model!$CH$196</definedName>
    <definedName name="v_63_GN2_atm">Model!$CN$196</definedName>
    <definedName name="v_63_GNH3">Model!$CG$196</definedName>
    <definedName name="v_63_GNH3_atm">Model!$CM$196</definedName>
    <definedName name="v_63_GO2">Model!$CF$196</definedName>
    <definedName name="v_63_GO2_atm">Model!$CL$196</definedName>
    <definedName name="v_63_SALPHA">Model!$CA$196</definedName>
    <definedName name="v_63_SAN">Model!$AX$196</definedName>
    <definedName name="v_63_SB_mono">Model!$F$196</definedName>
    <definedName name="v_63_SB_poly">Model!$G$196</definedName>
    <definedName name="v_63_SCa">Model!$AY$196</definedName>
    <definedName name="v_63_SCAT">Model!$AW$196</definedName>
    <definedName name="v_63_SCH4">Model!$AS$196</definedName>
    <definedName name="v_63_SCO2">Model!$AU$196</definedName>
    <definedName name="v_63_SFe2">Model!$BB$196</definedName>
    <definedName name="v_63_SH">Model!$BZ$196</definedName>
    <definedName name="v_63_SH2">Model!$AT$196</definedName>
    <definedName name="v_63_SK">Model!$BA$196</definedName>
    <definedName name="v_63_SMEOL">Model!$H$196</definedName>
    <definedName name="v_63_SMg">Model!$AZ$196</definedName>
    <definedName name="v_63_SN_B">Model!$AH$196</definedName>
    <definedName name="v_63_SN2">Model!$AG$196</definedName>
    <definedName name="v_63_SNHx">Model!$AD$196</definedName>
    <definedName name="v_63_SNO2">Model!$AE$196</definedName>
    <definedName name="v_63_SNO3">Model!$AF$196</definedName>
    <definedName name="v_63_SO2">Model!$AR$196</definedName>
    <definedName name="v_63_SORPswitch">Model!$CB$196</definedName>
    <definedName name="v_63_SP_B">Model!$AN$196</definedName>
    <definedName name="v_63_SPFOA">Model!$BV$196</definedName>
    <definedName name="v_63_SPFOS">Model!$BX$196</definedName>
    <definedName name="v_63_SPO4">Model!$AL$196</definedName>
    <definedName name="v_63_SU">Model!$L$196</definedName>
    <definedName name="v_63_SVFA">Model!$E$196</definedName>
    <definedName name="v_63_XACP">Model!$BR$196</definedName>
    <definedName name="v_63_XAHO">Model!$U$196</definedName>
    <definedName name="v_63_XALGAE">Model!$AC$196</definedName>
    <definedName name="v_63_XAMETO">Model!$AA$196</definedName>
    <definedName name="v_63_XAMX">Model!$Z$196</definedName>
    <definedName name="v_63_XAOB">Model!$X$196</definedName>
    <definedName name="v_63_XB">Model!$J$196</definedName>
    <definedName name="v_63_XB_e">Model!$K$196</definedName>
    <definedName name="v_63_XBSH">Model!$BS$196</definedName>
    <definedName name="v_63_XCaCO3">Model!$BQ$196</definedName>
    <definedName name="v_63_XCASTO">Model!$V$196</definedName>
    <definedName name="v_63_XE">Model!$R$196</definedName>
    <definedName name="v_63_XE_ana">Model!$S$196</definedName>
    <definedName name="v_63_XHAO_H">Model!$BJ$196</definedName>
    <definedName name="v_63_XHAO_H_P">Model!$BM$196</definedName>
    <definedName name="v_63_XHAO_H_P_old">Model!$BO$196</definedName>
    <definedName name="v_63_XHAO_L">Model!$BK$196</definedName>
    <definedName name="v_63_XHAO_L_P">Model!$BN$196</definedName>
    <definedName name="v_63_XHAO_L_P_old">Model!$BP$196</definedName>
    <definedName name="v_63_XHAO_old">Model!$BL$196</definedName>
    <definedName name="v_63_XHFO_H">Model!$BC$196</definedName>
    <definedName name="v_63_XHFO_H_P">Model!$BF$196</definedName>
    <definedName name="v_63_XHFO_H_P_old">Model!$BH$196</definedName>
    <definedName name="v_63_XHFO_L">Model!$BD$196</definedName>
    <definedName name="v_63_XHFO_L_P">Model!$BG$196</definedName>
    <definedName name="v_63_XHFO_L_P_old">Model!$BI$196</definedName>
    <definedName name="v_63_XHFO_old">Model!$BE$196</definedName>
    <definedName name="v_63_XHMETO">Model!$AB$196</definedName>
    <definedName name="v_63_XINORG">Model!$AV$196</definedName>
    <definedName name="v_63_XMEOLO">Model!$W$196</definedName>
    <definedName name="v_63_XN_B">Model!$AI$196</definedName>
    <definedName name="v_63_XN_Be">Model!$AJ$196</definedName>
    <definedName name="v_63_XN_U">Model!$AK$196</definedName>
    <definedName name="v_63_XNOB">Model!$Y$196</definedName>
    <definedName name="v_63_XOHO">Model!$T$196</definedName>
    <definedName name="v_63_XP_B">Model!$AO$196</definedName>
    <definedName name="v_63_XP_Be">Model!$AP$196</definedName>
    <definedName name="v_63_XP_U">Model!$AQ$196</definedName>
    <definedName name="v_63_XPFOA">Model!$BW$196</definedName>
    <definedName name="v_63_XPFOS">Model!$BY$196</definedName>
    <definedName name="v_63_XPHA_GAO">Model!$Q$196</definedName>
    <definedName name="v_63_XPHA_PAO">Model!$P$196</definedName>
    <definedName name="v_63_XPP">Model!$AM$196</definedName>
    <definedName name="v_63_XSTO">Model!$O$196</definedName>
    <definedName name="v_63_XSTR">Model!$BT$196</definedName>
    <definedName name="v_63_XU">Model!$N$196</definedName>
    <definedName name="v_63_XVivi">Model!$BU$196</definedName>
    <definedName name="v_64_CB">Model!$I$197</definedName>
    <definedName name="v_64_CU">Model!$M$197</definedName>
    <definedName name="v_64_GCH4">Model!$CD$197</definedName>
    <definedName name="v_64_GCH4_atm">Model!$CJ$197</definedName>
    <definedName name="v_64_GCO2">Model!$CC$197</definedName>
    <definedName name="v_64_GCO2_atm">Model!$CI$197</definedName>
    <definedName name="v_64_GH2">Model!$CE$197</definedName>
    <definedName name="v_64_GH2_atm">Model!$CK$197</definedName>
    <definedName name="v_64_GN2">Model!$CH$197</definedName>
    <definedName name="v_64_GN2_atm">Model!$CN$197</definedName>
    <definedName name="v_64_GNH3">Model!$CG$197</definedName>
    <definedName name="v_64_GNH3_atm">Model!$CM$197</definedName>
    <definedName name="v_64_GO2">Model!$CF$197</definedName>
    <definedName name="v_64_GO2_atm">Model!$CL$197</definedName>
    <definedName name="v_64_SALPHA">Model!$CA$197</definedName>
    <definedName name="v_64_SAN">Model!$AX$197</definedName>
    <definedName name="v_64_SB_mono">Model!$F$197</definedName>
    <definedName name="v_64_SB_poly">Model!$G$197</definedName>
    <definedName name="v_64_SCa">Model!$AY$197</definedName>
    <definedName name="v_64_SCAT">Model!$AW$197</definedName>
    <definedName name="v_64_SCH4">Model!$AS$197</definedName>
    <definedName name="v_64_SCO2">Model!$AU$197</definedName>
    <definedName name="v_64_SFe2">Model!$BB$197</definedName>
    <definedName name="v_64_SH">Model!$BZ$197</definedName>
    <definedName name="v_64_SH2">Model!$AT$197</definedName>
    <definedName name="v_64_SK">Model!$BA$197</definedName>
    <definedName name="v_64_SMEOL">Model!$H$197</definedName>
    <definedName name="v_64_SMg">Model!$AZ$197</definedName>
    <definedName name="v_64_SN_B">Model!$AH$197</definedName>
    <definedName name="v_64_SN2">Model!$AG$197</definedName>
    <definedName name="v_64_SNHx">Model!$AD$197</definedName>
    <definedName name="v_64_SNO2">Model!$AE$197</definedName>
    <definedName name="v_64_SNO3">Model!$AF$197</definedName>
    <definedName name="v_64_SO2">Model!$AR$197</definedName>
    <definedName name="v_64_SORPswitch">Model!$CB$197</definedName>
    <definedName name="v_64_SP_B">Model!$AN$197</definedName>
    <definedName name="v_64_SPFOA">Model!$BV$197</definedName>
    <definedName name="v_64_SPFOS">Model!$BX$197</definedName>
    <definedName name="v_64_SPO4">Model!$AL$197</definedName>
    <definedName name="v_64_SU">Model!$L$197</definedName>
    <definedName name="v_64_SVFA">Model!$E$197</definedName>
    <definedName name="v_64_XACP">Model!$BR$197</definedName>
    <definedName name="v_64_XAHO">Model!$U$197</definedName>
    <definedName name="v_64_XALGAE">Model!$AC$197</definedName>
    <definedName name="v_64_XAMETO">Model!$AA$197</definedName>
    <definedName name="v_64_XAMX">Model!$Z$197</definedName>
    <definedName name="v_64_XAOB">Model!$X$197</definedName>
    <definedName name="v_64_XB">Model!$J$197</definedName>
    <definedName name="v_64_XB_e">Model!$K$197</definedName>
    <definedName name="v_64_XBSH">Model!$BS$197</definedName>
    <definedName name="v_64_XCaCO3">Model!$BQ$197</definedName>
    <definedName name="v_64_XCASTO">Model!$V$197</definedName>
    <definedName name="v_64_XE">Model!$R$197</definedName>
    <definedName name="v_64_XE_ana">Model!$S$197</definedName>
    <definedName name="v_64_XHAO_H">Model!$BJ$197</definedName>
    <definedName name="v_64_XHAO_H_P">Model!$BM$197</definedName>
    <definedName name="v_64_XHAO_H_P_old">Model!$BO$197</definedName>
    <definedName name="v_64_XHAO_L">Model!$BK$197</definedName>
    <definedName name="v_64_XHAO_L_P">Model!$BN$197</definedName>
    <definedName name="v_64_XHAO_L_P_old">Model!$BP$197</definedName>
    <definedName name="v_64_XHAO_old">Model!$BL$197</definedName>
    <definedName name="v_64_XHFO_H">Model!$BC$197</definedName>
    <definedName name="v_64_XHFO_H_P">Model!$BF$197</definedName>
    <definedName name="v_64_XHFO_H_P_old">Model!$BH$197</definedName>
    <definedName name="v_64_XHFO_L">Model!$BD$197</definedName>
    <definedName name="v_64_XHFO_L_P">Model!$BG$197</definedName>
    <definedName name="v_64_XHFO_L_P_old">Model!$BI$197</definedName>
    <definedName name="v_64_XHFO_old">Model!$BE$197</definedName>
    <definedName name="v_64_XHMETO">Model!$AB$197</definedName>
    <definedName name="v_64_XINORG">Model!$AV$197</definedName>
    <definedName name="v_64_XMEOLO">Model!$W$197</definedName>
    <definedName name="v_64_XN_B">Model!$AI$197</definedName>
    <definedName name="v_64_XN_Be">Model!$AJ$197</definedName>
    <definedName name="v_64_XN_U">Model!$AK$197</definedName>
    <definedName name="v_64_XNOB">Model!$Y$197</definedName>
    <definedName name="v_64_XOHO">Model!$T$197</definedName>
    <definedName name="v_64_XP_B">Model!$AO$197</definedName>
    <definedName name="v_64_XP_Be">Model!$AP$197</definedName>
    <definedName name="v_64_XP_U">Model!$AQ$197</definedName>
    <definedName name="v_64_XPFOA">Model!$BW$197</definedName>
    <definedName name="v_64_XPFOS">Model!$BY$197</definedName>
    <definedName name="v_64_XPHA_GAO">Model!$Q$197</definedName>
    <definedName name="v_64_XPHA_PAO">Model!$P$197</definedName>
    <definedName name="v_64_XPP">Model!$AM$197</definedName>
    <definedName name="v_64_XSTO">Model!$O$197</definedName>
    <definedName name="v_64_XSTR">Model!$BT$197</definedName>
    <definedName name="v_64_XU">Model!$N$197</definedName>
    <definedName name="v_64_XVivi">Model!$BU$197</definedName>
    <definedName name="v_65_CB">Model!$I$198</definedName>
    <definedName name="v_65_CU">Model!$M$198</definedName>
    <definedName name="v_65_GCH4">Model!$CD$198</definedName>
    <definedName name="v_65_GCH4_atm">Model!$CJ$198</definedName>
    <definedName name="v_65_GCO2">Model!$CC$198</definedName>
    <definedName name="v_65_GCO2_atm">Model!$CI$198</definedName>
    <definedName name="v_65_GH2">Model!$CE$198</definedName>
    <definedName name="v_65_GH2_atm">Model!$CK$198</definedName>
    <definedName name="v_65_GN2">Model!$CH$198</definedName>
    <definedName name="v_65_GN2_atm">Model!$CN$198</definedName>
    <definedName name="v_65_GNH3">Model!$CG$198</definedName>
    <definedName name="v_65_GNH3_atm">Model!$CM$198</definedName>
    <definedName name="v_65_GO2">Model!$CF$198</definedName>
    <definedName name="v_65_GO2_atm">Model!$CL$198</definedName>
    <definedName name="v_65_SALPHA">Model!$CA$198</definedName>
    <definedName name="v_65_SAN">Model!$AX$198</definedName>
    <definedName name="v_65_SB_mono">Model!$F$198</definedName>
    <definedName name="v_65_SB_poly">Model!$G$198</definedName>
    <definedName name="v_65_SCa">Model!$AY$198</definedName>
    <definedName name="v_65_SCAT">Model!$AW$198</definedName>
    <definedName name="v_65_SCH4">Model!$AS$198</definedName>
    <definedName name="v_65_SCO2">Model!$AU$198</definedName>
    <definedName name="v_65_SFe2">Model!$BB$198</definedName>
    <definedName name="v_65_SH">Model!$BZ$198</definedName>
    <definedName name="v_65_SH2">Model!$AT$198</definedName>
    <definedName name="v_65_SK">Model!$BA$198</definedName>
    <definedName name="v_65_SMEOL">Model!$H$198</definedName>
    <definedName name="v_65_SMg">Model!$AZ$198</definedName>
    <definedName name="v_65_SN_B">Model!$AH$198</definedName>
    <definedName name="v_65_SN2">Model!$AG$198</definedName>
    <definedName name="v_65_SNHx">Model!$AD$198</definedName>
    <definedName name="v_65_SNO2">Model!$AE$198</definedName>
    <definedName name="v_65_SNO3">Model!$AF$198</definedName>
    <definedName name="v_65_SO2">Model!$AR$198</definedName>
    <definedName name="v_65_SORPswitch">Model!$CB$198</definedName>
    <definedName name="v_65_SP_B">Model!$AN$198</definedName>
    <definedName name="v_65_SPFOA">Model!$BV$198</definedName>
    <definedName name="v_65_SPFOS">Model!$BX$198</definedName>
    <definedName name="v_65_SPO4">Model!$AL$198</definedName>
    <definedName name="v_65_SU">Model!$L$198</definedName>
    <definedName name="v_65_SVFA">Model!$E$198</definedName>
    <definedName name="v_65_XACP">Model!$BR$198</definedName>
    <definedName name="v_65_XAHO">Model!$U$198</definedName>
    <definedName name="v_65_XALGAE">Model!$AC$198</definedName>
    <definedName name="v_65_XAMETO">Model!$AA$198</definedName>
    <definedName name="v_65_XAMX">Model!$Z$198</definedName>
    <definedName name="v_65_XAOB">Model!$X$198</definedName>
    <definedName name="v_65_XB">Model!$J$198</definedName>
    <definedName name="v_65_XB_e">Model!$K$198</definedName>
    <definedName name="v_65_XBSH">Model!$BS$198</definedName>
    <definedName name="v_65_XCaCO3">Model!$BQ$198</definedName>
    <definedName name="v_65_XCASTO">Model!$V$198</definedName>
    <definedName name="v_65_XE">Model!$R$198</definedName>
    <definedName name="v_65_XE_ana">Model!$S$198</definedName>
    <definedName name="v_65_XHAO_H">Model!$BJ$198</definedName>
    <definedName name="v_65_XHAO_H_P">Model!$BM$198</definedName>
    <definedName name="v_65_XHAO_H_P_old">Model!$BO$198</definedName>
    <definedName name="v_65_XHAO_L">Model!$BK$198</definedName>
    <definedName name="v_65_XHAO_L_P">Model!$BN$198</definedName>
    <definedName name="v_65_XHAO_L_P_old">Model!$BP$198</definedName>
    <definedName name="v_65_XHAO_old">Model!$BL$198</definedName>
    <definedName name="v_65_XHFO_H">Model!$BC$198</definedName>
    <definedName name="v_65_XHFO_H_P">Model!$BF$198</definedName>
    <definedName name="v_65_XHFO_H_P_old">Model!$BH$198</definedName>
    <definedName name="v_65_XHFO_L">Model!$BD$198</definedName>
    <definedName name="v_65_XHFO_L_P">Model!$BG$198</definedName>
    <definedName name="v_65_XHFO_L_P_old">Model!$BI$198</definedName>
    <definedName name="v_65_XHFO_old">Model!$BE$198</definedName>
    <definedName name="v_65_XHMETO">Model!$AB$198</definedName>
    <definedName name="v_65_XINORG">Model!$AV$198</definedName>
    <definedName name="v_65_XMEOLO">Model!$W$198</definedName>
    <definedName name="v_65_XN_B">Model!$AI$198</definedName>
    <definedName name="v_65_XN_Be">Model!$AJ$198</definedName>
    <definedName name="v_65_XN_U">Model!$AK$198</definedName>
    <definedName name="v_65_XNOB">Model!$Y$198</definedName>
    <definedName name="v_65_XOHO">Model!$T$198</definedName>
    <definedName name="v_65_XP_B">Model!$AO$198</definedName>
    <definedName name="v_65_XP_Be">Model!$AP$198</definedName>
    <definedName name="v_65_XP_U">Model!$AQ$198</definedName>
    <definedName name="v_65_XPFOA">Model!$BW$198</definedName>
    <definedName name="v_65_XPFOS">Model!$BY$198</definedName>
    <definedName name="v_65_XPHA_GAO">Model!$Q$198</definedName>
    <definedName name="v_65_XPHA_PAO">Model!$P$198</definedName>
    <definedName name="v_65_XPP">Model!$AM$198</definedName>
    <definedName name="v_65_XSTO">Model!$O$198</definedName>
    <definedName name="v_65_XSTR">Model!$BT$198</definedName>
    <definedName name="v_65_XU">Model!$N$198</definedName>
    <definedName name="v_65_XVivi">Model!$BU$198</definedName>
    <definedName name="v_66_CB">Model!$I$199</definedName>
    <definedName name="v_66_CU">Model!$M$199</definedName>
    <definedName name="v_66_GCH4">Model!$CD$199</definedName>
    <definedName name="v_66_GCH4_atm">Model!$CJ$199</definedName>
    <definedName name="v_66_GCO2">Model!$CC$199</definedName>
    <definedName name="v_66_GCO2_atm">Model!$CI$199</definedName>
    <definedName name="v_66_GH2">Model!$CE$199</definedName>
    <definedName name="v_66_GH2_atm">Model!$CK$199</definedName>
    <definedName name="v_66_GN2">Model!$CH$199</definedName>
    <definedName name="v_66_GN2_atm">Model!$CN$199</definedName>
    <definedName name="v_66_GNH3">Model!$CG$199</definedName>
    <definedName name="v_66_GNH3_atm">Model!$CM$199</definedName>
    <definedName name="v_66_GO2">Model!$CF$199</definedName>
    <definedName name="v_66_GO2_atm">Model!$CL$199</definedName>
    <definedName name="v_66_SALPHA">Model!$CA$199</definedName>
    <definedName name="v_66_SAN">Model!$AX$199</definedName>
    <definedName name="v_66_SB_mono">Model!$F$199</definedName>
    <definedName name="v_66_SB_poly">Model!$G$199</definedName>
    <definedName name="v_66_SCa">Model!$AY$199</definedName>
    <definedName name="v_66_SCAT">Model!$AW$199</definedName>
    <definedName name="v_66_SCH4">Model!$AS$199</definedName>
    <definedName name="v_66_SCO2">Model!$AU$199</definedName>
    <definedName name="v_66_SFe2">Model!$BB$199</definedName>
    <definedName name="v_66_SH">Model!$BZ$199</definedName>
    <definedName name="v_66_SH2">Model!$AT$199</definedName>
    <definedName name="v_66_SK">Model!$BA$199</definedName>
    <definedName name="v_66_SMEOL">Model!$H$199</definedName>
    <definedName name="v_66_SMg">Model!$AZ$199</definedName>
    <definedName name="v_66_SN_B">Model!$AH$199</definedName>
    <definedName name="v_66_SN2">Model!$AG$199</definedName>
    <definedName name="v_66_SNHx">Model!$AD$199</definedName>
    <definedName name="v_66_SNO2">Model!$AE$199</definedName>
    <definedName name="v_66_SNO3">Model!$AF$199</definedName>
    <definedName name="v_66_SO2">Model!$AR$199</definedName>
    <definedName name="v_66_SORPswitch">Model!$CB$199</definedName>
    <definedName name="v_66_SP_B">Model!$AN$199</definedName>
    <definedName name="v_66_SPFOA">Model!$BV$199</definedName>
    <definedName name="v_66_SPFOS">Model!$BX$199</definedName>
    <definedName name="v_66_SPO4">Model!$AL$199</definedName>
    <definedName name="v_66_SU">Model!$L$199</definedName>
    <definedName name="v_66_SVFA">Model!$E$199</definedName>
    <definedName name="v_66_XACP">Model!$BR$199</definedName>
    <definedName name="v_66_XAHO">Model!$U$199</definedName>
    <definedName name="v_66_XALGAE">Model!$AC$199</definedName>
    <definedName name="v_66_XAMETO">Model!$AA$199</definedName>
    <definedName name="v_66_XAMX">Model!$Z$199</definedName>
    <definedName name="v_66_XAOB">Model!$X$199</definedName>
    <definedName name="v_66_XB">Model!$J$199</definedName>
    <definedName name="v_66_XB_e">Model!$K$199</definedName>
    <definedName name="v_66_XBSH">Model!$BS$199</definedName>
    <definedName name="v_66_XCaCO3">Model!$BQ$199</definedName>
    <definedName name="v_66_XCASTO">Model!$V$199</definedName>
    <definedName name="v_66_XE">Model!$R$199</definedName>
    <definedName name="v_66_XE_ana">Model!$S$199</definedName>
    <definedName name="v_66_XHAO_H">Model!$BJ$199</definedName>
    <definedName name="v_66_XHAO_H_P">Model!$BM$199</definedName>
    <definedName name="v_66_XHAO_H_P_old">Model!$BO$199</definedName>
    <definedName name="v_66_XHAO_L">Model!$BK$199</definedName>
    <definedName name="v_66_XHAO_L_P">Model!$BN$199</definedName>
    <definedName name="v_66_XHAO_L_P_old">Model!$BP$199</definedName>
    <definedName name="v_66_XHAO_old">Model!$BL$199</definedName>
    <definedName name="v_66_XHFO_H">Model!$BC$199</definedName>
    <definedName name="v_66_XHFO_H_P">Model!$BF$199</definedName>
    <definedName name="v_66_XHFO_H_P_old">Model!$BH$199</definedName>
    <definedName name="v_66_XHFO_L">Model!$BD$199</definedName>
    <definedName name="v_66_XHFO_L_P">Model!$BG$199</definedName>
    <definedName name="v_66_XHFO_L_P_old">Model!$BI$199</definedName>
    <definedName name="v_66_XHFO_old">Model!$BE$199</definedName>
    <definedName name="v_66_XHMETO">Model!$AB$199</definedName>
    <definedName name="v_66_XINORG">Model!$AV$199</definedName>
    <definedName name="v_66_XMEOLO">Model!$W$199</definedName>
    <definedName name="v_66_XN_B">Model!$AI$199</definedName>
    <definedName name="v_66_XN_Be">Model!$AJ$199</definedName>
    <definedName name="v_66_XN_U">Model!$AK$199</definedName>
    <definedName name="v_66_XNOB">Model!$Y$199</definedName>
    <definedName name="v_66_XOHO">Model!$T$199</definedName>
    <definedName name="v_66_XP_B">Model!$AO$199</definedName>
    <definedName name="v_66_XP_Be">Model!$AP$199</definedName>
    <definedName name="v_66_XP_U">Model!$AQ$199</definedName>
    <definedName name="v_66_XPFOA">Model!$BW$199</definedName>
    <definedName name="v_66_XPFOS">Model!$BY$199</definedName>
    <definedName name="v_66_XPHA_GAO">Model!$Q$199</definedName>
    <definedName name="v_66_XPHA_PAO">Model!$P$199</definedName>
    <definedName name="v_66_XPP">Model!$AM$199</definedName>
    <definedName name="v_66_XSTO">Model!$O$199</definedName>
    <definedName name="v_66_XSTR">Model!$BT$199</definedName>
    <definedName name="v_66_XU">Model!$N$199</definedName>
    <definedName name="v_66_XVivi">Model!$BU$199</definedName>
    <definedName name="v_67_CB">Model!$I$200</definedName>
    <definedName name="v_67_CU">Model!$M$200</definedName>
    <definedName name="v_67_GCH4">Model!$CD$200</definedName>
    <definedName name="v_67_GCH4_atm">Model!$CJ$200</definedName>
    <definedName name="v_67_GCO2">Model!$CC$200</definedName>
    <definedName name="v_67_GCO2_atm">Model!$CI$200</definedName>
    <definedName name="v_67_GH2">Model!$CE$200</definedName>
    <definedName name="v_67_GH2_atm">Model!$CK$200</definedName>
    <definedName name="v_67_GN2">Model!$CH$200</definedName>
    <definedName name="v_67_GN2_atm">Model!$CN$200</definedName>
    <definedName name="v_67_GNH3">Model!$CG$200</definedName>
    <definedName name="v_67_GNH3_atm">Model!$CM$200</definedName>
    <definedName name="v_67_GO2">Model!$CF$200</definedName>
    <definedName name="v_67_GO2_atm">Model!$CL$200</definedName>
    <definedName name="v_67_SALPHA">Model!$CA$200</definedName>
    <definedName name="v_67_SAN">Model!$AX$200</definedName>
    <definedName name="v_67_SB_mono">Model!$F$200</definedName>
    <definedName name="v_67_SB_poly">Model!$G$200</definedName>
    <definedName name="v_67_SCa">Model!$AY$200</definedName>
    <definedName name="v_67_SCAT">Model!$AW$200</definedName>
    <definedName name="v_67_SCH4">Model!$AS$200</definedName>
    <definedName name="v_67_SCO2">Model!$AU$200</definedName>
    <definedName name="v_67_SFe2">Model!$BB$200</definedName>
    <definedName name="v_67_SH">Model!$BZ$200</definedName>
    <definedName name="v_67_SH2">Model!$AT$200</definedName>
    <definedName name="v_67_SK">Model!$BA$200</definedName>
    <definedName name="v_67_SMEOL">Model!$H$200</definedName>
    <definedName name="v_67_SMg">Model!$AZ$200</definedName>
    <definedName name="v_67_SN_B">Model!$AH$200</definedName>
    <definedName name="v_67_SN2">Model!$AG$200</definedName>
    <definedName name="v_67_SNHx">Model!$AD$200</definedName>
    <definedName name="v_67_SNO2">Model!$AE$200</definedName>
    <definedName name="v_67_SNO3">Model!$AF$200</definedName>
    <definedName name="v_67_SO2">Model!$AR$200</definedName>
    <definedName name="v_67_SORPswitch">Model!$CB$200</definedName>
    <definedName name="v_67_SP_B">Model!$AN$200</definedName>
    <definedName name="v_67_SPFOA">Model!$BV$200</definedName>
    <definedName name="v_67_SPFOS">Model!$BX$200</definedName>
    <definedName name="v_67_SPO4">Model!$AL$200</definedName>
    <definedName name="v_67_SU">Model!$L$200</definedName>
    <definedName name="v_67_SVFA">Model!$E$200</definedName>
    <definedName name="v_67_XACP">Model!$BR$200</definedName>
    <definedName name="v_67_XAHO">Model!$U$200</definedName>
    <definedName name="v_67_XALGAE">Model!$AC$200</definedName>
    <definedName name="v_67_XAMETO">Model!$AA$200</definedName>
    <definedName name="v_67_XAMX">Model!$Z$200</definedName>
    <definedName name="v_67_XAOB">Model!$X$200</definedName>
    <definedName name="v_67_XB">Model!$J$200</definedName>
    <definedName name="v_67_XB_e">Model!$K$200</definedName>
    <definedName name="v_67_XBSH">Model!$BS$200</definedName>
    <definedName name="v_67_XCaCO3">Model!$BQ$200</definedName>
    <definedName name="v_67_XCASTO">Model!$V$200</definedName>
    <definedName name="v_67_XE">Model!$R$200</definedName>
    <definedName name="v_67_XE_ana">Model!$S$200</definedName>
    <definedName name="v_67_XHAO_H">Model!$BJ$200</definedName>
    <definedName name="v_67_XHAO_H_P">Model!$BM$200</definedName>
    <definedName name="v_67_XHAO_H_P_old">Model!$BO$200</definedName>
    <definedName name="v_67_XHAO_L">Model!$BK$200</definedName>
    <definedName name="v_67_XHAO_L_P">Model!$BN$200</definedName>
    <definedName name="v_67_XHAO_L_P_old">Model!$BP$200</definedName>
    <definedName name="v_67_XHAO_old">Model!$BL$200</definedName>
    <definedName name="v_67_XHFO_H">Model!$BC$200</definedName>
    <definedName name="v_67_XHFO_H_P">Model!$BF$200</definedName>
    <definedName name="v_67_XHFO_H_P_old">Model!$BH$200</definedName>
    <definedName name="v_67_XHFO_L">Model!$BD$200</definedName>
    <definedName name="v_67_XHFO_L_P">Model!$BG$200</definedName>
    <definedName name="v_67_XHFO_L_P_old">Model!$BI$200</definedName>
    <definedName name="v_67_XHFO_old">Model!$BE$200</definedName>
    <definedName name="v_67_XHMETO">Model!$AB$200</definedName>
    <definedName name="v_67_XINORG">Model!$AV$200</definedName>
    <definedName name="v_67_XMEOLO">Model!$W$200</definedName>
    <definedName name="v_67_XN_B">Model!$AI$200</definedName>
    <definedName name="v_67_XN_Be">Model!$AJ$200</definedName>
    <definedName name="v_67_XN_U">Model!$AK$200</definedName>
    <definedName name="v_67_XNOB">Model!$Y$200</definedName>
    <definedName name="v_67_XOHO">Model!$T$200</definedName>
    <definedName name="v_67_XP_B">Model!$AO$200</definedName>
    <definedName name="v_67_XP_Be">Model!$AP$200</definedName>
    <definedName name="v_67_XP_U">Model!$AQ$200</definedName>
    <definedName name="v_67_XPFOA">Model!$BW$200</definedName>
    <definedName name="v_67_XPFOS">Model!$BY$200</definedName>
    <definedName name="v_67_XPHA_GAO">Model!$Q$200</definedName>
    <definedName name="v_67_XPHA_PAO">Model!$P$200</definedName>
    <definedName name="v_67_XPP">Model!$AM$200</definedName>
    <definedName name="v_67_XSTO">Model!$O$200</definedName>
    <definedName name="v_67_XSTR">Model!$BT$200</definedName>
    <definedName name="v_67_XU">Model!$N$200</definedName>
    <definedName name="v_67_XVivi">Model!$BU$200</definedName>
    <definedName name="v_68_CB">Model!$I$201</definedName>
    <definedName name="v_68_CU">Model!$M$201</definedName>
    <definedName name="v_68_GCH4">Model!$CD$201</definedName>
    <definedName name="v_68_GCH4_atm">Model!$CJ$201</definedName>
    <definedName name="v_68_GCO2">Model!$CC$201</definedName>
    <definedName name="v_68_GCO2_atm">Model!$CI$201</definedName>
    <definedName name="v_68_GH2">Model!$CE$201</definedName>
    <definedName name="v_68_GH2_atm">Model!$CK$201</definedName>
    <definedName name="v_68_GN2">Model!$CH$201</definedName>
    <definedName name="v_68_GN2_atm">Model!$CN$201</definedName>
    <definedName name="v_68_GNH3">Model!$CG$201</definedName>
    <definedName name="v_68_GNH3_atm">Model!$CM$201</definedName>
    <definedName name="v_68_GO2">Model!$CF$201</definedName>
    <definedName name="v_68_GO2_atm">Model!$CL$201</definedName>
    <definedName name="v_68_SALPHA">Model!$CA$201</definedName>
    <definedName name="v_68_SAN">Model!$AX$201</definedName>
    <definedName name="v_68_SB_mono">Model!$F$201</definedName>
    <definedName name="v_68_SB_poly">Model!$G$201</definedName>
    <definedName name="v_68_SCa">Model!$AY$201</definedName>
    <definedName name="v_68_SCAT">Model!$AW$201</definedName>
    <definedName name="v_68_SCH4">Model!$AS$201</definedName>
    <definedName name="v_68_SCO2">Model!$AU$201</definedName>
    <definedName name="v_68_SFe2">Model!$BB$201</definedName>
    <definedName name="v_68_SH">Model!$BZ$201</definedName>
    <definedName name="v_68_SH2">Model!$AT$201</definedName>
    <definedName name="v_68_SK">Model!$BA$201</definedName>
    <definedName name="v_68_SMEOL">Model!$H$201</definedName>
    <definedName name="v_68_SMg">Model!$AZ$201</definedName>
    <definedName name="v_68_SN_B">Model!$AH$201</definedName>
    <definedName name="v_68_SN2">Model!$AG$201</definedName>
    <definedName name="v_68_SNHx">Model!$AD$201</definedName>
    <definedName name="v_68_SNO2">Model!$AE$201</definedName>
    <definedName name="v_68_SNO3">Model!$AF$201</definedName>
    <definedName name="v_68_SO2">Model!$AR$201</definedName>
    <definedName name="v_68_SORPswitch">Model!$CB$201</definedName>
    <definedName name="v_68_SP_B">Model!$AN$201</definedName>
    <definedName name="v_68_SPFOA">Model!$BV$201</definedName>
    <definedName name="v_68_SPFOS">Model!$BX$201</definedName>
    <definedName name="v_68_SPO4">Model!$AL$201</definedName>
    <definedName name="v_68_SU">Model!$L$201</definedName>
    <definedName name="v_68_SVFA">Model!$E$201</definedName>
    <definedName name="v_68_XACP">Model!$BR$201</definedName>
    <definedName name="v_68_XAHO">Model!$U$201</definedName>
    <definedName name="v_68_XALGAE">Model!$AC$201</definedName>
    <definedName name="v_68_XAMETO">Model!$AA$201</definedName>
    <definedName name="v_68_XAMX">Model!$Z$201</definedName>
    <definedName name="v_68_XAOB">Model!$X$201</definedName>
    <definedName name="v_68_XB">Model!$J$201</definedName>
    <definedName name="v_68_XB_e">Model!$K$201</definedName>
    <definedName name="v_68_XBSH">Model!$BS$201</definedName>
    <definedName name="v_68_XCaCO3">Model!$BQ$201</definedName>
    <definedName name="v_68_XCASTO">Model!$V$201</definedName>
    <definedName name="v_68_XE">Model!$R$201</definedName>
    <definedName name="v_68_XE_ana">Model!$S$201</definedName>
    <definedName name="v_68_XHAO_H">Model!$BJ$201</definedName>
    <definedName name="v_68_XHAO_H_P">Model!$BM$201</definedName>
    <definedName name="v_68_XHAO_H_P_old">Model!$BO$201</definedName>
    <definedName name="v_68_XHAO_L">Model!$BK$201</definedName>
    <definedName name="v_68_XHAO_L_P">Model!$BN$201</definedName>
    <definedName name="v_68_XHAO_L_P_old">Model!$BP$201</definedName>
    <definedName name="v_68_XHAO_old">Model!$BL$201</definedName>
    <definedName name="v_68_XHFO_H">Model!$BC$201</definedName>
    <definedName name="v_68_XHFO_H_P">Model!$BF$201</definedName>
    <definedName name="v_68_XHFO_H_P_old">Model!$BH$201</definedName>
    <definedName name="v_68_XHFO_L">Model!$BD$201</definedName>
    <definedName name="v_68_XHFO_L_P">Model!$BG$201</definedName>
    <definedName name="v_68_XHFO_L_P_old">Model!$BI$201</definedName>
    <definedName name="v_68_XHFO_old">Model!$BE$201</definedName>
    <definedName name="v_68_XHMETO">Model!$AB$201</definedName>
    <definedName name="v_68_XINORG">Model!$AV$201</definedName>
    <definedName name="v_68_XMEOLO">Model!$W$201</definedName>
    <definedName name="v_68_XN_B">Model!$AI$201</definedName>
    <definedName name="v_68_XN_Be">Model!$AJ$201</definedName>
    <definedName name="v_68_XN_U">Model!$AK$201</definedName>
    <definedName name="v_68_XNOB">Model!$Y$201</definedName>
    <definedName name="v_68_XOHO">Model!$T$201</definedName>
    <definedName name="v_68_XP_B">Model!$AO$201</definedName>
    <definedName name="v_68_XP_Be">Model!$AP$201</definedName>
    <definedName name="v_68_XP_U">Model!$AQ$201</definedName>
    <definedName name="v_68_XPFOA">Model!$BW$201</definedName>
    <definedName name="v_68_XPFOS">Model!$BY$201</definedName>
    <definedName name="v_68_XPHA_GAO">Model!$Q$201</definedName>
    <definedName name="v_68_XPHA_PAO">Model!$P$201</definedName>
    <definedName name="v_68_XPP">Model!$AM$201</definedName>
    <definedName name="v_68_XSTO">Model!$O$201</definedName>
    <definedName name="v_68_XSTR">Model!$BT$201</definedName>
    <definedName name="v_68_XU">Model!$N$201</definedName>
    <definedName name="v_68_XVivi">Model!$BU$201</definedName>
    <definedName name="v_69_CB">Model!$I$202</definedName>
    <definedName name="v_69_CU">Model!$M$202</definedName>
    <definedName name="v_69_GCH4">Model!$CD$202</definedName>
    <definedName name="v_69_GCH4_atm">Model!$CJ$202</definedName>
    <definedName name="v_69_GCO2">Model!$CC$202</definedName>
    <definedName name="v_69_GCO2_atm">Model!$CI$202</definedName>
    <definedName name="v_69_GH2">Model!$CE$202</definedName>
    <definedName name="v_69_GH2_atm">Model!$CK$202</definedName>
    <definedName name="v_69_GN2">Model!$CH$202</definedName>
    <definedName name="v_69_GN2_atm">Model!$CN$202</definedName>
    <definedName name="v_69_GNH3">Model!$CG$202</definedName>
    <definedName name="v_69_GNH3_atm">Model!$CM$202</definedName>
    <definedName name="v_69_GO2">Model!$CF$202</definedName>
    <definedName name="v_69_GO2_atm">Model!$CL$202</definedName>
    <definedName name="v_69_SALPHA">Model!$CA$202</definedName>
    <definedName name="v_69_SAN">Model!$AX$202</definedName>
    <definedName name="v_69_SB_mono">Model!$F$202</definedName>
    <definedName name="v_69_SB_poly">Model!$G$202</definedName>
    <definedName name="v_69_SCa">Model!$AY$202</definedName>
    <definedName name="v_69_SCAT">Model!$AW$202</definedName>
    <definedName name="v_69_SCH4">Model!$AS$202</definedName>
    <definedName name="v_69_SCO2">Model!$AU$202</definedName>
    <definedName name="v_69_SFe2">Model!$BB$202</definedName>
    <definedName name="v_69_SH">Model!$BZ$202</definedName>
    <definedName name="v_69_SH2">Model!$AT$202</definedName>
    <definedName name="v_69_SK">Model!$BA$202</definedName>
    <definedName name="v_69_SMEOL">Model!$H$202</definedName>
    <definedName name="v_69_SMg">Model!$AZ$202</definedName>
    <definedName name="v_69_SN_B">Model!$AH$202</definedName>
    <definedName name="v_69_SN2">Model!$AG$202</definedName>
    <definedName name="v_69_SNHx">Model!$AD$202</definedName>
    <definedName name="v_69_SNO2">Model!$AE$202</definedName>
    <definedName name="v_69_SNO3">Model!$AF$202</definedName>
    <definedName name="v_69_SO2">Model!$AR$202</definedName>
    <definedName name="v_69_SORPswitch">Model!$CB$202</definedName>
    <definedName name="v_69_SP_B">Model!$AN$202</definedName>
    <definedName name="v_69_SPFOA">Model!$BV$202</definedName>
    <definedName name="v_69_SPFOS">Model!$BX$202</definedName>
    <definedName name="v_69_SPO4">Model!$AL$202</definedName>
    <definedName name="v_69_SU">Model!$L$202</definedName>
    <definedName name="v_69_SVFA">Model!$E$202</definedName>
    <definedName name="v_69_XACP">Model!$BR$202</definedName>
    <definedName name="v_69_XAHO">Model!$U$202</definedName>
    <definedName name="v_69_XALGAE">Model!$AC$202</definedName>
    <definedName name="v_69_XAMETO">Model!$AA$202</definedName>
    <definedName name="v_69_XAMX">Model!$Z$202</definedName>
    <definedName name="v_69_XAOB">Model!$X$202</definedName>
    <definedName name="v_69_XB">Model!$J$202</definedName>
    <definedName name="v_69_XB_e">Model!$K$202</definedName>
    <definedName name="v_69_XBSH">Model!$BS$202</definedName>
    <definedName name="v_69_XCaCO3">Model!$BQ$202</definedName>
    <definedName name="v_69_XCASTO">Model!$V$202</definedName>
    <definedName name="v_69_XE">Model!$R$202</definedName>
    <definedName name="v_69_XE_ana">Model!$S$202</definedName>
    <definedName name="v_69_XHAO_H">Model!$BJ$202</definedName>
    <definedName name="v_69_XHAO_H_P">Model!$BM$202</definedName>
    <definedName name="v_69_XHAO_H_P_old">Model!$BO$202</definedName>
    <definedName name="v_69_XHAO_L">Model!$BK$202</definedName>
    <definedName name="v_69_XHAO_L_P">Model!$BN$202</definedName>
    <definedName name="v_69_XHAO_L_P_old">Model!$BP$202</definedName>
    <definedName name="v_69_XHAO_old">Model!$BL$202</definedName>
    <definedName name="v_69_XHFO_H">Model!$BC$202</definedName>
    <definedName name="v_69_XHFO_H_P">Model!$BF$202</definedName>
    <definedName name="v_69_XHFO_H_P_old">Model!$BH$202</definedName>
    <definedName name="v_69_XHFO_L">Model!$BD$202</definedName>
    <definedName name="v_69_XHFO_L_P">Model!$BG$202</definedName>
    <definedName name="v_69_XHFO_L_P_old">Model!$BI$202</definedName>
    <definedName name="v_69_XHFO_old">Model!$BE$202</definedName>
    <definedName name="v_69_XHMETO">Model!$AB$202</definedName>
    <definedName name="v_69_XINORG">Model!$AV$202</definedName>
    <definedName name="v_69_XMEOLO">Model!$W$202</definedName>
    <definedName name="v_69_XN_B">Model!$AI$202</definedName>
    <definedName name="v_69_XN_Be">Model!$AJ$202</definedName>
    <definedName name="v_69_XN_U">Model!$AK$202</definedName>
    <definedName name="v_69_XNOB">Model!$Y$202</definedName>
    <definedName name="v_69_XOHO">Model!$T$202</definedName>
    <definedName name="v_69_XP_B">Model!$AO$202</definedName>
    <definedName name="v_69_XP_Be">Model!$AP$202</definedName>
    <definedName name="v_69_XP_U">Model!$AQ$202</definedName>
    <definedName name="v_69_XPFOA">Model!$BW$202</definedName>
    <definedName name="v_69_XPFOS">Model!$BY$202</definedName>
    <definedName name="v_69_XPHA_GAO">Model!$Q$202</definedName>
    <definedName name="v_69_XPHA_PAO">Model!$P$202</definedName>
    <definedName name="v_69_XPP">Model!$AM$202</definedName>
    <definedName name="v_69_XSTO">Model!$O$202</definedName>
    <definedName name="v_69_XSTR">Model!$BT$202</definedName>
    <definedName name="v_69_XU">Model!$N$202</definedName>
    <definedName name="v_69_XVivi">Model!$BU$202</definedName>
    <definedName name="v_7_CB">Model!$I$140</definedName>
    <definedName name="v_7_CU">Model!$M$140</definedName>
    <definedName name="v_7_GCH4">Model!$CD$140</definedName>
    <definedName name="v_7_GCH4_atm">Model!$CJ$140</definedName>
    <definedName name="v_7_GCO2">Model!$CC$140</definedName>
    <definedName name="v_7_GCO2_atm">Model!$CI$140</definedName>
    <definedName name="v_7_GH2">Model!$CE$140</definedName>
    <definedName name="v_7_GH2_atm">Model!$CK$140</definedName>
    <definedName name="v_7_GN2">Model!$CH$140</definedName>
    <definedName name="v_7_GN2_atm">Model!$CN$140</definedName>
    <definedName name="v_7_GNH3">Model!$CG$140</definedName>
    <definedName name="v_7_GNH3_atm">Model!$CM$140</definedName>
    <definedName name="v_7_GO2">Model!$CF$140</definedName>
    <definedName name="v_7_GO2_atm">Model!$CL$140</definedName>
    <definedName name="v_7_SALPHA">Model!$CA$140</definedName>
    <definedName name="v_7_SAN">Model!$AX$140</definedName>
    <definedName name="v_7_SB_mono">Model!$F$140</definedName>
    <definedName name="v_7_SB_poly">Model!$G$140</definedName>
    <definedName name="v_7_SCa">Model!$AY$140</definedName>
    <definedName name="v_7_SCAT">Model!$AW$140</definedName>
    <definedName name="v_7_SCH4">Model!$AS$140</definedName>
    <definedName name="v_7_SCO2">Model!$AU$140</definedName>
    <definedName name="v_7_SFe2">Model!$BB$140</definedName>
    <definedName name="v_7_SH">Model!$BZ$140</definedName>
    <definedName name="v_7_SH2">Model!$AT$140</definedName>
    <definedName name="v_7_SK">Model!$BA$140</definedName>
    <definedName name="v_7_SMEOL">Model!$H$140</definedName>
    <definedName name="v_7_SMg">Model!$AZ$140</definedName>
    <definedName name="v_7_SN_B">Model!$AH$140</definedName>
    <definedName name="v_7_SN2">Model!$AG$140</definedName>
    <definedName name="v_7_SNHx">Model!$AD$140</definedName>
    <definedName name="v_7_SNO2">Model!$AE$140</definedName>
    <definedName name="v_7_SNO3">Model!$AF$140</definedName>
    <definedName name="v_7_SO2">Model!$AR$140</definedName>
    <definedName name="v_7_SORPswitch">Model!$CB$140</definedName>
    <definedName name="v_7_SP_B">Model!$AN$140</definedName>
    <definedName name="v_7_SPFOA">Model!$BV$140</definedName>
    <definedName name="v_7_SPFOS">Model!$BX$140</definedName>
    <definedName name="v_7_SPO4">Model!$AL$140</definedName>
    <definedName name="v_7_SU">Model!$L$140</definedName>
    <definedName name="v_7_SVFA">Model!$E$140</definedName>
    <definedName name="v_7_XACP">Model!$BR$140</definedName>
    <definedName name="v_7_XAHO">Model!$U$140</definedName>
    <definedName name="v_7_XALGAE">Model!$AC$140</definedName>
    <definedName name="v_7_XAMETO">Model!$AA$140</definedName>
    <definedName name="v_7_XAMX">Model!$Z$140</definedName>
    <definedName name="v_7_XAOB">Model!$X$140</definedName>
    <definedName name="v_7_XB">Model!$J$140</definedName>
    <definedName name="v_7_XB_e">Model!$K$140</definedName>
    <definedName name="v_7_XBSH">Model!$BS$140</definedName>
    <definedName name="v_7_XCaCO3">Model!$BQ$140</definedName>
    <definedName name="v_7_XCASTO">Model!$V$140</definedName>
    <definedName name="v_7_XE">Model!$R$140</definedName>
    <definedName name="v_7_XE_ana">Model!$S$140</definedName>
    <definedName name="v_7_XHAO_H">Model!$BJ$140</definedName>
    <definedName name="v_7_XHAO_H_P">Model!$BM$140</definedName>
    <definedName name="v_7_XHAO_H_P_old">Model!$BO$140</definedName>
    <definedName name="v_7_XHAO_L">Model!$BK$140</definedName>
    <definedName name="v_7_XHAO_L_P">Model!$BN$140</definedName>
    <definedName name="v_7_XHAO_L_P_old">Model!$BP$140</definedName>
    <definedName name="v_7_XHAO_old">Model!$BL$140</definedName>
    <definedName name="v_7_XHFO_H">Model!$BC$140</definedName>
    <definedName name="v_7_XHFO_H_P">Model!$BF$140</definedName>
    <definedName name="v_7_XHFO_H_P_old">Model!$BH$140</definedName>
    <definedName name="v_7_XHFO_L">Model!$BD$140</definedName>
    <definedName name="v_7_XHFO_L_P">Model!$BG$140</definedName>
    <definedName name="v_7_XHFO_L_P_old">Model!$BI$140</definedName>
    <definedName name="v_7_XHFO_old">Model!$BE$140</definedName>
    <definedName name="v_7_XHMETO">Model!$AB$140</definedName>
    <definedName name="v_7_XINORG">Model!$AV$140</definedName>
    <definedName name="v_7_XMEOLO">Model!$W$140</definedName>
    <definedName name="v_7_XN_B">Model!$AI$140</definedName>
    <definedName name="v_7_XN_Be">Model!$AJ$140</definedName>
    <definedName name="v_7_XN_U">Model!$AK$140</definedName>
    <definedName name="v_7_XNOB">Model!$Y$140</definedName>
    <definedName name="v_7_XOHO">Model!$T$140</definedName>
    <definedName name="v_7_XP_B">Model!$AO$140</definedName>
    <definedName name="v_7_XP_Be">Model!$AP$140</definedName>
    <definedName name="v_7_XP_U">Model!$AQ$140</definedName>
    <definedName name="v_7_XPFOA">Model!$BW$140</definedName>
    <definedName name="v_7_XPFOS">Model!$BY$140</definedName>
    <definedName name="v_7_XPHA_GAO">Model!$Q$140</definedName>
    <definedName name="v_7_XPHA_PAO">Model!$P$140</definedName>
    <definedName name="v_7_XPP">Model!$AM$140</definedName>
    <definedName name="v_7_XSTO">Model!$O$140</definedName>
    <definedName name="v_7_XSTR">Model!$BT$140</definedName>
    <definedName name="v_7_XU">Model!$N$140</definedName>
    <definedName name="v_7_XVivi">Model!$BU$140</definedName>
    <definedName name="v_70_CB">Model!$I$203</definedName>
    <definedName name="v_70_CU">Model!$M$203</definedName>
    <definedName name="v_70_GCH4">Model!$CD$203</definedName>
    <definedName name="v_70_GCH4_atm">Model!$CJ$203</definedName>
    <definedName name="v_70_GCO2">Model!$CC$203</definedName>
    <definedName name="v_70_GCO2_atm">Model!$CI$203</definedName>
    <definedName name="v_70_GH2">Model!$CE$203</definedName>
    <definedName name="v_70_GH2_atm">Model!$CK$203</definedName>
    <definedName name="v_70_GN2">Model!$CH$203</definedName>
    <definedName name="v_70_GN2_atm">Model!$CN$203</definedName>
    <definedName name="v_70_GNH3">Model!$CG$203</definedName>
    <definedName name="v_70_GNH3_atm">Model!$CM$203</definedName>
    <definedName name="v_70_GO2">Model!$CF$203</definedName>
    <definedName name="v_70_GO2_atm">Model!$CL$203</definedName>
    <definedName name="v_70_SALPHA">Model!$CA$203</definedName>
    <definedName name="v_70_SAN">Model!$AX$203</definedName>
    <definedName name="v_70_SB_mono">Model!$F$203</definedName>
    <definedName name="v_70_SB_poly">Model!$G$203</definedName>
    <definedName name="v_70_SCa">Model!$AY$203</definedName>
    <definedName name="v_70_SCAT">Model!$AW$203</definedName>
    <definedName name="v_70_SCH4">Model!$AS$203</definedName>
    <definedName name="v_70_SCO2">Model!$AU$203</definedName>
    <definedName name="v_70_SFe2">Model!$BB$203</definedName>
    <definedName name="v_70_SH">Model!$BZ$203</definedName>
    <definedName name="v_70_SH2">Model!$AT$203</definedName>
    <definedName name="v_70_SK">Model!$BA$203</definedName>
    <definedName name="v_70_SMEOL">Model!$H$203</definedName>
    <definedName name="v_70_SMg">Model!$AZ$203</definedName>
    <definedName name="v_70_SN_B">Model!$AH$203</definedName>
    <definedName name="v_70_SN2">Model!$AG$203</definedName>
    <definedName name="v_70_SNHx">Model!$AD$203</definedName>
    <definedName name="v_70_SNO2">Model!$AE$203</definedName>
    <definedName name="v_70_SNO3">Model!$AF$203</definedName>
    <definedName name="v_70_SO2">Model!$AR$203</definedName>
    <definedName name="v_70_SORPswitch">Model!$CB$203</definedName>
    <definedName name="v_70_SP_B">Model!$AN$203</definedName>
    <definedName name="v_70_SPFOA">Model!$BV$203</definedName>
    <definedName name="v_70_SPFOS">Model!$BX$203</definedName>
    <definedName name="v_70_SPO4">Model!$AL$203</definedName>
    <definedName name="v_70_SU">Model!$L$203</definedName>
    <definedName name="v_70_SVFA">Model!$E$203</definedName>
    <definedName name="v_70_XACP">Model!$BR$203</definedName>
    <definedName name="v_70_XAHO">Model!$U$203</definedName>
    <definedName name="v_70_XALGAE">Model!$AC$203</definedName>
    <definedName name="v_70_XAMETO">Model!$AA$203</definedName>
    <definedName name="v_70_XAMX">Model!$Z$203</definedName>
    <definedName name="v_70_XAOB">Model!$X$203</definedName>
    <definedName name="v_70_XB">Model!$J$203</definedName>
    <definedName name="v_70_XB_e">Model!$K$203</definedName>
    <definedName name="v_70_XBSH">Model!$BS$203</definedName>
    <definedName name="v_70_XCaCO3">Model!$BQ$203</definedName>
    <definedName name="v_70_XCASTO">Model!$V$203</definedName>
    <definedName name="v_70_XE">Model!$R$203</definedName>
    <definedName name="v_70_XE_ana">Model!$S$203</definedName>
    <definedName name="v_70_XHAO_H">Model!$BJ$203</definedName>
    <definedName name="v_70_XHAO_H_P">Model!$BM$203</definedName>
    <definedName name="v_70_XHAO_H_P_old">Model!$BO$203</definedName>
    <definedName name="v_70_XHAO_L">Model!$BK$203</definedName>
    <definedName name="v_70_XHAO_L_P">Model!$BN$203</definedName>
    <definedName name="v_70_XHAO_L_P_old">Model!$BP$203</definedName>
    <definedName name="v_70_XHAO_old">Model!$BL$203</definedName>
    <definedName name="v_70_XHFO_H">Model!$BC$203</definedName>
    <definedName name="v_70_XHFO_H_P">Model!$BF$203</definedName>
    <definedName name="v_70_XHFO_H_P_old">Model!$BH$203</definedName>
    <definedName name="v_70_XHFO_L">Model!$BD$203</definedName>
    <definedName name="v_70_XHFO_L_P">Model!$BG$203</definedName>
    <definedName name="v_70_XHFO_L_P_old">Model!$BI$203</definedName>
    <definedName name="v_70_XHFO_old">Model!$BE$203</definedName>
    <definedName name="v_70_XHMETO">Model!$AB$203</definedName>
    <definedName name="v_70_XINORG">Model!$AV$203</definedName>
    <definedName name="v_70_XMEOLO">Model!$W$203</definedName>
    <definedName name="v_70_XN_B">Model!$AI$203</definedName>
    <definedName name="v_70_XN_Be">Model!$AJ$203</definedName>
    <definedName name="v_70_XN_U">Model!$AK$203</definedName>
    <definedName name="v_70_XNOB">Model!$Y$203</definedName>
    <definedName name="v_70_XOHO">Model!$T$203</definedName>
    <definedName name="v_70_XP_B">Model!$AO$203</definedName>
    <definedName name="v_70_XP_Be">Model!$AP$203</definedName>
    <definedName name="v_70_XP_U">Model!$AQ$203</definedName>
    <definedName name="v_70_XPFOA">Model!$BW$203</definedName>
    <definedName name="v_70_XPFOS">Model!$BY$203</definedName>
    <definedName name="v_70_XPHA_GAO">Model!$Q$203</definedName>
    <definedName name="v_70_XPHA_PAO">Model!$P$203</definedName>
    <definedName name="v_70_XPP">Model!$AM$203</definedName>
    <definedName name="v_70_XSTO">Model!$O$203</definedName>
    <definedName name="v_70_XSTR">Model!$BT$203</definedName>
    <definedName name="v_70_XU">Model!$N$203</definedName>
    <definedName name="v_70_XVivi">Model!$BU$203</definedName>
    <definedName name="v_71_CB">Model!$I$204</definedName>
    <definedName name="v_71_CU">Model!$M$204</definedName>
    <definedName name="v_71_GCH4">Model!$CD$204</definedName>
    <definedName name="v_71_GCH4_atm">Model!$CJ$204</definedName>
    <definedName name="v_71_GCO2">Model!$CC$204</definedName>
    <definedName name="v_71_GCO2_atm">Model!$CI$204</definedName>
    <definedName name="v_71_GH2">Model!$CE$204</definedName>
    <definedName name="v_71_GH2_atm">Model!$CK$204</definedName>
    <definedName name="v_71_GN2">Model!$CH$204</definedName>
    <definedName name="v_71_GN2_atm">Model!$CN$204</definedName>
    <definedName name="v_71_GNH3">Model!$CG$204</definedName>
    <definedName name="v_71_GNH3_atm">Model!$CM$204</definedName>
    <definedName name="v_71_GO2">Model!$CF$204</definedName>
    <definedName name="v_71_GO2_atm">Model!$CL$204</definedName>
    <definedName name="v_71_SALPHA">Model!$CA$204</definedName>
    <definedName name="v_71_SAN">Model!$AX$204</definedName>
    <definedName name="v_71_SB_mono">Model!$F$204</definedName>
    <definedName name="v_71_SB_poly">Model!$G$204</definedName>
    <definedName name="v_71_SCa">Model!$AY$204</definedName>
    <definedName name="v_71_SCAT">Model!$AW$204</definedName>
    <definedName name="v_71_SCH4">Model!$AS$204</definedName>
    <definedName name="v_71_SCO2">Model!$AU$204</definedName>
    <definedName name="v_71_SFe2">Model!$BB$204</definedName>
    <definedName name="v_71_SH">Model!$BZ$204</definedName>
    <definedName name="v_71_SH2">Model!$AT$204</definedName>
    <definedName name="v_71_SK">Model!$BA$204</definedName>
    <definedName name="v_71_SMEOL">Model!$H$204</definedName>
    <definedName name="v_71_SMg">Model!$AZ$204</definedName>
    <definedName name="v_71_SN_B">Model!$AH$204</definedName>
    <definedName name="v_71_SN2">Model!$AG$204</definedName>
    <definedName name="v_71_SNHx">Model!$AD$204</definedName>
    <definedName name="v_71_SNO2">Model!$AE$204</definedName>
    <definedName name="v_71_SNO3">Model!$AF$204</definedName>
    <definedName name="v_71_SO2">Model!$AR$204</definedName>
    <definedName name="v_71_SORPswitch">Model!$CB$204</definedName>
    <definedName name="v_71_SP_B">Model!$AN$204</definedName>
    <definedName name="v_71_SPFOA">Model!$BV$204</definedName>
    <definedName name="v_71_SPFOS">Model!$BX$204</definedName>
    <definedName name="v_71_SPO4">Model!$AL$204</definedName>
    <definedName name="v_71_SU">Model!$L$204</definedName>
    <definedName name="v_71_SVFA">Model!$E$204</definedName>
    <definedName name="v_71_XACP">Model!$BR$204</definedName>
    <definedName name="v_71_XAHO">Model!$U$204</definedName>
    <definedName name="v_71_XALGAE">Model!$AC$204</definedName>
    <definedName name="v_71_XAMETO">Model!$AA$204</definedName>
    <definedName name="v_71_XAMX">Model!$Z$204</definedName>
    <definedName name="v_71_XAOB">Model!$X$204</definedName>
    <definedName name="v_71_XB">Model!$J$204</definedName>
    <definedName name="v_71_XB_e">Model!$K$204</definedName>
    <definedName name="v_71_XBSH">Model!$BS$204</definedName>
    <definedName name="v_71_XCaCO3">Model!$BQ$204</definedName>
    <definedName name="v_71_XCASTO">Model!$V$204</definedName>
    <definedName name="v_71_XE">Model!$R$204</definedName>
    <definedName name="v_71_XE_ana">Model!$S$204</definedName>
    <definedName name="v_71_XHAO_H">Model!$BJ$204</definedName>
    <definedName name="v_71_XHAO_H_P">Model!$BM$204</definedName>
    <definedName name="v_71_XHAO_H_P_old">Model!$BO$204</definedName>
    <definedName name="v_71_XHAO_L">Model!$BK$204</definedName>
    <definedName name="v_71_XHAO_L_P">Model!$BN$204</definedName>
    <definedName name="v_71_XHAO_L_P_old">Model!$BP$204</definedName>
    <definedName name="v_71_XHAO_old">Model!$BL$204</definedName>
    <definedName name="v_71_XHFO_H">Model!$BC$204</definedName>
    <definedName name="v_71_XHFO_H_P">Model!$BF$204</definedName>
    <definedName name="v_71_XHFO_H_P_old">Model!$BH$204</definedName>
    <definedName name="v_71_XHFO_L">Model!$BD$204</definedName>
    <definedName name="v_71_XHFO_L_P">Model!$BG$204</definedName>
    <definedName name="v_71_XHFO_L_P_old">Model!$BI$204</definedName>
    <definedName name="v_71_XHFO_old">Model!$BE$204</definedName>
    <definedName name="v_71_XHMETO">Model!$AB$204</definedName>
    <definedName name="v_71_XINORG">Model!$AV$204</definedName>
    <definedName name="v_71_XMEOLO">Model!$W$204</definedName>
    <definedName name="v_71_XN_B">Model!$AI$204</definedName>
    <definedName name="v_71_XN_Be">Model!$AJ$204</definedName>
    <definedName name="v_71_XN_U">Model!$AK$204</definedName>
    <definedName name="v_71_XNOB">Model!$Y$204</definedName>
    <definedName name="v_71_XOHO">Model!$T$204</definedName>
    <definedName name="v_71_XP_B">Model!$AO$204</definedName>
    <definedName name="v_71_XP_Be">Model!$AP$204</definedName>
    <definedName name="v_71_XP_U">Model!$AQ$204</definedName>
    <definedName name="v_71_XPFOA">Model!$BW$204</definedName>
    <definedName name="v_71_XPFOS">Model!$BY$204</definedName>
    <definedName name="v_71_XPHA_GAO">Model!$Q$204</definedName>
    <definedName name="v_71_XPHA_PAO">Model!$P$204</definedName>
    <definedName name="v_71_XPP">Model!$AM$204</definedName>
    <definedName name="v_71_XSTO">Model!$O$204</definedName>
    <definedName name="v_71_XSTR">Model!$BT$204</definedName>
    <definedName name="v_71_XU">Model!$N$204</definedName>
    <definedName name="v_71_XVivi">Model!$BU$204</definedName>
    <definedName name="v_72_CB">Model!$I$205</definedName>
    <definedName name="v_72_CU">Model!$M$205</definedName>
    <definedName name="v_72_GCH4">Model!$CD$205</definedName>
    <definedName name="v_72_GCH4_atm">Model!$CJ$205</definedName>
    <definedName name="v_72_GCO2">Model!$CC$205</definedName>
    <definedName name="v_72_GCO2_atm">Model!$CI$205</definedName>
    <definedName name="v_72_GH2">Model!$CE$205</definedName>
    <definedName name="v_72_GH2_atm">Model!$CK$205</definedName>
    <definedName name="v_72_GN2">Model!$CH$205</definedName>
    <definedName name="v_72_GN2_atm">Model!$CN$205</definedName>
    <definedName name="v_72_GNH3">Model!$CG$205</definedName>
    <definedName name="v_72_GNH3_atm">Model!$CM$205</definedName>
    <definedName name="v_72_GO2">Model!$CF$205</definedName>
    <definedName name="v_72_GO2_atm">Model!$CL$205</definedName>
    <definedName name="v_72_SALPHA">Model!$CA$205</definedName>
    <definedName name="v_72_SAN">Model!$AX$205</definedName>
    <definedName name="v_72_SB_mono">Model!$F$205</definedName>
    <definedName name="v_72_SB_poly">Model!$G$205</definedName>
    <definedName name="v_72_SCa">Model!$AY$205</definedName>
    <definedName name="v_72_SCAT">Model!$AW$205</definedName>
    <definedName name="v_72_SCH4">Model!$AS$205</definedName>
    <definedName name="v_72_SCO2">Model!$AU$205</definedName>
    <definedName name="v_72_SFe2">Model!$BB$205</definedName>
    <definedName name="v_72_SH">Model!$BZ$205</definedName>
    <definedName name="v_72_SH2">Model!$AT$205</definedName>
    <definedName name="v_72_SK">Model!$BA$205</definedName>
    <definedName name="v_72_SMEOL">Model!$H$205</definedName>
    <definedName name="v_72_SMg">Model!$AZ$205</definedName>
    <definedName name="v_72_SN_B">Model!$AH$205</definedName>
    <definedName name="v_72_SN2">Model!$AG$205</definedName>
    <definedName name="v_72_SNHx">Model!$AD$205</definedName>
    <definedName name="v_72_SNO2">Model!$AE$205</definedName>
    <definedName name="v_72_SNO3">Model!$AF$205</definedName>
    <definedName name="v_72_SO2">Model!$AR$205</definedName>
    <definedName name="v_72_SORPswitch">Model!$CB$205</definedName>
    <definedName name="v_72_SP_B">Model!$AN$205</definedName>
    <definedName name="v_72_SPFOA">Model!$BV$205</definedName>
    <definedName name="v_72_SPFOS">Model!$BX$205</definedName>
    <definedName name="v_72_SPO4">Model!$AL$205</definedName>
    <definedName name="v_72_SU">Model!$L$205</definedName>
    <definedName name="v_72_SVFA">Model!$E$205</definedName>
    <definedName name="v_72_XACP">Model!$BR$205</definedName>
    <definedName name="v_72_XAHO">Model!$U$205</definedName>
    <definedName name="v_72_XALGAE">Model!$AC$205</definedName>
    <definedName name="v_72_XAMETO">Model!$AA$205</definedName>
    <definedName name="v_72_XAMX">Model!$Z$205</definedName>
    <definedName name="v_72_XAOB">Model!$X$205</definedName>
    <definedName name="v_72_XB">Model!$J$205</definedName>
    <definedName name="v_72_XB_e">Model!$K$205</definedName>
    <definedName name="v_72_XBSH">Model!$BS$205</definedName>
    <definedName name="v_72_XCaCO3">Model!$BQ$205</definedName>
    <definedName name="v_72_XCASTO">Model!$V$205</definedName>
    <definedName name="v_72_XE">Model!$R$205</definedName>
    <definedName name="v_72_XE_ana">Model!$S$205</definedName>
    <definedName name="v_72_XHAO_H">Model!$BJ$205</definedName>
    <definedName name="v_72_XHAO_H_P">Model!$BM$205</definedName>
    <definedName name="v_72_XHAO_H_P_old">Model!$BO$205</definedName>
    <definedName name="v_72_XHAO_L">Model!$BK$205</definedName>
    <definedName name="v_72_XHAO_L_P">Model!$BN$205</definedName>
    <definedName name="v_72_XHAO_L_P_old">Model!$BP$205</definedName>
    <definedName name="v_72_XHAO_old">Model!$BL$205</definedName>
    <definedName name="v_72_XHFO_H">Model!$BC$205</definedName>
    <definedName name="v_72_XHFO_H_P">Model!$BF$205</definedName>
    <definedName name="v_72_XHFO_H_P_old">Model!$BH$205</definedName>
    <definedName name="v_72_XHFO_L">Model!$BD$205</definedName>
    <definedName name="v_72_XHFO_L_P">Model!$BG$205</definedName>
    <definedName name="v_72_XHFO_L_P_old">Model!$BI$205</definedName>
    <definedName name="v_72_XHFO_old">Model!$BE$205</definedName>
    <definedName name="v_72_XHMETO">Model!$AB$205</definedName>
    <definedName name="v_72_XINORG">Model!$AV$205</definedName>
    <definedName name="v_72_XMEOLO">Model!$W$205</definedName>
    <definedName name="v_72_XN_B">Model!$AI$205</definedName>
    <definedName name="v_72_XN_Be">Model!$AJ$205</definedName>
    <definedName name="v_72_XN_U">Model!$AK$205</definedName>
    <definedName name="v_72_XNOB">Model!$Y$205</definedName>
    <definedName name="v_72_XOHO">Model!$T$205</definedName>
    <definedName name="v_72_XP_B">Model!$AO$205</definedName>
    <definedName name="v_72_XP_Be">Model!$AP$205</definedName>
    <definedName name="v_72_XP_U">Model!$AQ$205</definedName>
    <definedName name="v_72_XPFOA">Model!$BW$205</definedName>
    <definedName name="v_72_XPFOS">Model!$BY$205</definedName>
    <definedName name="v_72_XPHA_GAO">Model!$Q$205</definedName>
    <definedName name="v_72_XPHA_PAO">Model!$P$205</definedName>
    <definedName name="v_72_XPP">Model!$AM$205</definedName>
    <definedName name="v_72_XSTO">Model!$O$205</definedName>
    <definedName name="v_72_XSTR">Model!$BT$205</definedName>
    <definedName name="v_72_XU">Model!$N$205</definedName>
    <definedName name="v_72_XVivi">Model!$BU$205</definedName>
    <definedName name="v_73_CB">Model!$I$206</definedName>
    <definedName name="v_73_CU">Model!$M$206</definedName>
    <definedName name="v_73_GCH4">Model!$CD$206</definedName>
    <definedName name="v_73_GCH4_atm">Model!$CJ$206</definedName>
    <definedName name="v_73_GCO2">Model!$CC$206</definedName>
    <definedName name="v_73_GCO2_atm">Model!$CI$206</definedName>
    <definedName name="v_73_GH2">Model!$CE$206</definedName>
    <definedName name="v_73_GH2_atm">Model!$CK$206</definedName>
    <definedName name="v_73_GN2">Model!$CH$206</definedName>
    <definedName name="v_73_GN2_atm">Model!$CN$206</definedName>
    <definedName name="v_73_GNH3">Model!$CG$206</definedName>
    <definedName name="v_73_GNH3_atm">Model!$CM$206</definedName>
    <definedName name="v_73_GO2">Model!$CF$206</definedName>
    <definedName name="v_73_GO2_atm">Model!$CL$206</definedName>
    <definedName name="v_73_SALPHA">Model!$CA$206</definedName>
    <definedName name="v_73_SAN">Model!$AX$206</definedName>
    <definedName name="v_73_SB_mono">Model!$F$206</definedName>
    <definedName name="v_73_SB_poly">Model!$G$206</definedName>
    <definedName name="v_73_SCa">Model!$AY$206</definedName>
    <definedName name="v_73_SCAT">Model!$AW$206</definedName>
    <definedName name="v_73_SCH4">Model!$AS$206</definedName>
    <definedName name="v_73_SCO2">Model!$AU$206</definedName>
    <definedName name="v_73_SFe2">Model!$BB$206</definedName>
    <definedName name="v_73_SH">Model!$BZ$206</definedName>
    <definedName name="v_73_SH2">Model!$AT$206</definedName>
    <definedName name="v_73_SK">Model!$BA$206</definedName>
    <definedName name="v_73_SMEOL">Model!$H$206</definedName>
    <definedName name="v_73_SMg">Model!$AZ$206</definedName>
    <definedName name="v_73_SN_B">Model!$AH$206</definedName>
    <definedName name="v_73_SN2">Model!$AG$206</definedName>
    <definedName name="v_73_SNHx">Model!$AD$206</definedName>
    <definedName name="v_73_SNO2">Model!$AE$206</definedName>
    <definedName name="v_73_SNO3">Model!$AF$206</definedName>
    <definedName name="v_73_SO2">Model!$AR$206</definedName>
    <definedName name="v_73_SORPswitch">Model!$CB$206</definedName>
    <definedName name="v_73_SP_B">Model!$AN$206</definedName>
    <definedName name="v_73_SPFOA">Model!$BV$206</definedName>
    <definedName name="v_73_SPFOS">Model!$BX$206</definedName>
    <definedName name="v_73_SPO4">Model!$AL$206</definedName>
    <definedName name="v_73_SU">Model!$L$206</definedName>
    <definedName name="v_73_SVFA">Model!$E$206</definedName>
    <definedName name="v_73_XACP">Model!$BR$206</definedName>
    <definedName name="v_73_XAHO">Model!$U$206</definedName>
    <definedName name="v_73_XALGAE">Model!$AC$206</definedName>
    <definedName name="v_73_XAMETO">Model!$AA$206</definedName>
    <definedName name="v_73_XAMX">Model!$Z$206</definedName>
    <definedName name="v_73_XAOB">Model!$X$206</definedName>
    <definedName name="v_73_XB">Model!$J$206</definedName>
    <definedName name="v_73_XB_e">Model!$K$206</definedName>
    <definedName name="v_73_XBSH">Model!$BS$206</definedName>
    <definedName name="v_73_XCaCO3">Model!$BQ$206</definedName>
    <definedName name="v_73_XCASTO">Model!$V$206</definedName>
    <definedName name="v_73_XE">Model!$R$206</definedName>
    <definedName name="v_73_XE_ana">Model!$S$206</definedName>
    <definedName name="v_73_XHAO_H">Model!$BJ$206</definedName>
    <definedName name="v_73_XHAO_H_P">Model!$BM$206</definedName>
    <definedName name="v_73_XHAO_H_P_old">Model!$BO$206</definedName>
    <definedName name="v_73_XHAO_L">Model!$BK$206</definedName>
    <definedName name="v_73_XHAO_L_P">Model!$BN$206</definedName>
    <definedName name="v_73_XHAO_L_P_old">Model!$BP$206</definedName>
    <definedName name="v_73_XHAO_old">Model!$BL$206</definedName>
    <definedName name="v_73_XHFO_H">Model!$BC$206</definedName>
    <definedName name="v_73_XHFO_H_P">Model!$BF$206</definedName>
    <definedName name="v_73_XHFO_H_P_old">Model!$BH$206</definedName>
    <definedName name="v_73_XHFO_L">Model!$BD$206</definedName>
    <definedName name="v_73_XHFO_L_P">Model!$BG$206</definedName>
    <definedName name="v_73_XHFO_L_P_old">Model!$BI$206</definedName>
    <definedName name="v_73_XHFO_old">Model!$BE$206</definedName>
    <definedName name="v_73_XHMETO">Model!$AB$206</definedName>
    <definedName name="v_73_XINORG">Model!$AV$206</definedName>
    <definedName name="v_73_XMEOLO">Model!$W$206</definedName>
    <definedName name="v_73_XN_B">Model!$AI$206</definedName>
    <definedName name="v_73_XN_Be">Model!$AJ$206</definedName>
    <definedName name="v_73_XN_U">Model!$AK$206</definedName>
    <definedName name="v_73_XNOB">Model!$Y$206</definedName>
    <definedName name="v_73_XOHO">Model!$T$206</definedName>
    <definedName name="v_73_XP_B">Model!$AO$206</definedName>
    <definedName name="v_73_XP_Be">Model!$AP$206</definedName>
    <definedName name="v_73_XP_U">Model!$AQ$206</definedName>
    <definedName name="v_73_XPFOA">Model!$BW$206</definedName>
    <definedName name="v_73_XPFOS">Model!$BY$206</definedName>
    <definedName name="v_73_XPHA_GAO">Model!$Q$206</definedName>
    <definedName name="v_73_XPHA_PAO">Model!$P$206</definedName>
    <definedName name="v_73_XPP">Model!$AM$206</definedName>
    <definedName name="v_73_XSTO">Model!$O$206</definedName>
    <definedName name="v_73_XSTR">Model!$BT$206</definedName>
    <definedName name="v_73_XU">Model!$N$206</definedName>
    <definedName name="v_73_XVivi">Model!$BU$206</definedName>
    <definedName name="v_74_CB">Model!$I$207</definedName>
    <definedName name="v_74_CU">Model!$M$207</definedName>
    <definedName name="v_74_GCH4">Model!$CD$207</definedName>
    <definedName name="v_74_GCH4_atm">Model!$CJ$207</definedName>
    <definedName name="v_74_GCO2">Model!$CC$207</definedName>
    <definedName name="v_74_GCO2_atm">Model!$CI$207</definedName>
    <definedName name="v_74_GH2">Model!$CE$207</definedName>
    <definedName name="v_74_GH2_atm">Model!$CK$207</definedName>
    <definedName name="v_74_GN2">Model!$CH$207</definedName>
    <definedName name="v_74_GN2_atm">Model!$CN$207</definedName>
    <definedName name="v_74_GNH3">Model!$CG$207</definedName>
    <definedName name="v_74_GNH3_atm">Model!$CM$207</definedName>
    <definedName name="v_74_GO2">Model!$CF$207</definedName>
    <definedName name="v_74_GO2_atm">Model!$CL$207</definedName>
    <definedName name="v_74_SALPHA">Model!$CA$207</definedName>
    <definedName name="v_74_SAN">Model!$AX$207</definedName>
    <definedName name="v_74_SB_mono">Model!$F$207</definedName>
    <definedName name="v_74_SB_poly">Model!$G$207</definedName>
    <definedName name="v_74_SCa">Model!$AY$207</definedName>
    <definedName name="v_74_SCAT">Model!$AW$207</definedName>
    <definedName name="v_74_SCH4">Model!$AS$207</definedName>
    <definedName name="v_74_SCO2">Model!$AU$207</definedName>
    <definedName name="v_74_SFe2">Model!$BB$207</definedName>
    <definedName name="v_74_SH">Model!$BZ$207</definedName>
    <definedName name="v_74_SH2">Model!$AT$207</definedName>
    <definedName name="v_74_SK">Model!$BA$207</definedName>
    <definedName name="v_74_SMEOL">Model!$H$207</definedName>
    <definedName name="v_74_SMg">Model!$AZ$207</definedName>
    <definedName name="v_74_SN_B">Model!$AH$207</definedName>
    <definedName name="v_74_SN2">Model!$AG$207</definedName>
    <definedName name="v_74_SNHx">Model!$AD$207</definedName>
    <definedName name="v_74_SNO2">Model!$AE$207</definedName>
    <definedName name="v_74_SNO3">Model!$AF$207</definedName>
    <definedName name="v_74_SO2">Model!$AR$207</definedName>
    <definedName name="v_74_SORPswitch">Model!$CB$207</definedName>
    <definedName name="v_74_SP_B">Model!$AN$207</definedName>
    <definedName name="v_74_SPFOA">Model!$BV$207</definedName>
    <definedName name="v_74_SPFOS">Model!$BX$207</definedName>
    <definedName name="v_74_SPO4">Model!$AL$207</definedName>
    <definedName name="v_74_SU">Model!$L$207</definedName>
    <definedName name="v_74_SVFA">Model!$E$207</definedName>
    <definedName name="v_74_XACP">Model!$BR$207</definedName>
    <definedName name="v_74_XAHO">Model!$U$207</definedName>
    <definedName name="v_74_XALGAE">Model!$AC$207</definedName>
    <definedName name="v_74_XAMETO">Model!$AA$207</definedName>
    <definedName name="v_74_XAMX">Model!$Z$207</definedName>
    <definedName name="v_74_XAOB">Model!$X$207</definedName>
    <definedName name="v_74_XB">Model!$J$207</definedName>
    <definedName name="v_74_XB_e">Model!$K$207</definedName>
    <definedName name="v_74_XBSH">Model!$BS$207</definedName>
    <definedName name="v_74_XCaCO3">Model!$BQ$207</definedName>
    <definedName name="v_74_XCASTO">Model!$V$207</definedName>
    <definedName name="v_74_XE">Model!$R$207</definedName>
    <definedName name="v_74_XE_ana">Model!$S$207</definedName>
    <definedName name="v_74_XHAO_H">Model!$BJ$207</definedName>
    <definedName name="v_74_XHAO_H_P">Model!$BM$207</definedName>
    <definedName name="v_74_XHAO_H_P_old">Model!$BO$207</definedName>
    <definedName name="v_74_XHAO_L">Model!$BK$207</definedName>
    <definedName name="v_74_XHAO_L_P">Model!$BN$207</definedName>
    <definedName name="v_74_XHAO_L_P_old">Model!$BP$207</definedName>
    <definedName name="v_74_XHAO_old">Model!$BL$207</definedName>
    <definedName name="v_74_XHFO_H">Model!$BC$207</definedName>
    <definedName name="v_74_XHFO_H_P">Model!$BF$207</definedName>
    <definedName name="v_74_XHFO_H_P_old">Model!$BH$207</definedName>
    <definedName name="v_74_XHFO_L">Model!$BD$207</definedName>
    <definedName name="v_74_XHFO_L_P">Model!$BG$207</definedName>
    <definedName name="v_74_XHFO_L_P_old">Model!$BI$207</definedName>
    <definedName name="v_74_XHFO_old">Model!$BE$207</definedName>
    <definedName name="v_74_XHMETO">Model!$AB$207</definedName>
    <definedName name="v_74_XINORG">Model!$AV$207</definedName>
    <definedName name="v_74_XMEOLO">Model!$W$207</definedName>
    <definedName name="v_74_XN_B">Model!$AI$207</definedName>
    <definedName name="v_74_XN_Be">Model!$AJ$207</definedName>
    <definedName name="v_74_XN_U">Model!$AK$207</definedName>
    <definedName name="v_74_XNOB">Model!$Y$207</definedName>
    <definedName name="v_74_XOHO">Model!$T$207</definedName>
    <definedName name="v_74_XP_B">Model!$AO$207</definedName>
    <definedName name="v_74_XP_Be">Model!$AP$207</definedName>
    <definedName name="v_74_XP_U">Model!$AQ$207</definedName>
    <definedName name="v_74_XPFOA">Model!$BW$207</definedName>
    <definedName name="v_74_XPFOS">Model!$BY$207</definedName>
    <definedName name="v_74_XPHA_GAO">Model!$Q$207</definedName>
    <definedName name="v_74_XPHA_PAO">Model!$P$207</definedName>
    <definedName name="v_74_XPP">Model!$AM$207</definedName>
    <definedName name="v_74_XSTO">Model!$O$207</definedName>
    <definedName name="v_74_XSTR">Model!$BT$207</definedName>
    <definedName name="v_74_XU">Model!$N$207</definedName>
    <definedName name="v_74_XVivi">Model!$BU$207</definedName>
    <definedName name="v_75_CB">Model!$I$208</definedName>
    <definedName name="v_75_CU">Model!$M$208</definedName>
    <definedName name="v_75_GCH4">Model!$CD$208</definedName>
    <definedName name="v_75_GCH4_atm">Model!$CJ$208</definedName>
    <definedName name="v_75_GCO2">Model!$CC$208</definedName>
    <definedName name="v_75_GCO2_atm">Model!$CI$208</definedName>
    <definedName name="v_75_GH2">Model!$CE$208</definedName>
    <definedName name="v_75_GH2_atm">Model!$CK$208</definedName>
    <definedName name="v_75_GN2">Model!$CH$208</definedName>
    <definedName name="v_75_GN2_atm">Model!$CN$208</definedName>
    <definedName name="v_75_GNH3">Model!$CG$208</definedName>
    <definedName name="v_75_GNH3_atm">Model!$CM$208</definedName>
    <definedName name="v_75_GO2">Model!$CF$208</definedName>
    <definedName name="v_75_GO2_atm">Model!$CL$208</definedName>
    <definedName name="v_75_SALPHA">Model!$CA$208</definedName>
    <definedName name="v_75_SAN">Model!$AX$208</definedName>
    <definedName name="v_75_SB_mono">Model!$F$208</definedName>
    <definedName name="v_75_SB_poly">Model!$G$208</definedName>
    <definedName name="v_75_SCa">Model!$AY$208</definedName>
    <definedName name="v_75_SCAT">Model!$AW$208</definedName>
    <definedName name="v_75_SCH4">Model!$AS$208</definedName>
    <definedName name="v_75_SCO2">Model!$AU$208</definedName>
    <definedName name="v_75_SFe2">Model!$BB$208</definedName>
    <definedName name="v_75_SH">Model!$BZ$208</definedName>
    <definedName name="v_75_SH2">Model!$AT$208</definedName>
    <definedName name="v_75_SK">Model!$BA$208</definedName>
    <definedName name="v_75_SMEOL">Model!$H$208</definedName>
    <definedName name="v_75_SMg">Model!$AZ$208</definedName>
    <definedName name="v_75_SN_B">Model!$AH$208</definedName>
    <definedName name="v_75_SN2">Model!$AG$208</definedName>
    <definedName name="v_75_SNHx">Model!$AD$208</definedName>
    <definedName name="v_75_SNO2">Model!$AE$208</definedName>
    <definedName name="v_75_SNO3">Model!$AF$208</definedName>
    <definedName name="v_75_SO2">Model!$AR$208</definedName>
    <definedName name="v_75_SORPswitch">Model!$CB$208</definedName>
    <definedName name="v_75_SP_B">Model!$AN$208</definedName>
    <definedName name="v_75_SPFOA">Model!$BV$208</definedName>
    <definedName name="v_75_SPFOS">Model!$BX$208</definedName>
    <definedName name="v_75_SPO4">Model!$AL$208</definedName>
    <definedName name="v_75_SU">Model!$L$208</definedName>
    <definedName name="v_75_SVFA">Model!$E$208</definedName>
    <definedName name="v_75_XACP">Model!$BR$208</definedName>
    <definedName name="v_75_XAHO">Model!$U$208</definedName>
    <definedName name="v_75_XALGAE">Model!$AC$208</definedName>
    <definedName name="v_75_XAMETO">Model!$AA$208</definedName>
    <definedName name="v_75_XAMX">Model!$Z$208</definedName>
    <definedName name="v_75_XAOB">Model!$X$208</definedName>
    <definedName name="v_75_XB">Model!$J$208</definedName>
    <definedName name="v_75_XB_e">Model!$K$208</definedName>
    <definedName name="v_75_XBSH">Model!$BS$208</definedName>
    <definedName name="v_75_XCaCO3">Model!$BQ$208</definedName>
    <definedName name="v_75_XCASTO">Model!$V$208</definedName>
    <definedName name="v_75_XE">Model!$R$208</definedName>
    <definedName name="v_75_XE_ana">Model!$S$208</definedName>
    <definedName name="v_75_XHAO_H">Model!$BJ$208</definedName>
    <definedName name="v_75_XHAO_H_P">Model!$BM$208</definedName>
    <definedName name="v_75_XHAO_H_P_old">Model!$BO$208</definedName>
    <definedName name="v_75_XHAO_L">Model!$BK$208</definedName>
    <definedName name="v_75_XHAO_L_P">Model!$BN$208</definedName>
    <definedName name="v_75_XHAO_L_P_old">Model!$BP$208</definedName>
    <definedName name="v_75_XHAO_old">Model!$BL$208</definedName>
    <definedName name="v_75_XHFO_H">Model!$BC$208</definedName>
    <definedName name="v_75_XHFO_H_P">Model!$BF$208</definedName>
    <definedName name="v_75_XHFO_H_P_old">Model!$BH$208</definedName>
    <definedName name="v_75_XHFO_L">Model!$BD$208</definedName>
    <definedName name="v_75_XHFO_L_P">Model!$BG$208</definedName>
    <definedName name="v_75_XHFO_L_P_old">Model!$BI$208</definedName>
    <definedName name="v_75_XHFO_old">Model!$BE$208</definedName>
    <definedName name="v_75_XHMETO">Model!$AB$208</definedName>
    <definedName name="v_75_XINORG">Model!$AV$208</definedName>
    <definedName name="v_75_XMEOLO">Model!$W$208</definedName>
    <definedName name="v_75_XN_B">Model!$AI$208</definedName>
    <definedName name="v_75_XN_Be">Model!$AJ$208</definedName>
    <definedName name="v_75_XN_U">Model!$AK$208</definedName>
    <definedName name="v_75_XNOB">Model!$Y$208</definedName>
    <definedName name="v_75_XOHO">Model!$T$208</definedName>
    <definedName name="v_75_XP_B">Model!$AO$208</definedName>
    <definedName name="v_75_XP_Be">Model!$AP$208</definedName>
    <definedName name="v_75_XP_U">Model!$AQ$208</definedName>
    <definedName name="v_75_XPFOA">Model!$BW$208</definedName>
    <definedName name="v_75_XPFOS">Model!$BY$208</definedName>
    <definedName name="v_75_XPHA_GAO">Model!$Q$208</definedName>
    <definedName name="v_75_XPHA_PAO">Model!$P$208</definedName>
    <definedName name="v_75_XPP">Model!$AM$208</definedName>
    <definedName name="v_75_XSTO">Model!$O$208</definedName>
    <definedName name="v_75_XSTR">Model!$BT$208</definedName>
    <definedName name="v_75_XU">Model!$N$208</definedName>
    <definedName name="v_75_XVivi">Model!$BU$208</definedName>
    <definedName name="v_76_CB">Model!$I$209</definedName>
    <definedName name="v_76_CU">Model!$M$209</definedName>
    <definedName name="v_76_GCH4">Model!$CD$209</definedName>
    <definedName name="v_76_GCH4_atm">Model!$CJ$209</definedName>
    <definedName name="v_76_GCO2">Model!$CC$209</definedName>
    <definedName name="v_76_GCO2_atm">Model!$CI$209</definedName>
    <definedName name="v_76_GH2">Model!$CE$209</definedName>
    <definedName name="v_76_GH2_atm">Model!$CK$209</definedName>
    <definedName name="v_76_GN2">Model!$CH$209</definedName>
    <definedName name="v_76_GN2_atm">Model!$CN$209</definedName>
    <definedName name="v_76_GNH3">Model!$CG$209</definedName>
    <definedName name="v_76_GNH3_atm">Model!$CM$209</definedName>
    <definedName name="v_76_GO2">Model!$CF$209</definedName>
    <definedName name="v_76_GO2_atm">Model!$CL$209</definedName>
    <definedName name="v_76_SALPHA">Model!$CA$209</definedName>
    <definedName name="v_76_SAN">Model!$AX$209</definedName>
    <definedName name="v_76_SB_mono">Model!$F$209</definedName>
    <definedName name="v_76_SB_poly">Model!$G$209</definedName>
    <definedName name="v_76_SCa">Model!$AY$209</definedName>
    <definedName name="v_76_SCAT">Model!$AW$209</definedName>
    <definedName name="v_76_SCH4">Model!$AS$209</definedName>
    <definedName name="v_76_SCO2">Model!$AU$209</definedName>
    <definedName name="v_76_SFe2">Model!$BB$209</definedName>
    <definedName name="v_76_SH">Model!$BZ$209</definedName>
    <definedName name="v_76_SH2">Model!$AT$209</definedName>
    <definedName name="v_76_SK">Model!$BA$209</definedName>
    <definedName name="v_76_SMEOL">Model!$H$209</definedName>
    <definedName name="v_76_SMg">Model!$AZ$209</definedName>
    <definedName name="v_76_SN_B">Model!$AH$209</definedName>
    <definedName name="v_76_SN2">Model!$AG$209</definedName>
    <definedName name="v_76_SNHx">Model!$AD$209</definedName>
    <definedName name="v_76_SNO2">Model!$AE$209</definedName>
    <definedName name="v_76_SNO3">Model!$AF$209</definedName>
    <definedName name="v_76_SO2">Model!$AR$209</definedName>
    <definedName name="v_76_SORPswitch">Model!$CB$209</definedName>
    <definedName name="v_76_SP_B">Model!$AN$209</definedName>
    <definedName name="v_76_SPFOA">Model!$BV$209</definedName>
    <definedName name="v_76_SPFOS">Model!$BX$209</definedName>
    <definedName name="v_76_SPO4">Model!$AL$209</definedName>
    <definedName name="v_76_SU">Model!$L$209</definedName>
    <definedName name="v_76_SVFA">Model!$E$209</definedName>
    <definedName name="v_76_XACP">Model!$BR$209</definedName>
    <definedName name="v_76_XAHO">Model!$U$209</definedName>
    <definedName name="v_76_XALGAE">Model!$AC$209</definedName>
    <definedName name="v_76_XAMETO">Model!$AA$209</definedName>
    <definedName name="v_76_XAMX">Model!$Z$209</definedName>
    <definedName name="v_76_XAOB">Model!$X$209</definedName>
    <definedName name="v_76_XB">Model!$J$209</definedName>
    <definedName name="v_76_XB_e">Model!$K$209</definedName>
    <definedName name="v_76_XBSH">Model!$BS$209</definedName>
    <definedName name="v_76_XCaCO3">Model!$BQ$209</definedName>
    <definedName name="v_76_XCASTO">Model!$V$209</definedName>
    <definedName name="v_76_XE">Model!$R$209</definedName>
    <definedName name="v_76_XE_ana">Model!$S$209</definedName>
    <definedName name="v_76_XHAO_H">Model!$BJ$209</definedName>
    <definedName name="v_76_XHAO_H_P">Model!$BM$209</definedName>
    <definedName name="v_76_XHAO_H_P_old">Model!$BO$209</definedName>
    <definedName name="v_76_XHAO_L">Model!$BK$209</definedName>
    <definedName name="v_76_XHAO_L_P">Model!$BN$209</definedName>
    <definedName name="v_76_XHAO_L_P_old">Model!$BP$209</definedName>
    <definedName name="v_76_XHAO_old">Model!$BL$209</definedName>
    <definedName name="v_76_XHFO_H">Model!$BC$209</definedName>
    <definedName name="v_76_XHFO_H_P">Model!$BF$209</definedName>
    <definedName name="v_76_XHFO_H_P_old">Model!$BH$209</definedName>
    <definedName name="v_76_XHFO_L">Model!$BD$209</definedName>
    <definedName name="v_76_XHFO_L_P">Model!$BG$209</definedName>
    <definedName name="v_76_XHFO_L_P_old">Model!$BI$209</definedName>
    <definedName name="v_76_XHFO_old">Model!$BE$209</definedName>
    <definedName name="v_76_XHMETO">Model!$AB$209</definedName>
    <definedName name="v_76_XINORG">Model!$AV$209</definedName>
    <definedName name="v_76_XMEOLO">Model!$W$209</definedName>
    <definedName name="v_76_XN_B">Model!$AI$209</definedName>
    <definedName name="v_76_XN_Be">Model!$AJ$209</definedName>
    <definedName name="v_76_XN_U">Model!$AK$209</definedName>
    <definedName name="v_76_XNOB">Model!$Y$209</definedName>
    <definedName name="v_76_XOHO">Model!$T$209</definedName>
    <definedName name="v_76_XP_B">Model!$AO$209</definedName>
    <definedName name="v_76_XP_Be">Model!$AP$209</definedName>
    <definedName name="v_76_XP_U">Model!$AQ$209</definedName>
    <definedName name="v_76_XPFOA">Model!$BW$209</definedName>
    <definedName name="v_76_XPFOS">Model!$BY$209</definedName>
    <definedName name="v_76_XPHA_GAO">Model!$Q$209</definedName>
    <definedName name="v_76_XPHA_PAO">Model!$P$209</definedName>
    <definedName name="v_76_XPP">Model!$AM$209</definedName>
    <definedName name="v_76_XSTO">Model!$O$209</definedName>
    <definedName name="v_76_XSTR">Model!$BT$209</definedName>
    <definedName name="v_76_XU">Model!$N$209</definedName>
    <definedName name="v_76_XVivi">Model!$BU$209</definedName>
    <definedName name="v_77_CB">Model!$I$210</definedName>
    <definedName name="v_77_CU">Model!$M$210</definedName>
    <definedName name="v_77_GCH4">Model!$CD$210</definedName>
    <definedName name="v_77_GCH4_atm">Model!$CJ$210</definedName>
    <definedName name="v_77_GCO2">Model!$CC$210</definedName>
    <definedName name="v_77_GCO2_atm">Model!$CI$210</definedName>
    <definedName name="v_77_GH2">Model!$CE$210</definedName>
    <definedName name="v_77_GH2_atm">Model!$CK$210</definedName>
    <definedName name="v_77_GN2">Model!$CH$210</definedName>
    <definedName name="v_77_GN2_atm">Model!$CN$210</definedName>
    <definedName name="v_77_GNH3">Model!$CG$210</definedName>
    <definedName name="v_77_GNH3_atm">Model!$CM$210</definedName>
    <definedName name="v_77_GO2">Model!$CF$210</definedName>
    <definedName name="v_77_GO2_atm">Model!$CL$210</definedName>
    <definedName name="v_77_SALPHA">Model!$CA$210</definedName>
    <definedName name="v_77_SAN">Model!$AX$210</definedName>
    <definedName name="v_77_SB_mono">Model!$F$210</definedName>
    <definedName name="v_77_SB_poly">Model!$G$210</definedName>
    <definedName name="v_77_SCa">Model!$AY$210</definedName>
    <definedName name="v_77_SCAT">Model!$AW$210</definedName>
    <definedName name="v_77_SCH4">Model!$AS$210</definedName>
    <definedName name="v_77_SCO2">Model!$AU$210</definedName>
    <definedName name="v_77_SFe2">Model!$BB$210</definedName>
    <definedName name="v_77_SH">Model!$BZ$210</definedName>
    <definedName name="v_77_SH2">Model!$AT$210</definedName>
    <definedName name="v_77_SK">Model!$BA$210</definedName>
    <definedName name="v_77_SMEOL">Model!$H$210</definedName>
    <definedName name="v_77_SMg">Model!$AZ$210</definedName>
    <definedName name="v_77_SN_B">Model!$AH$210</definedName>
    <definedName name="v_77_SN2">Model!$AG$210</definedName>
    <definedName name="v_77_SNHx">Model!$AD$210</definedName>
    <definedName name="v_77_SNO2">Model!$AE$210</definedName>
    <definedName name="v_77_SNO3">Model!$AF$210</definedName>
    <definedName name="v_77_SO2">Model!$AR$210</definedName>
    <definedName name="v_77_SORPswitch">Model!$CB$210</definedName>
    <definedName name="v_77_SP_B">Model!$AN$210</definedName>
    <definedName name="v_77_SPFOA">Model!$BV$210</definedName>
    <definedName name="v_77_SPFOS">Model!$BX$210</definedName>
    <definedName name="v_77_SPO4">Model!$AL$210</definedName>
    <definedName name="v_77_SU">Model!$L$210</definedName>
    <definedName name="v_77_SVFA">Model!$E$210</definedName>
    <definedName name="v_77_XACP">Model!$BR$210</definedName>
    <definedName name="v_77_XAHO">Model!$U$210</definedName>
    <definedName name="v_77_XALGAE">Model!$AC$210</definedName>
    <definedName name="v_77_XAMETO">Model!$AA$210</definedName>
    <definedName name="v_77_XAMX">Model!$Z$210</definedName>
    <definedName name="v_77_XAOB">Model!$X$210</definedName>
    <definedName name="v_77_XB">Model!$J$210</definedName>
    <definedName name="v_77_XB_e">Model!$K$210</definedName>
    <definedName name="v_77_XBSH">Model!$BS$210</definedName>
    <definedName name="v_77_XCaCO3">Model!$BQ$210</definedName>
    <definedName name="v_77_XCASTO">Model!$V$210</definedName>
    <definedName name="v_77_XE">Model!$R$210</definedName>
    <definedName name="v_77_XE_ana">Model!$S$210</definedName>
    <definedName name="v_77_XHAO_H">Model!$BJ$210</definedName>
    <definedName name="v_77_XHAO_H_P">Model!$BM$210</definedName>
    <definedName name="v_77_XHAO_H_P_old">Model!$BO$210</definedName>
    <definedName name="v_77_XHAO_L">Model!$BK$210</definedName>
    <definedName name="v_77_XHAO_L_P">Model!$BN$210</definedName>
    <definedName name="v_77_XHAO_L_P_old">Model!$BP$210</definedName>
    <definedName name="v_77_XHAO_old">Model!$BL$210</definedName>
    <definedName name="v_77_XHFO_H">Model!$BC$210</definedName>
    <definedName name="v_77_XHFO_H_P">Model!$BF$210</definedName>
    <definedName name="v_77_XHFO_H_P_old">Model!$BH$210</definedName>
    <definedName name="v_77_XHFO_L">Model!$BD$210</definedName>
    <definedName name="v_77_XHFO_L_P">Model!$BG$210</definedName>
    <definedName name="v_77_XHFO_L_P_old">Model!$BI$210</definedName>
    <definedName name="v_77_XHFO_old">Model!$BE$210</definedName>
    <definedName name="v_77_XHMETO">Model!$AB$210</definedName>
    <definedName name="v_77_XINORG">Model!$AV$210</definedName>
    <definedName name="v_77_XMEOLO">Model!$W$210</definedName>
    <definedName name="v_77_XN_B">Model!$AI$210</definedName>
    <definedName name="v_77_XN_Be">Model!$AJ$210</definedName>
    <definedName name="v_77_XN_U">Model!$AK$210</definedName>
    <definedName name="v_77_XNOB">Model!$Y$210</definedName>
    <definedName name="v_77_XOHO">Model!$T$210</definedName>
    <definedName name="v_77_XP_B">Model!$AO$210</definedName>
    <definedName name="v_77_XP_Be">Model!$AP$210</definedName>
    <definedName name="v_77_XP_U">Model!$AQ$210</definedName>
    <definedName name="v_77_XPFOA">Model!$BW$210</definedName>
    <definedName name="v_77_XPFOS">Model!$BY$210</definedName>
    <definedName name="v_77_XPHA_GAO">Model!$Q$210</definedName>
    <definedName name="v_77_XPHA_PAO">Model!$P$210</definedName>
    <definedName name="v_77_XPP">Model!$AM$210</definedName>
    <definedName name="v_77_XSTO">Model!$O$210</definedName>
    <definedName name="v_77_XSTR">Model!$BT$210</definedName>
    <definedName name="v_77_XU">Model!$N$210</definedName>
    <definedName name="v_77_XVivi">Model!$BU$210</definedName>
    <definedName name="v_78_CB">Model!$I$211</definedName>
    <definedName name="v_78_CU">Model!$M$211</definedName>
    <definedName name="v_78_GCH4">Model!$CD$211</definedName>
    <definedName name="v_78_GCH4_atm">Model!$CJ$211</definedName>
    <definedName name="v_78_GCO2">Model!$CC$211</definedName>
    <definedName name="v_78_GCO2_atm">Model!$CI$211</definedName>
    <definedName name="v_78_GH2">Model!$CE$211</definedName>
    <definedName name="v_78_GH2_atm">Model!$CK$211</definedName>
    <definedName name="v_78_GN2">Model!$CH$211</definedName>
    <definedName name="v_78_GN2_atm">Model!$CN$211</definedName>
    <definedName name="v_78_GNH3">Model!$CG$211</definedName>
    <definedName name="v_78_GNH3_atm">Model!$CM$211</definedName>
    <definedName name="v_78_GO2">Model!$CF$211</definedName>
    <definedName name="v_78_GO2_atm">Model!$CL$211</definedName>
    <definedName name="v_78_SALPHA">Model!$CA$211</definedName>
    <definedName name="v_78_SAN">Model!$AX$211</definedName>
    <definedName name="v_78_SB_mono">Model!$F$211</definedName>
    <definedName name="v_78_SB_poly">Model!$G$211</definedName>
    <definedName name="v_78_SCa">Model!$AY$211</definedName>
    <definedName name="v_78_SCAT">Model!$AW$211</definedName>
    <definedName name="v_78_SCH4">Model!$AS$211</definedName>
    <definedName name="v_78_SCO2">Model!$AU$211</definedName>
    <definedName name="v_78_SFe2">Model!$BB$211</definedName>
    <definedName name="v_78_SH">Model!$BZ$211</definedName>
    <definedName name="v_78_SH2">Model!$AT$211</definedName>
    <definedName name="v_78_SK">Model!$BA$211</definedName>
    <definedName name="v_78_SMEOL">Model!$H$211</definedName>
    <definedName name="v_78_SMg">Model!$AZ$211</definedName>
    <definedName name="v_78_SN_B">Model!$AH$211</definedName>
    <definedName name="v_78_SN2">Model!$AG$211</definedName>
    <definedName name="v_78_SNHx">Model!$AD$211</definedName>
    <definedName name="v_78_SNO2">Model!$AE$211</definedName>
    <definedName name="v_78_SNO3">Model!$AF$211</definedName>
    <definedName name="v_78_SO2">Model!$AR$211</definedName>
    <definedName name="v_78_SORPswitch">Model!$CB$211</definedName>
    <definedName name="v_78_SP_B">Model!$AN$211</definedName>
    <definedName name="v_78_SPFOA">Model!$BV$211</definedName>
    <definedName name="v_78_SPFOS">Model!$BX$211</definedName>
    <definedName name="v_78_SPO4">Model!$AL$211</definedName>
    <definedName name="v_78_SU">Model!$L$211</definedName>
    <definedName name="v_78_SVFA">Model!$E$211</definedName>
    <definedName name="v_78_XACP">Model!$BR$211</definedName>
    <definedName name="v_78_XAHO">Model!$U$211</definedName>
    <definedName name="v_78_XALGAE">Model!$AC$211</definedName>
    <definedName name="v_78_XAMETO">Model!$AA$211</definedName>
    <definedName name="v_78_XAMX">Model!$Z$211</definedName>
    <definedName name="v_78_XAOB">Model!$X$211</definedName>
    <definedName name="v_78_XB">Model!$J$211</definedName>
    <definedName name="v_78_XB_e">Model!$K$211</definedName>
    <definedName name="v_78_XBSH">Model!$BS$211</definedName>
    <definedName name="v_78_XCaCO3">Model!$BQ$211</definedName>
    <definedName name="v_78_XCASTO">Model!$V$211</definedName>
    <definedName name="v_78_XE">Model!$R$211</definedName>
    <definedName name="v_78_XE_ana">Model!$S$211</definedName>
    <definedName name="v_78_XHAO_H">Model!$BJ$211</definedName>
    <definedName name="v_78_XHAO_H_P">Model!$BM$211</definedName>
    <definedName name="v_78_XHAO_H_P_old">Model!$BO$211</definedName>
    <definedName name="v_78_XHAO_L">Model!$BK$211</definedName>
    <definedName name="v_78_XHAO_L_P">Model!$BN$211</definedName>
    <definedName name="v_78_XHAO_L_P_old">Model!$BP$211</definedName>
    <definedName name="v_78_XHAO_old">Model!$BL$211</definedName>
    <definedName name="v_78_XHFO_H">Model!$BC$211</definedName>
    <definedName name="v_78_XHFO_H_P">Model!$BF$211</definedName>
    <definedName name="v_78_XHFO_H_P_old">Model!$BH$211</definedName>
    <definedName name="v_78_XHFO_L">Model!$BD$211</definedName>
    <definedName name="v_78_XHFO_L_P">Model!$BG$211</definedName>
    <definedName name="v_78_XHFO_L_P_old">Model!$BI$211</definedName>
    <definedName name="v_78_XHFO_old">Model!$BE$211</definedName>
    <definedName name="v_78_XHMETO">Model!$AB$211</definedName>
    <definedName name="v_78_XINORG">Model!$AV$211</definedName>
    <definedName name="v_78_XMEOLO">Model!$W$211</definedName>
    <definedName name="v_78_XN_B">Model!$AI$211</definedName>
    <definedName name="v_78_XN_Be">Model!$AJ$211</definedName>
    <definedName name="v_78_XN_U">Model!$AK$211</definedName>
    <definedName name="v_78_XNOB">Model!$Y$211</definedName>
    <definedName name="v_78_XOHO">Model!$T$211</definedName>
    <definedName name="v_78_XP_B">Model!$AO$211</definedName>
    <definedName name="v_78_XP_Be">Model!$AP$211</definedName>
    <definedName name="v_78_XP_U">Model!$AQ$211</definedName>
    <definedName name="v_78_XPFOA">Model!$BW$211</definedName>
    <definedName name="v_78_XPFOS">Model!$BY$211</definedName>
    <definedName name="v_78_XPHA_GAO">Model!$Q$211</definedName>
    <definedName name="v_78_XPHA_PAO">Model!$P$211</definedName>
    <definedName name="v_78_XPP">Model!$AM$211</definedName>
    <definedName name="v_78_XSTO">Model!$O$211</definedName>
    <definedName name="v_78_XSTR">Model!$BT$211</definedName>
    <definedName name="v_78_XU">Model!$N$211</definedName>
    <definedName name="v_78_XVivi">Model!$BU$211</definedName>
    <definedName name="v_79_CB">Model!$I$212</definedName>
    <definedName name="v_79_CU">Model!$M$212</definedName>
    <definedName name="v_79_GCH4">Model!$CD$212</definedName>
    <definedName name="v_79_GCH4_atm">Model!$CJ$212</definedName>
    <definedName name="v_79_GCO2">Model!$CC$212</definedName>
    <definedName name="v_79_GCO2_atm">Model!$CI$212</definedName>
    <definedName name="v_79_GH2">Model!$CE$212</definedName>
    <definedName name="v_79_GH2_atm">Model!$CK$212</definedName>
    <definedName name="v_79_GN2">Model!$CH$212</definedName>
    <definedName name="v_79_GN2_atm">Model!$CN$212</definedName>
    <definedName name="v_79_GNH3">Model!$CG$212</definedName>
    <definedName name="v_79_GNH3_atm">Model!$CM$212</definedName>
    <definedName name="v_79_GO2">Model!$CF$212</definedName>
    <definedName name="v_79_GO2_atm">Model!$CL$212</definedName>
    <definedName name="v_79_SALPHA">Model!$CA$212</definedName>
    <definedName name="v_79_SAN">Model!$AX$212</definedName>
    <definedName name="v_79_SB_mono">Model!$F$212</definedName>
    <definedName name="v_79_SB_poly">Model!$G$212</definedName>
    <definedName name="v_79_SCa">Model!$AY$212</definedName>
    <definedName name="v_79_SCAT">Model!$AW$212</definedName>
    <definedName name="v_79_SCH4">Model!$AS$212</definedName>
    <definedName name="v_79_SCO2">Model!$AU$212</definedName>
    <definedName name="v_79_SFe2">Model!$BB$212</definedName>
    <definedName name="v_79_SH">Model!$BZ$212</definedName>
    <definedName name="v_79_SH2">Model!$AT$212</definedName>
    <definedName name="v_79_SK">Model!$BA$212</definedName>
    <definedName name="v_79_SMEOL">Model!$H$212</definedName>
    <definedName name="v_79_SMg">Model!$AZ$212</definedName>
    <definedName name="v_79_SN_B">Model!$AH$212</definedName>
    <definedName name="v_79_SN2">Model!$AG$212</definedName>
    <definedName name="v_79_SNHx">Model!$AD$212</definedName>
    <definedName name="v_79_SNO2">Model!$AE$212</definedName>
    <definedName name="v_79_SNO3">Model!$AF$212</definedName>
    <definedName name="v_79_SO2">Model!$AR$212</definedName>
    <definedName name="v_79_SORPswitch">Model!$CB$212</definedName>
    <definedName name="v_79_SP_B">Model!$AN$212</definedName>
    <definedName name="v_79_SPFOA">Model!$BV$212</definedName>
    <definedName name="v_79_SPFOS">Model!$BX$212</definedName>
    <definedName name="v_79_SPO4">Model!$AL$212</definedName>
    <definedName name="v_79_SU">Model!$L$212</definedName>
    <definedName name="v_79_SVFA">Model!$E$212</definedName>
    <definedName name="v_79_XACP">Model!$BR$212</definedName>
    <definedName name="v_79_XAHO">Model!$U$212</definedName>
    <definedName name="v_79_XALGAE">Model!$AC$212</definedName>
    <definedName name="v_79_XAMETO">Model!$AA$212</definedName>
    <definedName name="v_79_XAMX">Model!$Z$212</definedName>
    <definedName name="v_79_XAOB">Model!$X$212</definedName>
    <definedName name="v_79_XB">Model!$J$212</definedName>
    <definedName name="v_79_XB_e">Model!$K$212</definedName>
    <definedName name="v_79_XBSH">Model!$BS$212</definedName>
    <definedName name="v_79_XCaCO3">Model!$BQ$212</definedName>
    <definedName name="v_79_XCASTO">Model!$V$212</definedName>
    <definedName name="v_79_XE">Model!$R$212</definedName>
    <definedName name="v_79_XE_ana">Model!$S$212</definedName>
    <definedName name="v_79_XHAO_H">Model!$BJ$212</definedName>
    <definedName name="v_79_XHAO_H_P">Model!$BM$212</definedName>
    <definedName name="v_79_XHAO_H_P_old">Model!$BO$212</definedName>
    <definedName name="v_79_XHAO_L">Model!$BK$212</definedName>
    <definedName name="v_79_XHAO_L_P">Model!$BN$212</definedName>
    <definedName name="v_79_XHAO_L_P_old">Model!$BP$212</definedName>
    <definedName name="v_79_XHAO_old">Model!$BL$212</definedName>
    <definedName name="v_79_XHFO_H">Model!$BC$212</definedName>
    <definedName name="v_79_XHFO_H_P">Model!$BF$212</definedName>
    <definedName name="v_79_XHFO_H_P_old">Model!$BH$212</definedName>
    <definedName name="v_79_XHFO_L">Model!$BD$212</definedName>
    <definedName name="v_79_XHFO_L_P">Model!$BG$212</definedName>
    <definedName name="v_79_XHFO_L_P_old">Model!$BI$212</definedName>
    <definedName name="v_79_XHFO_old">Model!$BE$212</definedName>
    <definedName name="v_79_XHMETO">Model!$AB$212</definedName>
    <definedName name="v_79_XINORG">Model!$AV$212</definedName>
    <definedName name="v_79_XMEOLO">Model!$W$212</definedName>
    <definedName name="v_79_XN_B">Model!$AI$212</definedName>
    <definedName name="v_79_XN_Be">Model!$AJ$212</definedName>
    <definedName name="v_79_XN_U">Model!$AK$212</definedName>
    <definedName name="v_79_XNOB">Model!$Y$212</definedName>
    <definedName name="v_79_XOHO">Model!$T$212</definedName>
    <definedName name="v_79_XP_B">Model!$AO$212</definedName>
    <definedName name="v_79_XP_Be">Model!$AP$212</definedName>
    <definedName name="v_79_XP_U">Model!$AQ$212</definedName>
    <definedName name="v_79_XPFOA">Model!$BW$212</definedName>
    <definedName name="v_79_XPFOS">Model!$BY$212</definedName>
    <definedName name="v_79_XPHA_GAO">Model!$Q$212</definedName>
    <definedName name="v_79_XPHA_PAO">Model!$P$212</definedName>
    <definedName name="v_79_XPP">Model!$AM$212</definedName>
    <definedName name="v_79_XSTO">Model!$O$212</definedName>
    <definedName name="v_79_XSTR">Model!$BT$212</definedName>
    <definedName name="v_79_XU">Model!$N$212</definedName>
    <definedName name="v_79_XVivi">Model!$BU$212</definedName>
    <definedName name="v_8_CB">Model!$I$141</definedName>
    <definedName name="v_8_CU">Model!$M$141</definedName>
    <definedName name="v_8_GCH4">Model!$CD$141</definedName>
    <definedName name="v_8_GCH4_atm">Model!$CJ$141</definedName>
    <definedName name="v_8_GCO2">Model!$CC$141</definedName>
    <definedName name="v_8_GCO2_atm">Model!$CI$141</definedName>
    <definedName name="v_8_GH2">Model!$CE$141</definedName>
    <definedName name="v_8_GH2_atm">Model!$CK$141</definedName>
    <definedName name="v_8_GN2">Model!$CH$141</definedName>
    <definedName name="v_8_GN2_atm">Model!$CN$141</definedName>
    <definedName name="v_8_GNH3">Model!$CG$141</definedName>
    <definedName name="v_8_GNH3_atm">Model!$CM$141</definedName>
    <definedName name="v_8_GO2">Model!$CF$141</definedName>
    <definedName name="v_8_GO2_atm">Model!$CL$141</definedName>
    <definedName name="v_8_SALPHA">Model!$CA$141</definedName>
    <definedName name="v_8_SAN">Model!$AX$141</definedName>
    <definedName name="v_8_SB_mono">Model!$F$141</definedName>
    <definedName name="v_8_SB_poly">Model!$G$141</definedName>
    <definedName name="v_8_SCa">Model!$AY$141</definedName>
    <definedName name="v_8_SCAT">Model!$AW$141</definedName>
    <definedName name="v_8_SCH4">Model!$AS$141</definedName>
    <definedName name="v_8_SCO2">Model!$AU$141</definedName>
    <definedName name="v_8_SFe2">Model!$BB$141</definedName>
    <definedName name="v_8_SH">Model!$BZ$141</definedName>
    <definedName name="v_8_SH2">Model!$AT$141</definedName>
    <definedName name="v_8_SK">Model!$BA$141</definedName>
    <definedName name="v_8_SMEOL">Model!$H$141</definedName>
    <definedName name="v_8_SMg">Model!$AZ$141</definedName>
    <definedName name="v_8_SN_B">Model!$AH$141</definedName>
    <definedName name="v_8_SN2">Model!$AG$141</definedName>
    <definedName name="v_8_SNHx">Model!$AD$141</definedName>
    <definedName name="v_8_SNO2">Model!$AE$141</definedName>
    <definedName name="v_8_SNO3">Model!$AF$141</definedName>
    <definedName name="v_8_SO2">Model!$AR$141</definedName>
    <definedName name="v_8_SORPswitch">Model!$CB$141</definedName>
    <definedName name="v_8_SP_B">Model!$AN$141</definedName>
    <definedName name="v_8_SPFOA">Model!$BV$141</definedName>
    <definedName name="v_8_SPFOS">Model!$BX$141</definedName>
    <definedName name="v_8_SPO4">Model!$AL$141</definedName>
    <definedName name="v_8_SU">Model!$L$141</definedName>
    <definedName name="v_8_SVFA">Model!$E$141</definedName>
    <definedName name="v_8_XACP">Model!$BR$141</definedName>
    <definedName name="v_8_XAHO">Model!$U$141</definedName>
    <definedName name="v_8_XALGAE">Model!$AC$141</definedName>
    <definedName name="v_8_XAMETO">Model!$AA$141</definedName>
    <definedName name="v_8_XAMX">Model!$Z$141</definedName>
    <definedName name="v_8_XAOB">Model!$X$141</definedName>
    <definedName name="v_8_XB">Model!$J$141</definedName>
    <definedName name="v_8_XB_e">Model!$K$141</definedName>
    <definedName name="v_8_XBSH">Model!$BS$141</definedName>
    <definedName name="v_8_XCaCO3">Model!$BQ$141</definedName>
    <definedName name="v_8_XCASTO">Model!$V$141</definedName>
    <definedName name="v_8_XE">Model!$R$141</definedName>
    <definedName name="v_8_XE_ana">Model!$S$141</definedName>
    <definedName name="v_8_XHAO_H">Model!$BJ$141</definedName>
    <definedName name="v_8_XHAO_H_P">Model!$BM$141</definedName>
    <definedName name="v_8_XHAO_H_P_old">Model!$BO$141</definedName>
    <definedName name="v_8_XHAO_L">Model!$BK$141</definedName>
    <definedName name="v_8_XHAO_L_P">Model!$BN$141</definedName>
    <definedName name="v_8_XHAO_L_P_old">Model!$BP$141</definedName>
    <definedName name="v_8_XHAO_old">Model!$BL$141</definedName>
    <definedName name="v_8_XHFO_H">Model!$BC$141</definedName>
    <definedName name="v_8_XHFO_H_P">Model!$BF$141</definedName>
    <definedName name="v_8_XHFO_H_P_old">Model!$BH$141</definedName>
    <definedName name="v_8_XHFO_L">Model!$BD$141</definedName>
    <definedName name="v_8_XHFO_L_P">Model!$BG$141</definedName>
    <definedName name="v_8_XHFO_L_P_old">Model!$BI$141</definedName>
    <definedName name="v_8_XHFO_old">Model!$BE$141</definedName>
    <definedName name="v_8_XHMETO">Model!$AB$141</definedName>
    <definedName name="v_8_XINORG">Model!$AV$141</definedName>
    <definedName name="v_8_XMEOLO">Model!$W$141</definedName>
    <definedName name="v_8_XN_B">Model!$AI$141</definedName>
    <definedName name="v_8_XN_Be">Model!$AJ$141</definedName>
    <definedName name="v_8_XN_U">Model!$AK$141</definedName>
    <definedName name="v_8_XNOB">Model!$Y$141</definedName>
    <definedName name="v_8_XOHO">Model!$T$141</definedName>
    <definedName name="v_8_XP_B">Model!$AO$141</definedName>
    <definedName name="v_8_XP_Be">Model!$AP$141</definedName>
    <definedName name="v_8_XP_U">Model!$AQ$141</definedName>
    <definedName name="v_8_XPFOA">Model!$BW$141</definedName>
    <definedName name="v_8_XPFOS">Model!$BY$141</definedName>
    <definedName name="v_8_XPHA_GAO">Model!$Q$141</definedName>
    <definedName name="v_8_XPHA_PAO">Model!$P$141</definedName>
    <definedName name="v_8_XPP">Model!$AM$141</definedName>
    <definedName name="v_8_XSTO">Model!$O$141</definedName>
    <definedName name="v_8_XSTR">Model!$BT$141</definedName>
    <definedName name="v_8_XU">Model!$N$141</definedName>
    <definedName name="v_8_XVivi">Model!$BU$141</definedName>
    <definedName name="v_80_CB">Model!$I$213</definedName>
    <definedName name="v_80_CU">Model!$M$213</definedName>
    <definedName name="v_80_GCH4">Model!$CD$213</definedName>
    <definedName name="v_80_GCH4_atm">Model!$CJ$213</definedName>
    <definedName name="v_80_GCO2">Model!$CC$213</definedName>
    <definedName name="v_80_GCO2_atm">Model!$CI$213</definedName>
    <definedName name="v_80_GH2">Model!$CE$213</definedName>
    <definedName name="v_80_GH2_atm">Model!$CK$213</definedName>
    <definedName name="v_80_GN2">Model!$CH$213</definedName>
    <definedName name="v_80_GN2_atm">Model!$CN$213</definedName>
    <definedName name="v_80_GNH3">Model!$CG$213</definedName>
    <definedName name="v_80_GNH3_atm">Model!$CM$213</definedName>
    <definedName name="v_80_GO2">Model!$CF$213</definedName>
    <definedName name="v_80_GO2_atm">Model!$CL$213</definedName>
    <definedName name="v_80_SALPHA">Model!$CA$213</definedName>
    <definedName name="v_80_SAN">Model!$AX$213</definedName>
    <definedName name="v_80_SB_mono">Model!$F$213</definedName>
    <definedName name="v_80_SB_poly">Model!$G$213</definedName>
    <definedName name="v_80_SCa">Model!$AY$213</definedName>
    <definedName name="v_80_SCAT">Model!$AW$213</definedName>
    <definedName name="v_80_SCH4">Model!$AS$213</definedName>
    <definedName name="v_80_SCO2">Model!$AU$213</definedName>
    <definedName name="v_80_SFe2">Model!$BB$213</definedName>
    <definedName name="v_80_SH">Model!$BZ$213</definedName>
    <definedName name="v_80_SH2">Model!$AT$213</definedName>
    <definedName name="v_80_SK">Model!$BA$213</definedName>
    <definedName name="v_80_SMEOL">Model!$H$213</definedName>
    <definedName name="v_80_SMg">Model!$AZ$213</definedName>
    <definedName name="v_80_SN_B">Model!$AH$213</definedName>
    <definedName name="v_80_SN2">Model!$AG$213</definedName>
    <definedName name="v_80_SNHx">Model!$AD$213</definedName>
    <definedName name="v_80_SNO2">Model!$AE$213</definedName>
    <definedName name="v_80_SNO3">Model!$AF$213</definedName>
    <definedName name="v_80_SO2">Model!$AR$213</definedName>
    <definedName name="v_80_SORPswitch">Model!$CB$213</definedName>
    <definedName name="v_80_SP_B">Model!$AN$213</definedName>
    <definedName name="v_80_SPFOA">Model!$BV$213</definedName>
    <definedName name="v_80_SPFOS">Model!$BX$213</definedName>
    <definedName name="v_80_SPO4">Model!$AL$213</definedName>
    <definedName name="v_80_SU">Model!$L$213</definedName>
    <definedName name="v_80_SVFA">Model!$E$213</definedName>
    <definedName name="v_80_XACP">Model!$BR$213</definedName>
    <definedName name="v_80_XAHO">Model!$U$213</definedName>
    <definedName name="v_80_XALGAE">Model!$AC$213</definedName>
    <definedName name="v_80_XAMETO">Model!$AA$213</definedName>
    <definedName name="v_80_XAMX">Model!$Z$213</definedName>
    <definedName name="v_80_XAOB">Model!$X$213</definedName>
    <definedName name="v_80_XB">Model!$J$213</definedName>
    <definedName name="v_80_XB_e">Model!$K$213</definedName>
    <definedName name="v_80_XBSH">Model!$BS$213</definedName>
    <definedName name="v_80_XCaCO3">Model!$BQ$213</definedName>
    <definedName name="v_80_XCASTO">Model!$V$213</definedName>
    <definedName name="v_80_XE">Model!$R$213</definedName>
    <definedName name="v_80_XE_ana">Model!$S$213</definedName>
    <definedName name="v_80_XHAO_H">Model!$BJ$213</definedName>
    <definedName name="v_80_XHAO_H_P">Model!$BM$213</definedName>
    <definedName name="v_80_XHAO_H_P_old">Model!$BO$213</definedName>
    <definedName name="v_80_XHAO_L">Model!$BK$213</definedName>
    <definedName name="v_80_XHAO_L_P">Model!$BN$213</definedName>
    <definedName name="v_80_XHAO_L_P_old">Model!$BP$213</definedName>
    <definedName name="v_80_XHAO_old">Model!$BL$213</definedName>
    <definedName name="v_80_XHFO_H">Model!$BC$213</definedName>
    <definedName name="v_80_XHFO_H_P">Model!$BF$213</definedName>
    <definedName name="v_80_XHFO_H_P_old">Model!$BH$213</definedName>
    <definedName name="v_80_XHFO_L">Model!$BD$213</definedName>
    <definedName name="v_80_XHFO_L_P">Model!$BG$213</definedName>
    <definedName name="v_80_XHFO_L_P_old">Model!$BI$213</definedName>
    <definedName name="v_80_XHFO_old">Model!$BE$213</definedName>
    <definedName name="v_80_XHMETO">Model!$AB$213</definedName>
    <definedName name="v_80_XINORG">Model!$AV$213</definedName>
    <definedName name="v_80_XMEOLO">Model!$W$213</definedName>
    <definedName name="v_80_XN_B">Model!$AI$213</definedName>
    <definedName name="v_80_XN_Be">Model!$AJ$213</definedName>
    <definedName name="v_80_XN_U">Model!$AK$213</definedName>
    <definedName name="v_80_XNOB">Model!$Y$213</definedName>
    <definedName name="v_80_XOHO">Model!$T$213</definedName>
    <definedName name="v_80_XP_B">Model!$AO$213</definedName>
    <definedName name="v_80_XP_Be">Model!$AP$213</definedName>
    <definedName name="v_80_XP_U">Model!$AQ$213</definedName>
    <definedName name="v_80_XPFOA">Model!$BW$213</definedName>
    <definedName name="v_80_XPFOS">Model!$BY$213</definedName>
    <definedName name="v_80_XPHA_GAO">Model!$Q$213</definedName>
    <definedName name="v_80_XPHA_PAO">Model!$P$213</definedName>
    <definedName name="v_80_XPP">Model!$AM$213</definedName>
    <definedName name="v_80_XSTO">Model!$O$213</definedName>
    <definedName name="v_80_XSTR">Model!$BT$213</definedName>
    <definedName name="v_80_XU">Model!$N$213</definedName>
    <definedName name="v_80_XVivi">Model!$BU$213</definedName>
    <definedName name="v_81_CB">Model!$I$214</definedName>
    <definedName name="v_81_CU">Model!$M$214</definedName>
    <definedName name="v_81_GCH4">Model!$CD$214</definedName>
    <definedName name="v_81_GCH4_atm">Model!$CJ$214</definedName>
    <definedName name="v_81_GCO2">Model!$CC$214</definedName>
    <definedName name="v_81_GCO2_atm">Model!$CI$214</definedName>
    <definedName name="v_81_GH2">Model!$CE$214</definedName>
    <definedName name="v_81_GH2_atm">Model!$CK$214</definedName>
    <definedName name="v_81_GN2">Model!$CH$214</definedName>
    <definedName name="v_81_GN2_atm">Model!$CN$214</definedName>
    <definedName name="v_81_GNH3">Model!$CG$214</definedName>
    <definedName name="v_81_GNH3_atm">Model!$CM$214</definedName>
    <definedName name="v_81_GO2">Model!$CF$214</definedName>
    <definedName name="v_81_GO2_atm">Model!$CL$214</definedName>
    <definedName name="v_81_SALPHA">Model!$CA$214</definedName>
    <definedName name="v_81_SAN">Model!$AX$214</definedName>
    <definedName name="v_81_SB_mono">Model!$F$214</definedName>
    <definedName name="v_81_SB_poly">Model!$G$214</definedName>
    <definedName name="v_81_SCa">Model!$AY$214</definedName>
    <definedName name="v_81_SCAT">Model!$AW$214</definedName>
    <definedName name="v_81_SCH4">Model!$AS$214</definedName>
    <definedName name="v_81_SCO2">Model!$AU$214</definedName>
    <definedName name="v_81_SFe2">Model!$BB$214</definedName>
    <definedName name="v_81_SH">Model!$BZ$214</definedName>
    <definedName name="v_81_SH2">Model!$AT$214</definedName>
    <definedName name="v_81_SK">Model!$BA$214</definedName>
    <definedName name="v_81_SMEOL">Model!$H$214</definedName>
    <definedName name="v_81_SMg">Model!$AZ$214</definedName>
    <definedName name="v_81_SN_B">Model!$AH$214</definedName>
    <definedName name="v_81_SN2">Model!$AG$214</definedName>
    <definedName name="v_81_SNHx">Model!$AD$214</definedName>
    <definedName name="v_81_SNO2">Model!$AE$214</definedName>
    <definedName name="v_81_SNO3">Model!$AF$214</definedName>
    <definedName name="v_81_SO2">Model!$AR$214</definedName>
    <definedName name="v_81_SORPswitch">Model!$CB$214</definedName>
    <definedName name="v_81_SP_B">Model!$AN$214</definedName>
    <definedName name="v_81_SPFOA">Model!$BV$214</definedName>
    <definedName name="v_81_SPFOS">Model!$BX$214</definedName>
    <definedName name="v_81_SPO4">Model!$AL$214</definedName>
    <definedName name="v_81_SU">Model!$L$214</definedName>
    <definedName name="v_81_SVFA">Model!$E$214</definedName>
    <definedName name="v_81_XACP">Model!$BR$214</definedName>
    <definedName name="v_81_XAHO">Model!$U$214</definedName>
    <definedName name="v_81_XALGAE">Model!$AC$214</definedName>
    <definedName name="v_81_XAMETO">Model!$AA$214</definedName>
    <definedName name="v_81_XAMX">Model!$Z$214</definedName>
    <definedName name="v_81_XAOB">Model!$X$214</definedName>
    <definedName name="v_81_XB">Model!$J$214</definedName>
    <definedName name="v_81_XB_e">Model!$K$214</definedName>
    <definedName name="v_81_XBSH">Model!$BS$214</definedName>
    <definedName name="v_81_XCaCO3">Model!$BQ$214</definedName>
    <definedName name="v_81_XCASTO">Model!$V$214</definedName>
    <definedName name="v_81_XE">Model!$R$214</definedName>
    <definedName name="v_81_XE_ana">Model!$S$214</definedName>
    <definedName name="v_81_XHAO_H">Model!$BJ$214</definedName>
    <definedName name="v_81_XHAO_H_P">Model!$BM$214</definedName>
    <definedName name="v_81_XHAO_H_P_old">Model!$BO$214</definedName>
    <definedName name="v_81_XHAO_L">Model!$BK$214</definedName>
    <definedName name="v_81_XHAO_L_P">Model!$BN$214</definedName>
    <definedName name="v_81_XHAO_L_P_old">Model!$BP$214</definedName>
    <definedName name="v_81_XHAO_old">Model!$BL$214</definedName>
    <definedName name="v_81_XHFO_H">Model!$BC$214</definedName>
    <definedName name="v_81_XHFO_H_P">Model!$BF$214</definedName>
    <definedName name="v_81_XHFO_H_P_old">Model!$BH$214</definedName>
    <definedName name="v_81_XHFO_L">Model!$BD$214</definedName>
    <definedName name="v_81_XHFO_L_P">Model!$BG$214</definedName>
    <definedName name="v_81_XHFO_L_P_old">Model!$BI$214</definedName>
    <definedName name="v_81_XHFO_old">Model!$BE$214</definedName>
    <definedName name="v_81_XHMETO">Model!$AB$214</definedName>
    <definedName name="v_81_XINORG">Model!$AV$214</definedName>
    <definedName name="v_81_XMEOLO">Model!$W$214</definedName>
    <definedName name="v_81_XN_B">Model!$AI$214</definedName>
    <definedName name="v_81_XN_Be">Model!$AJ$214</definedName>
    <definedName name="v_81_XN_U">Model!$AK$214</definedName>
    <definedName name="v_81_XNOB">Model!$Y$214</definedName>
    <definedName name="v_81_XOHO">Model!$T$214</definedName>
    <definedName name="v_81_XP_B">Model!$AO$214</definedName>
    <definedName name="v_81_XP_Be">Model!$AP$214</definedName>
    <definedName name="v_81_XP_U">Model!$AQ$214</definedName>
    <definedName name="v_81_XPFOA">Model!$BW$214</definedName>
    <definedName name="v_81_XPFOS">Model!$BY$214</definedName>
    <definedName name="v_81_XPHA_GAO">Model!$Q$214</definedName>
    <definedName name="v_81_XPHA_PAO">Model!$P$214</definedName>
    <definedName name="v_81_XPP">Model!$AM$214</definedName>
    <definedName name="v_81_XSTO">Model!$O$214</definedName>
    <definedName name="v_81_XSTR">Model!$BT$214</definedName>
    <definedName name="v_81_XU">Model!$N$214</definedName>
    <definedName name="v_81_XVivi">Model!$BU$214</definedName>
    <definedName name="v_82_CB">Model!$I$215</definedName>
    <definedName name="v_82_CU">Model!$M$215</definedName>
    <definedName name="v_82_GCH4">Model!$CD$215</definedName>
    <definedName name="v_82_GCH4_atm">Model!$CJ$215</definedName>
    <definedName name="v_82_GCO2">Model!$CC$215</definedName>
    <definedName name="v_82_GCO2_atm">Model!$CI$215</definedName>
    <definedName name="v_82_GH2">Model!$CE$215</definedName>
    <definedName name="v_82_GH2_atm">Model!$CK$215</definedName>
    <definedName name="v_82_GN2">Model!$CH$215</definedName>
    <definedName name="v_82_GN2_atm">Model!$CN$215</definedName>
    <definedName name="v_82_GNH3">Model!$CG$215</definedName>
    <definedName name="v_82_GNH3_atm">Model!$CM$215</definedName>
    <definedName name="v_82_GO2">Model!$CF$215</definedName>
    <definedName name="v_82_GO2_atm">Model!$CL$215</definedName>
    <definedName name="v_82_SALPHA">Model!$CA$215</definedName>
    <definedName name="v_82_SAN">Model!$AX$215</definedName>
    <definedName name="v_82_SB_mono">Model!$F$215</definedName>
    <definedName name="v_82_SB_poly">Model!$G$215</definedName>
    <definedName name="v_82_SCa">Model!$AY$215</definedName>
    <definedName name="v_82_SCAT">Model!$AW$215</definedName>
    <definedName name="v_82_SCH4">Model!$AS$215</definedName>
    <definedName name="v_82_SCO2">Model!$AU$215</definedName>
    <definedName name="v_82_SFe2">Model!$BB$215</definedName>
    <definedName name="v_82_SH">Model!$BZ$215</definedName>
    <definedName name="v_82_SH2">Model!$AT$215</definedName>
    <definedName name="v_82_SK">Model!$BA$215</definedName>
    <definedName name="v_82_SMEOL">Model!$H$215</definedName>
    <definedName name="v_82_SMg">Model!$AZ$215</definedName>
    <definedName name="v_82_SN_B">Model!$AH$215</definedName>
    <definedName name="v_82_SN2">Model!$AG$215</definedName>
    <definedName name="v_82_SNHx">Model!$AD$215</definedName>
    <definedName name="v_82_SNO2">Model!$AE$215</definedName>
    <definedName name="v_82_SNO3">Model!$AF$215</definedName>
    <definedName name="v_82_SO2">Model!$AR$215</definedName>
    <definedName name="v_82_SORPswitch">Model!$CB$215</definedName>
    <definedName name="v_82_SP_B">Model!$AN$215</definedName>
    <definedName name="v_82_SPFOA">Model!$BV$215</definedName>
    <definedName name="v_82_SPFOS">Model!$BX$215</definedName>
    <definedName name="v_82_SPO4">Model!$AL$215</definedName>
    <definedName name="v_82_SU">Model!$L$215</definedName>
    <definedName name="v_82_SVFA">Model!$E$215</definedName>
    <definedName name="v_82_XACP">Model!$BR$215</definedName>
    <definedName name="v_82_XAHO">Model!$U$215</definedName>
    <definedName name="v_82_XALGAE">Model!$AC$215</definedName>
    <definedName name="v_82_XAMETO">Model!$AA$215</definedName>
    <definedName name="v_82_XAMX">Model!$Z$215</definedName>
    <definedName name="v_82_XAOB">Model!$X$215</definedName>
    <definedName name="v_82_XB">Model!$J$215</definedName>
    <definedName name="v_82_XB_e">Model!$K$215</definedName>
    <definedName name="v_82_XBSH">Model!$BS$215</definedName>
    <definedName name="v_82_XCaCO3">Model!$BQ$215</definedName>
    <definedName name="v_82_XCASTO">Model!$V$215</definedName>
    <definedName name="v_82_XE">Model!$R$215</definedName>
    <definedName name="v_82_XE_ana">Model!$S$215</definedName>
    <definedName name="v_82_XHAO_H">Model!$BJ$215</definedName>
    <definedName name="v_82_XHAO_H_P">Model!$BM$215</definedName>
    <definedName name="v_82_XHAO_H_P_old">Model!$BO$215</definedName>
    <definedName name="v_82_XHAO_L">Model!$BK$215</definedName>
    <definedName name="v_82_XHAO_L_P">Model!$BN$215</definedName>
    <definedName name="v_82_XHAO_L_P_old">Model!$BP$215</definedName>
    <definedName name="v_82_XHAO_old">Model!$BL$215</definedName>
    <definedName name="v_82_XHFO_H">Model!$BC$215</definedName>
    <definedName name="v_82_XHFO_H_P">Model!$BF$215</definedName>
    <definedName name="v_82_XHFO_H_P_old">Model!$BH$215</definedName>
    <definedName name="v_82_XHFO_L">Model!$BD$215</definedName>
    <definedName name="v_82_XHFO_L_P">Model!$BG$215</definedName>
    <definedName name="v_82_XHFO_L_P_old">Model!$BI$215</definedName>
    <definedName name="v_82_XHFO_old">Model!$BE$215</definedName>
    <definedName name="v_82_XHMETO">Model!$AB$215</definedName>
    <definedName name="v_82_XINORG">Model!$AV$215</definedName>
    <definedName name="v_82_XMEOLO">Model!$W$215</definedName>
    <definedName name="v_82_XN_B">Model!$AI$215</definedName>
    <definedName name="v_82_XN_Be">Model!$AJ$215</definedName>
    <definedName name="v_82_XN_U">Model!$AK$215</definedName>
    <definedName name="v_82_XNOB">Model!$Y$215</definedName>
    <definedName name="v_82_XOHO">Model!$T$215</definedName>
    <definedName name="v_82_XP_B">Model!$AO$215</definedName>
    <definedName name="v_82_XP_Be">Model!$AP$215</definedName>
    <definedName name="v_82_XP_U">Model!$AQ$215</definedName>
    <definedName name="v_82_XPFOA">Model!$BW$215</definedName>
    <definedName name="v_82_XPFOS">Model!$BY$215</definedName>
    <definedName name="v_82_XPHA_GAO">Model!$Q$215</definedName>
    <definedName name="v_82_XPHA_PAO">Model!$P$215</definedName>
    <definedName name="v_82_XPP">Model!$AM$215</definedName>
    <definedName name="v_82_XSTO">Model!$O$215</definedName>
    <definedName name="v_82_XSTR">Model!$BT$215</definedName>
    <definedName name="v_82_XU">Model!$N$215</definedName>
    <definedName name="v_82_XVivi">Model!$BU$215</definedName>
    <definedName name="v_83_CB">Model!$I$216</definedName>
    <definedName name="v_83_CU">Model!$M$216</definedName>
    <definedName name="v_83_GCH4">Model!$CD$216</definedName>
    <definedName name="v_83_GCH4_atm">Model!$CJ$216</definedName>
    <definedName name="v_83_GCO2">Model!$CC$216</definedName>
    <definedName name="v_83_GCO2_atm">Model!$CI$216</definedName>
    <definedName name="v_83_GH2">Model!$CE$216</definedName>
    <definedName name="v_83_GH2_atm">Model!$CK$216</definedName>
    <definedName name="v_83_GN2">Model!$CH$216</definedName>
    <definedName name="v_83_GN2_atm">Model!$CN$216</definedName>
    <definedName name="v_83_GNH3">Model!$CG$216</definedName>
    <definedName name="v_83_GNH3_atm">Model!$CM$216</definedName>
    <definedName name="v_83_GO2">Model!$CF$216</definedName>
    <definedName name="v_83_GO2_atm">Model!$CL$216</definedName>
    <definedName name="v_83_SALPHA">Model!$CA$216</definedName>
    <definedName name="v_83_SAN">Model!$AX$216</definedName>
    <definedName name="v_83_SB_mono">Model!$F$216</definedName>
    <definedName name="v_83_SB_poly">Model!$G$216</definedName>
    <definedName name="v_83_SCa">Model!$AY$216</definedName>
    <definedName name="v_83_SCAT">Model!$AW$216</definedName>
    <definedName name="v_83_SCH4">Model!$AS$216</definedName>
    <definedName name="v_83_SCO2">Model!$AU$216</definedName>
    <definedName name="v_83_SFe2">Model!$BB$216</definedName>
    <definedName name="v_83_SH">Model!$BZ$216</definedName>
    <definedName name="v_83_SH2">Model!$AT$216</definedName>
    <definedName name="v_83_SK">Model!$BA$216</definedName>
    <definedName name="v_83_SMEOL">Model!$H$216</definedName>
    <definedName name="v_83_SMg">Model!$AZ$216</definedName>
    <definedName name="v_83_SN_B">Model!$AH$216</definedName>
    <definedName name="v_83_SN2">Model!$AG$216</definedName>
    <definedName name="v_83_SNHx">Model!$AD$216</definedName>
    <definedName name="v_83_SNO2">Model!$AE$216</definedName>
    <definedName name="v_83_SNO3">Model!$AF$216</definedName>
    <definedName name="v_83_SO2">Model!$AR$216</definedName>
    <definedName name="v_83_SORPswitch">Model!$CB$216</definedName>
    <definedName name="v_83_SP_B">Model!$AN$216</definedName>
    <definedName name="v_83_SPFOA">Model!$BV$216</definedName>
    <definedName name="v_83_SPFOS">Model!$BX$216</definedName>
    <definedName name="v_83_SPO4">Model!$AL$216</definedName>
    <definedName name="v_83_SU">Model!$L$216</definedName>
    <definedName name="v_83_SVFA">Model!$E$216</definedName>
    <definedName name="v_83_XACP">Model!$BR$216</definedName>
    <definedName name="v_83_XAHO">Model!$U$216</definedName>
    <definedName name="v_83_XALGAE">Model!$AC$216</definedName>
    <definedName name="v_83_XAMETO">Model!$AA$216</definedName>
    <definedName name="v_83_XAMX">Model!$Z$216</definedName>
    <definedName name="v_83_XAOB">Model!$X$216</definedName>
    <definedName name="v_83_XB">Model!$J$216</definedName>
    <definedName name="v_83_XB_e">Model!$K$216</definedName>
    <definedName name="v_83_XBSH">Model!$BS$216</definedName>
    <definedName name="v_83_XCaCO3">Model!$BQ$216</definedName>
    <definedName name="v_83_XCASTO">Model!$V$216</definedName>
    <definedName name="v_83_XE">Model!$R$216</definedName>
    <definedName name="v_83_XE_ana">Model!$S$216</definedName>
    <definedName name="v_83_XHAO_H">Model!$BJ$216</definedName>
    <definedName name="v_83_XHAO_H_P">Model!$BM$216</definedName>
    <definedName name="v_83_XHAO_H_P_old">Model!$BO$216</definedName>
    <definedName name="v_83_XHAO_L">Model!$BK$216</definedName>
    <definedName name="v_83_XHAO_L_P">Model!$BN$216</definedName>
    <definedName name="v_83_XHAO_L_P_old">Model!$BP$216</definedName>
    <definedName name="v_83_XHAO_old">Model!$BL$216</definedName>
    <definedName name="v_83_XHFO_H">Model!$BC$216</definedName>
    <definedName name="v_83_XHFO_H_P">Model!$BF$216</definedName>
    <definedName name="v_83_XHFO_H_P_old">Model!$BH$216</definedName>
    <definedName name="v_83_XHFO_L">Model!$BD$216</definedName>
    <definedName name="v_83_XHFO_L_P">Model!$BG$216</definedName>
    <definedName name="v_83_XHFO_L_P_old">Model!$BI$216</definedName>
    <definedName name="v_83_XHFO_old">Model!$BE$216</definedName>
    <definedName name="v_83_XHMETO">Model!$AB$216</definedName>
    <definedName name="v_83_XINORG">Model!$AV$216</definedName>
    <definedName name="v_83_XMEOLO">Model!$W$216</definedName>
    <definedName name="v_83_XN_B">Model!$AI$216</definedName>
    <definedName name="v_83_XN_Be">Model!$AJ$216</definedName>
    <definedName name="v_83_XN_U">Model!$AK$216</definedName>
    <definedName name="v_83_XNOB">Model!$Y$216</definedName>
    <definedName name="v_83_XOHO">Model!$T$216</definedName>
    <definedName name="v_83_XP_B">Model!$AO$216</definedName>
    <definedName name="v_83_XP_Be">Model!$AP$216</definedName>
    <definedName name="v_83_XP_U">Model!$AQ$216</definedName>
    <definedName name="v_83_XPFOA">Model!$BW$216</definedName>
    <definedName name="v_83_XPFOS">Model!$BY$216</definedName>
    <definedName name="v_83_XPHA_GAO">Model!$Q$216</definedName>
    <definedName name="v_83_XPHA_PAO">Model!$P$216</definedName>
    <definedName name="v_83_XPP">Model!$AM$216</definedName>
    <definedName name="v_83_XSTO">Model!$O$216</definedName>
    <definedName name="v_83_XSTR">Model!$BT$216</definedName>
    <definedName name="v_83_XU">Model!$N$216</definedName>
    <definedName name="v_83_XVivi">Model!$BU$216</definedName>
    <definedName name="v_84_CB">Model!$I$217</definedName>
    <definedName name="v_84_CU">Model!$M$217</definedName>
    <definedName name="v_84_GCH4">Model!$CD$217</definedName>
    <definedName name="v_84_GCH4_atm">Model!$CJ$217</definedName>
    <definedName name="v_84_GCO2">Model!$CC$217</definedName>
    <definedName name="v_84_GCO2_atm">Model!$CI$217</definedName>
    <definedName name="v_84_GH2">Model!$CE$217</definedName>
    <definedName name="v_84_GH2_atm">Model!$CK$217</definedName>
    <definedName name="v_84_GN2">Model!$CH$217</definedName>
    <definedName name="v_84_GN2_atm">Model!$CN$217</definedName>
    <definedName name="v_84_GNH3">Model!$CG$217</definedName>
    <definedName name="v_84_GNH3_atm">Model!$CM$217</definedName>
    <definedName name="v_84_GO2">Model!$CF$217</definedName>
    <definedName name="v_84_GO2_atm">Model!$CL$217</definedName>
    <definedName name="v_84_SALPHA">Model!$CA$217</definedName>
    <definedName name="v_84_SAN">Model!$AX$217</definedName>
    <definedName name="v_84_SB_mono">Model!$F$217</definedName>
    <definedName name="v_84_SB_poly">Model!$G$217</definedName>
    <definedName name="v_84_SCa">Model!$AY$217</definedName>
    <definedName name="v_84_SCAT">Model!$AW$217</definedName>
    <definedName name="v_84_SCH4">Model!$AS$217</definedName>
    <definedName name="v_84_SCO2">Model!$AU$217</definedName>
    <definedName name="v_84_SFe2">Model!$BB$217</definedName>
    <definedName name="v_84_SH">Model!$BZ$217</definedName>
    <definedName name="v_84_SH2">Model!$AT$217</definedName>
    <definedName name="v_84_SK">Model!$BA$217</definedName>
    <definedName name="v_84_SMEOL">Model!$H$217</definedName>
    <definedName name="v_84_SMg">Model!$AZ$217</definedName>
    <definedName name="v_84_SN_B">Model!$AH$217</definedName>
    <definedName name="v_84_SN2">Model!$AG$217</definedName>
    <definedName name="v_84_SNHx">Model!$AD$217</definedName>
    <definedName name="v_84_SNO2">Model!$AE$217</definedName>
    <definedName name="v_84_SNO3">Model!$AF$217</definedName>
    <definedName name="v_84_SO2">Model!$AR$217</definedName>
    <definedName name="v_84_SORPswitch">Model!$CB$217</definedName>
    <definedName name="v_84_SP_B">Model!$AN$217</definedName>
    <definedName name="v_84_SPFOA">Model!$BV$217</definedName>
    <definedName name="v_84_SPFOS">Model!$BX$217</definedName>
    <definedName name="v_84_SPO4">Model!$AL$217</definedName>
    <definedName name="v_84_SU">Model!$L$217</definedName>
    <definedName name="v_84_SVFA">Model!$E$217</definedName>
    <definedName name="v_84_XACP">Model!$BR$217</definedName>
    <definedName name="v_84_XAHO">Model!$U$217</definedName>
    <definedName name="v_84_XALGAE">Model!$AC$217</definedName>
    <definedName name="v_84_XAMETO">Model!$AA$217</definedName>
    <definedName name="v_84_XAMX">Model!$Z$217</definedName>
    <definedName name="v_84_XAOB">Model!$X$217</definedName>
    <definedName name="v_84_XB">Model!$J$217</definedName>
    <definedName name="v_84_XB_e">Model!$K$217</definedName>
    <definedName name="v_84_XBSH">Model!$BS$217</definedName>
    <definedName name="v_84_XCaCO3">Model!$BQ$217</definedName>
    <definedName name="v_84_XCASTO">Model!$V$217</definedName>
    <definedName name="v_84_XE">Model!$R$217</definedName>
    <definedName name="v_84_XE_ana">Model!$S$217</definedName>
    <definedName name="v_84_XHAO_H">Model!$BJ$217</definedName>
    <definedName name="v_84_XHAO_H_P">Model!$BM$217</definedName>
    <definedName name="v_84_XHAO_H_P_old">Model!$BO$217</definedName>
    <definedName name="v_84_XHAO_L">Model!$BK$217</definedName>
    <definedName name="v_84_XHAO_L_P">Model!$BN$217</definedName>
    <definedName name="v_84_XHAO_L_P_old">Model!$BP$217</definedName>
    <definedName name="v_84_XHAO_old">Model!$BL$217</definedName>
    <definedName name="v_84_XHFO_H">Model!$BC$217</definedName>
    <definedName name="v_84_XHFO_H_P">Model!$BF$217</definedName>
    <definedName name="v_84_XHFO_H_P_old">Model!$BH$217</definedName>
    <definedName name="v_84_XHFO_L">Model!$BD$217</definedName>
    <definedName name="v_84_XHFO_L_P">Model!$BG$217</definedName>
    <definedName name="v_84_XHFO_L_P_old">Model!$BI$217</definedName>
    <definedName name="v_84_XHFO_old">Model!$BE$217</definedName>
    <definedName name="v_84_XHMETO">Model!$AB$217</definedName>
    <definedName name="v_84_XINORG">Model!$AV$217</definedName>
    <definedName name="v_84_XMEOLO">Model!$W$217</definedName>
    <definedName name="v_84_XN_B">Model!$AI$217</definedName>
    <definedName name="v_84_XN_Be">Model!$AJ$217</definedName>
    <definedName name="v_84_XN_U">Model!$AK$217</definedName>
    <definedName name="v_84_XNOB">Model!$Y$217</definedName>
    <definedName name="v_84_XOHO">Model!$T$217</definedName>
    <definedName name="v_84_XP_B">Model!$AO$217</definedName>
    <definedName name="v_84_XP_Be">Model!$AP$217</definedName>
    <definedName name="v_84_XP_U">Model!$AQ$217</definedName>
    <definedName name="v_84_XPFOA">Model!$BW$217</definedName>
    <definedName name="v_84_XPFOS">Model!$BY$217</definedName>
    <definedName name="v_84_XPHA_GAO">Model!$Q$217</definedName>
    <definedName name="v_84_XPHA_PAO">Model!$P$217</definedName>
    <definedName name="v_84_XPP">Model!$AM$217</definedName>
    <definedName name="v_84_XSTO">Model!$O$217</definedName>
    <definedName name="v_84_XSTR">Model!$BT$217</definedName>
    <definedName name="v_84_XU">Model!$N$217</definedName>
    <definedName name="v_84_XVivi">Model!$BU$217</definedName>
    <definedName name="v_85_CB">Model!$I$218</definedName>
    <definedName name="v_85_CU">Model!$M$218</definedName>
    <definedName name="v_85_GCH4">Model!$CD$218</definedName>
    <definedName name="v_85_GCH4_atm">Model!$CJ$218</definedName>
    <definedName name="v_85_GCO2">Model!$CC$218</definedName>
    <definedName name="v_85_GCO2_atm">Model!$CI$218</definedName>
    <definedName name="v_85_GH2">Model!$CE$218</definedName>
    <definedName name="v_85_GH2_atm">Model!$CK$218</definedName>
    <definedName name="v_85_GN2">Model!$CH$218</definedName>
    <definedName name="v_85_GN2_atm">Model!$CN$218</definedName>
    <definedName name="v_85_GNH3">Model!$CG$218</definedName>
    <definedName name="v_85_GNH3_atm">Model!$CM$218</definedName>
    <definedName name="v_85_GO2">Model!$CF$218</definedName>
    <definedName name="v_85_GO2_atm">Model!$CL$218</definedName>
    <definedName name="v_85_SALPHA">Model!$CA$218</definedName>
    <definedName name="v_85_SAN">Model!$AX$218</definedName>
    <definedName name="v_85_SB_mono">Model!$F$218</definedName>
    <definedName name="v_85_SB_poly">Model!$G$218</definedName>
    <definedName name="v_85_SCa">Model!$AY$218</definedName>
    <definedName name="v_85_SCAT">Model!$AW$218</definedName>
    <definedName name="v_85_SCH4">Model!$AS$218</definedName>
    <definedName name="v_85_SCO2">Model!$AU$218</definedName>
    <definedName name="v_85_SFe2">Model!$BB$218</definedName>
    <definedName name="v_85_SH">Model!$BZ$218</definedName>
    <definedName name="v_85_SH2">Model!$AT$218</definedName>
    <definedName name="v_85_SK">Model!$BA$218</definedName>
    <definedName name="v_85_SMEOL">Model!$H$218</definedName>
    <definedName name="v_85_SMg">Model!$AZ$218</definedName>
    <definedName name="v_85_SN_B">Model!$AH$218</definedName>
    <definedName name="v_85_SN2">Model!$AG$218</definedName>
    <definedName name="v_85_SNHx">Model!$AD$218</definedName>
    <definedName name="v_85_SNO2">Model!$AE$218</definedName>
    <definedName name="v_85_SNO3">Model!$AF$218</definedName>
    <definedName name="v_85_SO2">Model!$AR$218</definedName>
    <definedName name="v_85_SORPswitch">Model!$CB$218</definedName>
    <definedName name="v_85_SP_B">Model!$AN$218</definedName>
    <definedName name="v_85_SPFOA">Model!$BV$218</definedName>
    <definedName name="v_85_SPFOS">Model!$BX$218</definedName>
    <definedName name="v_85_SPO4">Model!$AL$218</definedName>
    <definedName name="v_85_SU">Model!$L$218</definedName>
    <definedName name="v_85_SVFA">Model!$E$218</definedName>
    <definedName name="v_85_XACP">Model!$BR$218</definedName>
    <definedName name="v_85_XAHO">Model!$U$218</definedName>
    <definedName name="v_85_XALGAE">Model!$AC$218</definedName>
    <definedName name="v_85_XAMETO">Model!$AA$218</definedName>
    <definedName name="v_85_XAMX">Model!$Z$218</definedName>
    <definedName name="v_85_XAOB">Model!$X$218</definedName>
    <definedName name="v_85_XB">Model!$J$218</definedName>
    <definedName name="v_85_XB_e">Model!$K$218</definedName>
    <definedName name="v_85_XBSH">Model!$BS$218</definedName>
    <definedName name="v_85_XCaCO3">Model!$BQ$218</definedName>
    <definedName name="v_85_XCASTO">Model!$V$218</definedName>
    <definedName name="v_85_XE">Model!$R$218</definedName>
    <definedName name="v_85_XE_ana">Model!$S$218</definedName>
    <definedName name="v_85_XHAO_H">Model!$BJ$218</definedName>
    <definedName name="v_85_XHAO_H_P">Model!$BM$218</definedName>
    <definedName name="v_85_XHAO_H_P_old">Model!$BO$218</definedName>
    <definedName name="v_85_XHAO_L">Model!$BK$218</definedName>
    <definedName name="v_85_XHAO_L_P">Model!$BN$218</definedName>
    <definedName name="v_85_XHAO_L_P_old">Model!$BP$218</definedName>
    <definedName name="v_85_XHAO_old">Model!$BL$218</definedName>
    <definedName name="v_85_XHFO_H">Model!$BC$218</definedName>
    <definedName name="v_85_XHFO_H_P">Model!$BF$218</definedName>
    <definedName name="v_85_XHFO_H_P_old">Model!$BH$218</definedName>
    <definedName name="v_85_XHFO_L">Model!$BD$218</definedName>
    <definedName name="v_85_XHFO_L_P">Model!$BG$218</definedName>
    <definedName name="v_85_XHFO_L_P_old">Model!$BI$218</definedName>
    <definedName name="v_85_XHFO_old">Model!$BE$218</definedName>
    <definedName name="v_85_XHMETO">Model!$AB$218</definedName>
    <definedName name="v_85_XINORG">Model!$AV$218</definedName>
    <definedName name="v_85_XMEOLO">Model!$W$218</definedName>
    <definedName name="v_85_XN_B">Model!$AI$218</definedName>
    <definedName name="v_85_XN_Be">Model!$AJ$218</definedName>
    <definedName name="v_85_XN_U">Model!$AK$218</definedName>
    <definedName name="v_85_XNOB">Model!$Y$218</definedName>
    <definedName name="v_85_XOHO">Model!$T$218</definedName>
    <definedName name="v_85_XP_B">Model!$AO$218</definedName>
    <definedName name="v_85_XP_Be">Model!$AP$218</definedName>
    <definedName name="v_85_XP_U">Model!$AQ$218</definedName>
    <definedName name="v_85_XPFOA">Model!$BW$218</definedName>
    <definedName name="v_85_XPFOS">Model!$BY$218</definedName>
    <definedName name="v_85_XPHA_GAO">Model!$Q$218</definedName>
    <definedName name="v_85_XPHA_PAO">Model!$P$218</definedName>
    <definedName name="v_85_XPP">Model!$AM$218</definedName>
    <definedName name="v_85_XSTO">Model!$O$218</definedName>
    <definedName name="v_85_XSTR">Model!$BT$218</definedName>
    <definedName name="v_85_XU">Model!$N$218</definedName>
    <definedName name="v_85_XVivi">Model!$BU$218</definedName>
    <definedName name="v_86_CB">Model!$I$219</definedName>
    <definedName name="v_86_CU">Model!$M$219</definedName>
    <definedName name="v_86_GCH4">Model!$CD$219</definedName>
    <definedName name="v_86_GCH4_atm">Model!$CJ$219</definedName>
    <definedName name="v_86_GCO2">Model!$CC$219</definedName>
    <definedName name="v_86_GCO2_atm">Model!$CI$219</definedName>
    <definedName name="v_86_GH2">Model!$CE$219</definedName>
    <definedName name="v_86_GH2_atm">Model!$CK$219</definedName>
    <definedName name="v_86_GN2">Model!$CH$219</definedName>
    <definedName name="v_86_GN2_atm">Model!$CN$219</definedName>
    <definedName name="v_86_GNH3">Model!$CG$219</definedName>
    <definedName name="v_86_GNH3_atm">Model!$CM$219</definedName>
    <definedName name="v_86_GO2">Model!$CF$219</definedName>
    <definedName name="v_86_GO2_atm">Model!$CL$219</definedName>
    <definedName name="v_86_SALPHA">Model!$CA$219</definedName>
    <definedName name="v_86_SAN">Model!$AX$219</definedName>
    <definedName name="v_86_SB_mono">Model!$F$219</definedName>
    <definedName name="v_86_SB_poly">Model!$G$219</definedName>
    <definedName name="v_86_SCa">Model!$AY$219</definedName>
    <definedName name="v_86_SCAT">Model!$AW$219</definedName>
    <definedName name="v_86_SCH4">Model!$AS$219</definedName>
    <definedName name="v_86_SCO2">Model!$AU$219</definedName>
    <definedName name="v_86_SFe2">Model!$BB$219</definedName>
    <definedName name="v_86_SH">Model!$BZ$219</definedName>
    <definedName name="v_86_SH2">Model!$AT$219</definedName>
    <definedName name="v_86_SK">Model!$BA$219</definedName>
    <definedName name="v_86_SMEOL">Model!$H$219</definedName>
    <definedName name="v_86_SMg">Model!$AZ$219</definedName>
    <definedName name="v_86_SN_B">Model!$AH$219</definedName>
    <definedName name="v_86_SN2">Model!$AG$219</definedName>
    <definedName name="v_86_SNHx">Model!$AD$219</definedName>
    <definedName name="v_86_SNO2">Model!$AE$219</definedName>
    <definedName name="v_86_SNO3">Model!$AF$219</definedName>
    <definedName name="v_86_SO2">Model!$AR$219</definedName>
    <definedName name="v_86_SORPswitch">Model!$CB$219</definedName>
    <definedName name="v_86_SP_B">Model!$AN$219</definedName>
    <definedName name="v_86_SPFOA">Model!$BV$219</definedName>
    <definedName name="v_86_SPFOS">Model!$BX$219</definedName>
    <definedName name="v_86_SPO4">Model!$AL$219</definedName>
    <definedName name="v_86_SU">Model!$L$219</definedName>
    <definedName name="v_86_SVFA">Model!$E$219</definedName>
    <definedName name="v_86_XACP">Model!$BR$219</definedName>
    <definedName name="v_86_XAHO">Model!$U$219</definedName>
    <definedName name="v_86_XALGAE">Model!$AC$219</definedName>
    <definedName name="v_86_XAMETO">Model!$AA$219</definedName>
    <definedName name="v_86_XAMX">Model!$Z$219</definedName>
    <definedName name="v_86_XAOB">Model!$X$219</definedName>
    <definedName name="v_86_XB">Model!$J$219</definedName>
    <definedName name="v_86_XB_e">Model!$K$219</definedName>
    <definedName name="v_86_XBSH">Model!$BS$219</definedName>
    <definedName name="v_86_XCaCO3">Model!$BQ$219</definedName>
    <definedName name="v_86_XCASTO">Model!$V$219</definedName>
    <definedName name="v_86_XE">Model!$R$219</definedName>
    <definedName name="v_86_XE_ana">Model!$S$219</definedName>
    <definedName name="v_86_XHAO_H">Model!$BJ$219</definedName>
    <definedName name="v_86_XHAO_H_P">Model!$BM$219</definedName>
    <definedName name="v_86_XHAO_H_P_old">Model!$BO$219</definedName>
    <definedName name="v_86_XHAO_L">Model!$BK$219</definedName>
    <definedName name="v_86_XHAO_L_P">Model!$BN$219</definedName>
    <definedName name="v_86_XHAO_L_P_old">Model!$BP$219</definedName>
    <definedName name="v_86_XHAO_old">Model!$BL$219</definedName>
    <definedName name="v_86_XHFO_H">Model!$BC$219</definedName>
    <definedName name="v_86_XHFO_H_P">Model!$BF$219</definedName>
    <definedName name="v_86_XHFO_H_P_old">Model!$BH$219</definedName>
    <definedName name="v_86_XHFO_L">Model!$BD$219</definedName>
    <definedName name="v_86_XHFO_L_P">Model!$BG$219</definedName>
    <definedName name="v_86_XHFO_L_P_old">Model!$BI$219</definedName>
    <definedName name="v_86_XHFO_old">Model!$BE$219</definedName>
    <definedName name="v_86_XHMETO">Model!$AB$219</definedName>
    <definedName name="v_86_XINORG">Model!$AV$219</definedName>
    <definedName name="v_86_XMEOLO">Model!$W$219</definedName>
    <definedName name="v_86_XN_B">Model!$AI$219</definedName>
    <definedName name="v_86_XN_Be">Model!$AJ$219</definedName>
    <definedName name="v_86_XN_U">Model!$AK$219</definedName>
    <definedName name="v_86_XNOB">Model!$Y$219</definedName>
    <definedName name="v_86_XOHO">Model!$T$219</definedName>
    <definedName name="v_86_XP_B">Model!$AO$219</definedName>
    <definedName name="v_86_XP_Be">Model!$AP$219</definedName>
    <definedName name="v_86_XP_U">Model!$AQ$219</definedName>
    <definedName name="v_86_XPFOA">Model!$BW$219</definedName>
    <definedName name="v_86_XPFOS">Model!$BY$219</definedName>
    <definedName name="v_86_XPHA_GAO">Model!$Q$219</definedName>
    <definedName name="v_86_XPHA_PAO">Model!$P$219</definedName>
    <definedName name="v_86_XPP">Model!$AM$219</definedName>
    <definedName name="v_86_XSTO">Model!$O$219</definedName>
    <definedName name="v_86_XSTR">Model!$BT$219</definedName>
    <definedName name="v_86_XU">Model!$N$219</definedName>
    <definedName name="v_86_XVivi">Model!$BU$219</definedName>
    <definedName name="v_87_CB">Model!$I$220</definedName>
    <definedName name="v_87_CU">Model!$M$220</definedName>
    <definedName name="v_87_GCH4">Model!$CD$220</definedName>
    <definedName name="v_87_GCH4_atm">Model!$CJ$220</definedName>
    <definedName name="v_87_GCO2">Model!$CC$220</definedName>
    <definedName name="v_87_GCO2_atm">Model!$CI$220</definedName>
    <definedName name="v_87_GH2">Model!$CE$220</definedName>
    <definedName name="v_87_GH2_atm">Model!$CK$220</definedName>
    <definedName name="v_87_GN2">Model!$CH$220</definedName>
    <definedName name="v_87_GN2_atm">Model!$CN$220</definedName>
    <definedName name="v_87_GNH3">Model!$CG$220</definedName>
    <definedName name="v_87_GNH3_atm">Model!$CM$220</definedName>
    <definedName name="v_87_GO2">Model!$CF$220</definedName>
    <definedName name="v_87_GO2_atm">Model!$CL$220</definedName>
    <definedName name="v_87_SALPHA">Model!$CA$220</definedName>
    <definedName name="v_87_SAN">Model!$AX$220</definedName>
    <definedName name="v_87_SB_mono">Model!$F$220</definedName>
    <definedName name="v_87_SB_poly">Model!$G$220</definedName>
    <definedName name="v_87_SCa">Model!$AY$220</definedName>
    <definedName name="v_87_SCAT">Model!$AW$220</definedName>
    <definedName name="v_87_SCH4">Model!$AS$220</definedName>
    <definedName name="v_87_SCO2">Model!$AU$220</definedName>
    <definedName name="v_87_SFe2">Model!$BB$220</definedName>
    <definedName name="v_87_SH">Model!$BZ$220</definedName>
    <definedName name="v_87_SH2">Model!$AT$220</definedName>
    <definedName name="v_87_SK">Model!$BA$220</definedName>
    <definedName name="v_87_SMEOL">Model!$H$220</definedName>
    <definedName name="v_87_SMg">Model!$AZ$220</definedName>
    <definedName name="v_87_SN_B">Model!$AH$220</definedName>
    <definedName name="v_87_SN2">Model!$AG$220</definedName>
    <definedName name="v_87_SNHx">Model!$AD$220</definedName>
    <definedName name="v_87_SNO2">Model!$AE$220</definedName>
    <definedName name="v_87_SNO3">Model!$AF$220</definedName>
    <definedName name="v_87_SO2">Model!$AR$220</definedName>
    <definedName name="v_87_SORPswitch">Model!$CB$220</definedName>
    <definedName name="v_87_SP_B">Model!$AN$220</definedName>
    <definedName name="v_87_SPFOA">Model!$BV$220</definedName>
    <definedName name="v_87_SPFOS">Model!$BX$220</definedName>
    <definedName name="v_87_SPO4">Model!$AL$220</definedName>
    <definedName name="v_87_SU">Model!$L$220</definedName>
    <definedName name="v_87_SVFA">Model!$E$220</definedName>
    <definedName name="v_87_XACP">Model!$BR$220</definedName>
    <definedName name="v_87_XAHO">Model!$U$220</definedName>
    <definedName name="v_87_XALGAE">Model!$AC$220</definedName>
    <definedName name="v_87_XAMETO">Model!$AA$220</definedName>
    <definedName name="v_87_XAMX">Model!$Z$220</definedName>
    <definedName name="v_87_XAOB">Model!$X$220</definedName>
    <definedName name="v_87_XB">Model!$J$220</definedName>
    <definedName name="v_87_XB_e">Model!$K$220</definedName>
    <definedName name="v_87_XBSH">Model!$BS$220</definedName>
    <definedName name="v_87_XCaCO3">Model!$BQ$220</definedName>
    <definedName name="v_87_XCASTO">Model!$V$220</definedName>
    <definedName name="v_87_XE">Model!$R$220</definedName>
    <definedName name="v_87_XE_ana">Model!$S$220</definedName>
    <definedName name="v_87_XHAO_H">Model!$BJ$220</definedName>
    <definedName name="v_87_XHAO_H_P">Model!$BM$220</definedName>
    <definedName name="v_87_XHAO_H_P_old">Model!$BO$220</definedName>
    <definedName name="v_87_XHAO_L">Model!$BK$220</definedName>
    <definedName name="v_87_XHAO_L_P">Model!$BN$220</definedName>
    <definedName name="v_87_XHAO_L_P_old">Model!$BP$220</definedName>
    <definedName name="v_87_XHAO_old">Model!$BL$220</definedName>
    <definedName name="v_87_XHFO_H">Model!$BC$220</definedName>
    <definedName name="v_87_XHFO_H_P">Model!$BF$220</definedName>
    <definedName name="v_87_XHFO_H_P_old">Model!$BH$220</definedName>
    <definedName name="v_87_XHFO_L">Model!$BD$220</definedName>
    <definedName name="v_87_XHFO_L_P">Model!$BG$220</definedName>
    <definedName name="v_87_XHFO_L_P_old">Model!$BI$220</definedName>
    <definedName name="v_87_XHFO_old">Model!$BE$220</definedName>
    <definedName name="v_87_XHMETO">Model!$AB$220</definedName>
    <definedName name="v_87_XINORG">Model!$AV$220</definedName>
    <definedName name="v_87_XMEOLO">Model!$W$220</definedName>
    <definedName name="v_87_XN_B">Model!$AI$220</definedName>
    <definedName name="v_87_XN_Be">Model!$AJ$220</definedName>
    <definedName name="v_87_XN_U">Model!$AK$220</definedName>
    <definedName name="v_87_XNOB">Model!$Y$220</definedName>
    <definedName name="v_87_XOHO">Model!$T$220</definedName>
    <definedName name="v_87_XP_B">Model!$AO$220</definedName>
    <definedName name="v_87_XP_Be">Model!$AP$220</definedName>
    <definedName name="v_87_XP_U">Model!$AQ$220</definedName>
    <definedName name="v_87_XPFOA">Model!$BW$220</definedName>
    <definedName name="v_87_XPFOS">Model!$BY$220</definedName>
    <definedName name="v_87_XPHA_GAO">Model!$Q$220</definedName>
    <definedName name="v_87_XPHA_PAO">Model!$P$220</definedName>
    <definedName name="v_87_XPP">Model!$AM$220</definedName>
    <definedName name="v_87_XSTO">Model!$O$220</definedName>
    <definedName name="v_87_XSTR">Model!$BT$220</definedName>
    <definedName name="v_87_XU">Model!$N$220</definedName>
    <definedName name="v_87_XVivi">Model!$BU$220</definedName>
    <definedName name="v_88_CB">Model!$I$221</definedName>
    <definedName name="v_88_CU">Model!$M$221</definedName>
    <definedName name="v_88_GCH4">Model!$CD$221</definedName>
    <definedName name="v_88_GCH4_atm">Model!$CJ$221</definedName>
    <definedName name="v_88_GCO2">Model!$CC$221</definedName>
    <definedName name="v_88_GCO2_atm">Model!$CI$221</definedName>
    <definedName name="v_88_GH2">Model!$CE$221</definedName>
    <definedName name="v_88_GH2_atm">Model!$CK$221</definedName>
    <definedName name="v_88_GN2">Model!$CH$221</definedName>
    <definedName name="v_88_GN2_atm">Model!$CN$221</definedName>
    <definedName name="v_88_GNH3">Model!$CG$221</definedName>
    <definedName name="v_88_GNH3_atm">Model!$CM$221</definedName>
    <definedName name="v_88_GO2">Model!$CF$221</definedName>
    <definedName name="v_88_GO2_atm">Model!$CL$221</definedName>
    <definedName name="v_88_SALPHA">Model!$CA$221</definedName>
    <definedName name="v_88_SAN">Model!$AX$221</definedName>
    <definedName name="v_88_SB_mono">Model!$F$221</definedName>
    <definedName name="v_88_SB_poly">Model!$G$221</definedName>
    <definedName name="v_88_SCa">Model!$AY$221</definedName>
    <definedName name="v_88_SCAT">Model!$AW$221</definedName>
    <definedName name="v_88_SCH4">Model!$AS$221</definedName>
    <definedName name="v_88_SCO2">Model!$AU$221</definedName>
    <definedName name="v_88_SFe2">Model!$BB$221</definedName>
    <definedName name="v_88_SH">Model!$BZ$221</definedName>
    <definedName name="v_88_SH2">Model!$AT$221</definedName>
    <definedName name="v_88_SK">Model!$BA$221</definedName>
    <definedName name="v_88_SMEOL">Model!$H$221</definedName>
    <definedName name="v_88_SMg">Model!$AZ$221</definedName>
    <definedName name="v_88_SN_B">Model!$AH$221</definedName>
    <definedName name="v_88_SN2">Model!$AG$221</definedName>
    <definedName name="v_88_SNHx">Model!$AD$221</definedName>
    <definedName name="v_88_SNO2">Model!$AE$221</definedName>
    <definedName name="v_88_SNO3">Model!$AF$221</definedName>
    <definedName name="v_88_SO2">Model!$AR$221</definedName>
    <definedName name="v_88_SORPswitch">Model!$CB$221</definedName>
    <definedName name="v_88_SP_B">Model!$AN$221</definedName>
    <definedName name="v_88_SPFOA">Model!$BV$221</definedName>
    <definedName name="v_88_SPFOS">Model!$BX$221</definedName>
    <definedName name="v_88_SPO4">Model!$AL$221</definedName>
    <definedName name="v_88_SU">Model!$L$221</definedName>
    <definedName name="v_88_SVFA">Model!$E$221</definedName>
    <definedName name="v_88_XACP">Model!$BR$221</definedName>
    <definedName name="v_88_XAHO">Model!$U$221</definedName>
    <definedName name="v_88_XALGAE">Model!$AC$221</definedName>
    <definedName name="v_88_XAMETO">Model!$AA$221</definedName>
    <definedName name="v_88_XAMX">Model!$Z$221</definedName>
    <definedName name="v_88_XAOB">Model!$X$221</definedName>
    <definedName name="v_88_XB">Model!$J$221</definedName>
    <definedName name="v_88_XB_e">Model!$K$221</definedName>
    <definedName name="v_88_XBSH">Model!$BS$221</definedName>
    <definedName name="v_88_XCaCO3">Model!$BQ$221</definedName>
    <definedName name="v_88_XCASTO">Model!$V$221</definedName>
    <definedName name="v_88_XE">Model!$R$221</definedName>
    <definedName name="v_88_XE_ana">Model!$S$221</definedName>
    <definedName name="v_88_XHAO_H">Model!$BJ$221</definedName>
    <definedName name="v_88_XHAO_H_P">Model!$BM$221</definedName>
    <definedName name="v_88_XHAO_H_P_old">Model!$BO$221</definedName>
    <definedName name="v_88_XHAO_L">Model!$BK$221</definedName>
    <definedName name="v_88_XHAO_L_P">Model!$BN$221</definedName>
    <definedName name="v_88_XHAO_L_P_old">Model!$BP$221</definedName>
    <definedName name="v_88_XHAO_old">Model!$BL$221</definedName>
    <definedName name="v_88_XHFO_H">Model!$BC$221</definedName>
    <definedName name="v_88_XHFO_H_P">Model!$BF$221</definedName>
    <definedName name="v_88_XHFO_H_P_old">Model!$BH$221</definedName>
    <definedName name="v_88_XHFO_L">Model!$BD$221</definedName>
    <definedName name="v_88_XHFO_L_P">Model!$BG$221</definedName>
    <definedName name="v_88_XHFO_L_P_old">Model!$BI$221</definedName>
    <definedName name="v_88_XHFO_old">Model!$BE$221</definedName>
    <definedName name="v_88_XHMETO">Model!$AB$221</definedName>
    <definedName name="v_88_XINORG">Model!$AV$221</definedName>
    <definedName name="v_88_XMEOLO">Model!$W$221</definedName>
    <definedName name="v_88_XN_B">Model!$AI$221</definedName>
    <definedName name="v_88_XN_Be">Model!$AJ$221</definedName>
    <definedName name="v_88_XN_U">Model!$AK$221</definedName>
    <definedName name="v_88_XNOB">Model!$Y$221</definedName>
    <definedName name="v_88_XOHO">Model!$T$221</definedName>
    <definedName name="v_88_XP_B">Model!$AO$221</definedName>
    <definedName name="v_88_XP_Be">Model!$AP$221</definedName>
    <definedName name="v_88_XP_U">Model!$AQ$221</definedName>
    <definedName name="v_88_XPFOA">Model!$BW$221</definedName>
    <definedName name="v_88_XPFOS">Model!$BY$221</definedName>
    <definedName name="v_88_XPHA_GAO">Model!$Q$221</definedName>
    <definedName name="v_88_XPHA_PAO">Model!$P$221</definedName>
    <definedName name="v_88_XPP">Model!$AM$221</definedName>
    <definedName name="v_88_XSTO">Model!$O$221</definedName>
    <definedName name="v_88_XSTR">Model!$BT$221</definedName>
    <definedName name="v_88_XU">Model!$N$221</definedName>
    <definedName name="v_88_XVivi">Model!$BU$221</definedName>
    <definedName name="v_89_CB">Model!$I$222</definedName>
    <definedName name="v_89_CU">Model!$M$222</definedName>
    <definedName name="v_89_GCH4">Model!$CD$222</definedName>
    <definedName name="v_89_GCH4_atm">Model!$CJ$222</definedName>
    <definedName name="v_89_GCO2">Model!$CC$222</definedName>
    <definedName name="v_89_GCO2_atm">Model!$CI$222</definedName>
    <definedName name="v_89_GH2">Model!$CE$222</definedName>
    <definedName name="v_89_GH2_atm">Model!$CK$222</definedName>
    <definedName name="v_89_GN2">Model!$CH$222</definedName>
    <definedName name="v_89_GN2_atm">Model!$CN$222</definedName>
    <definedName name="v_89_GNH3">Model!$CG$222</definedName>
    <definedName name="v_89_GNH3_atm">Model!$CM$222</definedName>
    <definedName name="v_89_GO2">Model!$CF$222</definedName>
    <definedName name="v_89_GO2_atm">Model!$CL$222</definedName>
    <definedName name="v_89_SALPHA">Model!$CA$222</definedName>
    <definedName name="v_89_SAN">Model!$AX$222</definedName>
    <definedName name="v_89_SB_mono">Model!$F$222</definedName>
    <definedName name="v_89_SB_poly">Model!$G$222</definedName>
    <definedName name="v_89_SCa">Model!$AY$222</definedName>
    <definedName name="v_89_SCAT">Model!$AW$222</definedName>
    <definedName name="v_89_SCH4">Model!$AS$222</definedName>
    <definedName name="v_89_SCO2">Model!$AU$222</definedName>
    <definedName name="v_89_SFe2">Model!$BB$222</definedName>
    <definedName name="v_89_SH">Model!$BZ$222</definedName>
    <definedName name="v_89_SH2">Model!$AT$222</definedName>
    <definedName name="v_89_SK">Model!$BA$222</definedName>
    <definedName name="v_89_SMEOL">Model!$H$222</definedName>
    <definedName name="v_89_SMg">Model!$AZ$222</definedName>
    <definedName name="v_89_SN_B">Model!$AH$222</definedName>
    <definedName name="v_89_SN2">Model!$AG$222</definedName>
    <definedName name="v_89_SNHx">Model!$AD$222</definedName>
    <definedName name="v_89_SNO2">Model!$AE$222</definedName>
    <definedName name="v_89_SNO3">Model!$AF$222</definedName>
    <definedName name="v_89_SO2">Model!$AR$222</definedName>
    <definedName name="v_89_SORPswitch">Model!$CB$222</definedName>
    <definedName name="v_89_SP_B">Model!$AN$222</definedName>
    <definedName name="v_89_SPFOA">Model!$BV$222</definedName>
    <definedName name="v_89_SPFOS">Model!$BX$222</definedName>
    <definedName name="v_89_SPO4">Model!$AL$222</definedName>
    <definedName name="v_89_SU">Model!$L$222</definedName>
    <definedName name="v_89_SVFA">Model!$E$222</definedName>
    <definedName name="v_89_XACP">Model!$BR$222</definedName>
    <definedName name="v_89_XAHO">Model!$U$222</definedName>
    <definedName name="v_89_XALGAE">Model!$AC$222</definedName>
    <definedName name="v_89_XAMETO">Model!$AA$222</definedName>
    <definedName name="v_89_XAMX">Model!$Z$222</definedName>
    <definedName name="v_89_XAOB">Model!$X$222</definedName>
    <definedName name="v_89_XB">Model!$J$222</definedName>
    <definedName name="v_89_XB_e">Model!$K$222</definedName>
    <definedName name="v_89_XBSH">Model!$BS$222</definedName>
    <definedName name="v_89_XCaCO3">Model!$BQ$222</definedName>
    <definedName name="v_89_XCASTO">Model!$V$222</definedName>
    <definedName name="v_89_XE">Model!$R$222</definedName>
    <definedName name="v_89_XE_ana">Model!$S$222</definedName>
    <definedName name="v_89_XHAO_H">Model!$BJ$222</definedName>
    <definedName name="v_89_XHAO_H_P">Model!$BM$222</definedName>
    <definedName name="v_89_XHAO_H_P_old">Model!$BO$222</definedName>
    <definedName name="v_89_XHAO_L">Model!$BK$222</definedName>
    <definedName name="v_89_XHAO_L_P">Model!$BN$222</definedName>
    <definedName name="v_89_XHAO_L_P_old">Model!$BP$222</definedName>
    <definedName name="v_89_XHAO_old">Model!$BL$222</definedName>
    <definedName name="v_89_XHFO_H">Model!$BC$222</definedName>
    <definedName name="v_89_XHFO_H_P">Model!$BF$222</definedName>
    <definedName name="v_89_XHFO_H_P_old">Model!$BH$222</definedName>
    <definedName name="v_89_XHFO_L">Model!$BD$222</definedName>
    <definedName name="v_89_XHFO_L_P">Model!$BG$222</definedName>
    <definedName name="v_89_XHFO_L_P_old">Model!$BI$222</definedName>
    <definedName name="v_89_XHFO_old">Model!$BE$222</definedName>
    <definedName name="v_89_XHMETO">Model!$AB$222</definedName>
    <definedName name="v_89_XINORG">Model!$AV$222</definedName>
    <definedName name="v_89_XMEOLO">Model!$W$222</definedName>
    <definedName name="v_89_XN_B">Model!$AI$222</definedName>
    <definedName name="v_89_XN_Be">Model!$AJ$222</definedName>
    <definedName name="v_89_XN_U">Model!$AK$222</definedName>
    <definedName name="v_89_XNOB">Model!$Y$222</definedName>
    <definedName name="v_89_XOHO">Model!$T$222</definedName>
    <definedName name="v_89_XP_B">Model!$AO$222</definedName>
    <definedName name="v_89_XP_Be">Model!$AP$222</definedName>
    <definedName name="v_89_XP_U">Model!$AQ$222</definedName>
    <definedName name="v_89_XPFOA">Model!$BW$222</definedName>
    <definedName name="v_89_XPFOS">Model!$BY$222</definedName>
    <definedName name="v_89_XPHA_GAO">Model!$Q$222</definedName>
    <definedName name="v_89_XPHA_PAO">Model!$P$222</definedName>
    <definedName name="v_89_XPP">Model!$AM$222</definedName>
    <definedName name="v_89_XSTO">Model!$O$222</definedName>
    <definedName name="v_89_XSTR">Model!$BT$222</definedName>
    <definedName name="v_89_XU">Model!$N$222</definedName>
    <definedName name="v_89_XVivi">Model!$BU$222</definedName>
    <definedName name="v_9_CB">Model!$I$142</definedName>
    <definedName name="v_9_CU">Model!$M$142</definedName>
    <definedName name="v_9_GCH4">Model!$CD$142</definedName>
    <definedName name="v_9_GCH4_atm">Model!$CJ$142</definedName>
    <definedName name="v_9_GCO2">Model!$CC$142</definedName>
    <definedName name="v_9_GCO2_atm">Model!$CI$142</definedName>
    <definedName name="v_9_GH2">Model!$CE$142</definedName>
    <definedName name="v_9_GH2_atm">Model!$CK$142</definedName>
    <definedName name="v_9_GN2">Model!$CH$142</definedName>
    <definedName name="v_9_GN2_atm">Model!$CN$142</definedName>
    <definedName name="v_9_GNH3">Model!$CG$142</definedName>
    <definedName name="v_9_GNH3_atm">Model!$CM$142</definedName>
    <definedName name="v_9_GO2">Model!$CF$142</definedName>
    <definedName name="v_9_GO2_atm">Model!$CL$142</definedName>
    <definedName name="v_9_SALPHA">Model!$CA$142</definedName>
    <definedName name="v_9_SAN">Model!$AX$142</definedName>
    <definedName name="v_9_SB_mono">Model!$F$142</definedName>
    <definedName name="v_9_SB_poly">Model!$G$142</definedName>
    <definedName name="v_9_SCa">Model!$AY$142</definedName>
    <definedName name="v_9_SCAT">Model!$AW$142</definedName>
    <definedName name="v_9_SCH4">Model!$AS$142</definedName>
    <definedName name="v_9_SCO2">Model!$AU$142</definedName>
    <definedName name="v_9_SFe2">Model!$BB$142</definedName>
    <definedName name="v_9_SH">Model!$BZ$142</definedName>
    <definedName name="v_9_SH2">Model!$AT$142</definedName>
    <definedName name="v_9_SK">Model!$BA$142</definedName>
    <definedName name="v_9_SMEOL">Model!$H$142</definedName>
    <definedName name="v_9_SMg">Model!$AZ$142</definedName>
    <definedName name="v_9_SN_B">Model!$AH$142</definedName>
    <definedName name="v_9_SN2">Model!$AG$142</definedName>
    <definedName name="v_9_SNHx">Model!$AD$142</definedName>
    <definedName name="v_9_SNO2">Model!$AE$142</definedName>
    <definedName name="v_9_SNO3">Model!$AF$142</definedName>
    <definedName name="v_9_SO2">Model!$AR$142</definedName>
    <definedName name="v_9_SORPswitch">Model!$CB$142</definedName>
    <definedName name="v_9_SP_B">Model!$AN$142</definedName>
    <definedName name="v_9_SPFOA">Model!$BV$142</definedName>
    <definedName name="v_9_SPFOS">Model!$BX$142</definedName>
    <definedName name="v_9_SPO4">Model!$AL$142</definedName>
    <definedName name="v_9_SU">Model!$L$142</definedName>
    <definedName name="v_9_SVFA">Model!$E$142</definedName>
    <definedName name="v_9_XACP">Model!$BR$142</definedName>
    <definedName name="v_9_XAHO">Model!$U$142</definedName>
    <definedName name="v_9_XALGAE">Model!$AC$142</definedName>
    <definedName name="v_9_XAMETO">Model!$AA$142</definedName>
    <definedName name="v_9_XAMX">Model!$Z$142</definedName>
    <definedName name="v_9_XAOB">Model!$X$142</definedName>
    <definedName name="v_9_XB">Model!$J$142</definedName>
    <definedName name="v_9_XB_e">Model!$K$142</definedName>
    <definedName name="v_9_XBSH">Model!$BS$142</definedName>
    <definedName name="v_9_XCaCO3">Model!$BQ$142</definedName>
    <definedName name="v_9_XCASTO">Model!$V$142</definedName>
    <definedName name="v_9_XE">Model!$R$142</definedName>
    <definedName name="v_9_XE_ana">Model!$S$142</definedName>
    <definedName name="v_9_XHAO_H">Model!$BJ$142</definedName>
    <definedName name="v_9_XHAO_H_P">Model!$BM$142</definedName>
    <definedName name="v_9_XHAO_H_P_old">Model!$BO$142</definedName>
    <definedName name="v_9_XHAO_L">Model!$BK$142</definedName>
    <definedName name="v_9_XHAO_L_P">Model!$BN$142</definedName>
    <definedName name="v_9_XHAO_L_P_old">Model!$BP$142</definedName>
    <definedName name="v_9_XHAO_old">Model!$BL$142</definedName>
    <definedName name="v_9_XHFO_H">Model!$BC$142</definedName>
    <definedName name="v_9_XHFO_H_P">Model!$BF$142</definedName>
    <definedName name="v_9_XHFO_H_P_old">Model!$BH$142</definedName>
    <definedName name="v_9_XHFO_L">Model!$BD$142</definedName>
    <definedName name="v_9_XHFO_L_P">Model!$BG$142</definedName>
    <definedName name="v_9_XHFO_L_P_old">Model!$BI$142</definedName>
    <definedName name="v_9_XHFO_old">Model!$BE$142</definedName>
    <definedName name="v_9_XHMETO">Model!$AB$142</definedName>
    <definedName name="v_9_XINORG">Model!$AV$142</definedName>
    <definedName name="v_9_XMEOLO">Model!$W$142</definedName>
    <definedName name="v_9_XN_B">Model!$AI$142</definedName>
    <definedName name="v_9_XN_Be">Model!$AJ$142</definedName>
    <definedName name="v_9_XN_U">Model!$AK$142</definedName>
    <definedName name="v_9_XNOB">Model!$Y$142</definedName>
    <definedName name="v_9_XOHO">Model!$T$142</definedName>
    <definedName name="v_9_XP_B">Model!$AO$142</definedName>
    <definedName name="v_9_XP_Be">Model!$AP$142</definedName>
    <definedName name="v_9_XP_U">Model!$AQ$142</definedName>
    <definedName name="v_9_XPFOA">Model!$BW$142</definedName>
    <definedName name="v_9_XPFOS">Model!$BY$142</definedName>
    <definedName name="v_9_XPHA_GAO">Model!$Q$142</definedName>
    <definedName name="v_9_XPHA_PAO">Model!$P$142</definedName>
    <definedName name="v_9_XPP">Model!$AM$142</definedName>
    <definedName name="v_9_XSTO">Model!$O$142</definedName>
    <definedName name="v_9_XSTR">Model!$BT$142</definedName>
    <definedName name="v_9_XU">Model!$N$142</definedName>
    <definedName name="v_9_XVivi">Model!$BU$142</definedName>
    <definedName name="v_90_CB">Model!$I$223</definedName>
    <definedName name="v_90_CU">Model!$M$223</definedName>
    <definedName name="v_90_GCH4">Model!$CD$223</definedName>
    <definedName name="v_90_GCH4_atm">Model!$CJ$223</definedName>
    <definedName name="v_90_GCO2">Model!$CC$223</definedName>
    <definedName name="v_90_GCO2_atm">Model!$CI$223</definedName>
    <definedName name="v_90_GH2">Model!$CE$223</definedName>
    <definedName name="v_90_GH2_atm">Model!$CK$223</definedName>
    <definedName name="v_90_GN2">Model!$CH$223</definedName>
    <definedName name="v_90_GN2_atm">Model!$CN$223</definedName>
    <definedName name="v_90_GNH3">Model!$CG$223</definedName>
    <definedName name="v_90_GNH3_atm">Model!$CM$223</definedName>
    <definedName name="v_90_GO2">Model!$CF$223</definedName>
    <definedName name="v_90_GO2_atm">Model!$CL$223</definedName>
    <definedName name="v_90_SALPHA">Model!$CA$223</definedName>
    <definedName name="v_90_SAN">Model!$AX$223</definedName>
    <definedName name="v_90_SB_mono">Model!$F$223</definedName>
    <definedName name="v_90_SB_poly">Model!$G$223</definedName>
    <definedName name="v_90_SCa">Model!$AY$223</definedName>
    <definedName name="v_90_SCAT">Model!$AW$223</definedName>
    <definedName name="v_90_SCH4">Model!$AS$223</definedName>
    <definedName name="v_90_SCO2">Model!$AU$223</definedName>
    <definedName name="v_90_SFe2">Model!$BB$223</definedName>
    <definedName name="v_90_SH">Model!$BZ$223</definedName>
    <definedName name="v_90_SH2">Model!$AT$223</definedName>
    <definedName name="v_90_SK">Model!$BA$223</definedName>
    <definedName name="v_90_SMEOL">Model!$H$223</definedName>
    <definedName name="v_90_SMg">Model!$AZ$223</definedName>
    <definedName name="v_90_SN_B">Model!$AH$223</definedName>
    <definedName name="v_90_SN2">Model!$AG$223</definedName>
    <definedName name="v_90_SNHx">Model!$AD$223</definedName>
    <definedName name="v_90_SNO2">Model!$AE$223</definedName>
    <definedName name="v_90_SNO3">Model!$AF$223</definedName>
    <definedName name="v_90_SO2">Model!$AR$223</definedName>
    <definedName name="v_90_SORPswitch">Model!$CB$223</definedName>
    <definedName name="v_90_SP_B">Model!$AN$223</definedName>
    <definedName name="v_90_SPFOA">Model!$BV$223</definedName>
    <definedName name="v_90_SPFOS">Model!$BX$223</definedName>
    <definedName name="v_90_SPO4">Model!$AL$223</definedName>
    <definedName name="v_90_SU">Model!$L$223</definedName>
    <definedName name="v_90_SVFA">Model!$E$223</definedName>
    <definedName name="v_90_XACP">Model!$BR$223</definedName>
    <definedName name="v_90_XAHO">Model!$U$223</definedName>
    <definedName name="v_90_XALGAE">Model!$AC$223</definedName>
    <definedName name="v_90_XAMETO">Model!$AA$223</definedName>
    <definedName name="v_90_XAMX">Model!$Z$223</definedName>
    <definedName name="v_90_XAOB">Model!$X$223</definedName>
    <definedName name="v_90_XB">Model!$J$223</definedName>
    <definedName name="v_90_XB_e">Model!$K$223</definedName>
    <definedName name="v_90_XBSH">Model!$BS$223</definedName>
    <definedName name="v_90_XCaCO3">Model!$BQ$223</definedName>
    <definedName name="v_90_XCASTO">Model!$V$223</definedName>
    <definedName name="v_90_XE">Model!$R$223</definedName>
    <definedName name="v_90_XE_ana">Model!$S$223</definedName>
    <definedName name="v_90_XHAO_H">Model!$BJ$223</definedName>
    <definedName name="v_90_XHAO_H_P">Model!$BM$223</definedName>
    <definedName name="v_90_XHAO_H_P_old">Model!$BO$223</definedName>
    <definedName name="v_90_XHAO_L">Model!$BK$223</definedName>
    <definedName name="v_90_XHAO_L_P">Model!$BN$223</definedName>
    <definedName name="v_90_XHAO_L_P_old">Model!$BP$223</definedName>
    <definedName name="v_90_XHAO_old">Model!$BL$223</definedName>
    <definedName name="v_90_XHFO_H">Model!$BC$223</definedName>
    <definedName name="v_90_XHFO_H_P">Model!$BF$223</definedName>
    <definedName name="v_90_XHFO_H_P_old">Model!$BH$223</definedName>
    <definedName name="v_90_XHFO_L">Model!$BD$223</definedName>
    <definedName name="v_90_XHFO_L_P">Model!$BG$223</definedName>
    <definedName name="v_90_XHFO_L_P_old">Model!$BI$223</definedName>
    <definedName name="v_90_XHFO_old">Model!$BE$223</definedName>
    <definedName name="v_90_XHMETO">Model!$AB$223</definedName>
    <definedName name="v_90_XINORG">Model!$AV$223</definedName>
    <definedName name="v_90_XMEOLO">Model!$W$223</definedName>
    <definedName name="v_90_XN_B">Model!$AI$223</definedName>
    <definedName name="v_90_XN_Be">Model!$AJ$223</definedName>
    <definedName name="v_90_XN_U">Model!$AK$223</definedName>
    <definedName name="v_90_XNOB">Model!$Y$223</definedName>
    <definedName name="v_90_XOHO">Model!$T$223</definedName>
    <definedName name="v_90_XP_B">Model!$AO$223</definedName>
    <definedName name="v_90_XP_Be">Model!$AP$223</definedName>
    <definedName name="v_90_XP_U">Model!$AQ$223</definedName>
    <definedName name="v_90_XPFOA">Model!$BW$223</definedName>
    <definedName name="v_90_XPFOS">Model!$BY$223</definedName>
    <definedName name="v_90_XPHA_GAO">Model!$Q$223</definedName>
    <definedName name="v_90_XPHA_PAO">Model!$P$223</definedName>
    <definedName name="v_90_XPP">Model!$AM$223</definedName>
    <definedName name="v_90_XSTO">Model!$O$223</definedName>
    <definedName name="v_90_XSTR">Model!$BT$223</definedName>
    <definedName name="v_90_XU">Model!$N$223</definedName>
    <definedName name="v_90_XVivi">Model!$BU$223</definedName>
    <definedName name="v_91_CB">Model!$I$224</definedName>
    <definedName name="v_91_CU">Model!$M$224</definedName>
    <definedName name="v_91_GCH4">Model!$CD$224</definedName>
    <definedName name="v_91_GCH4_atm">Model!$CJ$224</definedName>
    <definedName name="v_91_GCO2">Model!$CC$224</definedName>
    <definedName name="v_91_GCO2_atm">Model!$CI$224</definedName>
    <definedName name="v_91_GH2">Model!$CE$224</definedName>
    <definedName name="v_91_GH2_atm">Model!$CK$224</definedName>
    <definedName name="v_91_GN2">Model!$CH$224</definedName>
    <definedName name="v_91_GN2_atm">Model!$CN$224</definedName>
    <definedName name="v_91_GNH3">Model!$CG$224</definedName>
    <definedName name="v_91_GNH3_atm">Model!$CM$224</definedName>
    <definedName name="v_91_GO2">Model!$CF$224</definedName>
    <definedName name="v_91_GO2_atm">Model!$CL$224</definedName>
    <definedName name="v_91_SALPHA">Model!$CA$224</definedName>
    <definedName name="v_91_SAN">Model!$AX$224</definedName>
    <definedName name="v_91_SB_mono">Model!$F$224</definedName>
    <definedName name="v_91_SB_poly">Model!$G$224</definedName>
    <definedName name="v_91_SCa">Model!$AY$224</definedName>
    <definedName name="v_91_SCAT">Model!$AW$224</definedName>
    <definedName name="v_91_SCH4">Model!$AS$224</definedName>
    <definedName name="v_91_SCO2">Model!$AU$224</definedName>
    <definedName name="v_91_SFe2">Model!$BB$224</definedName>
    <definedName name="v_91_SH">Model!$BZ$224</definedName>
    <definedName name="v_91_SH2">Model!$AT$224</definedName>
    <definedName name="v_91_SK">Model!$BA$224</definedName>
    <definedName name="v_91_SMEOL">Model!$H$224</definedName>
    <definedName name="v_91_SMg">Model!$AZ$224</definedName>
    <definedName name="v_91_SN_B">Model!$AH$224</definedName>
    <definedName name="v_91_SN2">Model!$AG$224</definedName>
    <definedName name="v_91_SNHx">Model!$AD$224</definedName>
    <definedName name="v_91_SNO2">Model!$AE$224</definedName>
    <definedName name="v_91_SNO3">Model!$AF$224</definedName>
    <definedName name="v_91_SO2">Model!$AR$224</definedName>
    <definedName name="v_91_SORPswitch">Model!$CB$224</definedName>
    <definedName name="v_91_SP_B">Model!$AN$224</definedName>
    <definedName name="v_91_SPFOA">Model!$BV$224</definedName>
    <definedName name="v_91_SPFOS">Model!$BX$224</definedName>
    <definedName name="v_91_SPO4">Model!$AL$224</definedName>
    <definedName name="v_91_SU">Model!$L$224</definedName>
    <definedName name="v_91_SVFA">Model!$E$224</definedName>
    <definedName name="v_91_XACP">Model!$BR$224</definedName>
    <definedName name="v_91_XAHO">Model!$U$224</definedName>
    <definedName name="v_91_XALGAE">Model!$AC$224</definedName>
    <definedName name="v_91_XAMETO">Model!$AA$224</definedName>
    <definedName name="v_91_XAMX">Model!$Z$224</definedName>
    <definedName name="v_91_XAOB">Model!$X$224</definedName>
    <definedName name="v_91_XB">Model!$J$224</definedName>
    <definedName name="v_91_XB_e">Model!$K$224</definedName>
    <definedName name="v_91_XBSH">Model!$BS$224</definedName>
    <definedName name="v_91_XCaCO3">Model!$BQ$224</definedName>
    <definedName name="v_91_XCASTO">Model!$V$224</definedName>
    <definedName name="v_91_XE">Model!$R$224</definedName>
    <definedName name="v_91_XE_ana">Model!$S$224</definedName>
    <definedName name="v_91_XHAO_H">Model!$BJ$224</definedName>
    <definedName name="v_91_XHAO_H_P">Model!$BM$224</definedName>
    <definedName name="v_91_XHAO_H_P_old">Model!$BO$224</definedName>
    <definedName name="v_91_XHAO_L">Model!$BK$224</definedName>
    <definedName name="v_91_XHAO_L_P">Model!$BN$224</definedName>
    <definedName name="v_91_XHAO_L_P_old">Model!$BP$224</definedName>
    <definedName name="v_91_XHAO_old">Model!$BL$224</definedName>
    <definedName name="v_91_XHFO_H">Model!$BC$224</definedName>
    <definedName name="v_91_XHFO_H_P">Model!$BF$224</definedName>
    <definedName name="v_91_XHFO_H_P_old">Model!$BH$224</definedName>
    <definedName name="v_91_XHFO_L">Model!$BD$224</definedName>
    <definedName name="v_91_XHFO_L_P">Model!$BG$224</definedName>
    <definedName name="v_91_XHFO_L_P_old">Model!$BI$224</definedName>
    <definedName name="v_91_XHFO_old">Model!$BE$224</definedName>
    <definedName name="v_91_XHMETO">Model!$AB$224</definedName>
    <definedName name="v_91_XINORG">Model!$AV$224</definedName>
    <definedName name="v_91_XMEOLO">Model!$W$224</definedName>
    <definedName name="v_91_XN_B">Model!$AI$224</definedName>
    <definedName name="v_91_XN_Be">Model!$AJ$224</definedName>
    <definedName name="v_91_XN_U">Model!$AK$224</definedName>
    <definedName name="v_91_XNOB">Model!$Y$224</definedName>
    <definedName name="v_91_XOHO">Model!$T$224</definedName>
    <definedName name="v_91_XP_B">Model!$AO$224</definedName>
    <definedName name="v_91_XP_Be">Model!$AP$224</definedName>
    <definedName name="v_91_XP_U">Model!$AQ$224</definedName>
    <definedName name="v_91_XPFOA">Model!$BW$224</definedName>
    <definedName name="v_91_XPFOS">Model!$BY$224</definedName>
    <definedName name="v_91_XPHA_GAO">Model!$Q$224</definedName>
    <definedName name="v_91_XPHA_PAO">Model!$P$224</definedName>
    <definedName name="v_91_XPP">Model!$AM$224</definedName>
    <definedName name="v_91_XSTO">Model!$O$224</definedName>
    <definedName name="v_91_XSTR">Model!$BT$224</definedName>
    <definedName name="v_91_XU">Model!$N$224</definedName>
    <definedName name="v_91_XVivi">Model!$BU$224</definedName>
    <definedName name="v_92_CB">Model!$I$225</definedName>
    <definedName name="v_92_CU">Model!$M$225</definedName>
    <definedName name="v_92_GCH4">Model!$CD$225</definedName>
    <definedName name="v_92_GCH4_atm">Model!$CJ$225</definedName>
    <definedName name="v_92_GCO2">Model!$CC$225</definedName>
    <definedName name="v_92_GCO2_atm">Model!$CI$225</definedName>
    <definedName name="v_92_GH2">Model!$CE$225</definedName>
    <definedName name="v_92_GH2_atm">Model!$CK$225</definedName>
    <definedName name="v_92_GN2">Model!$CH$225</definedName>
    <definedName name="v_92_GN2_atm">Model!$CN$225</definedName>
    <definedName name="v_92_GNH3">Model!$CG$225</definedName>
    <definedName name="v_92_GNH3_atm">Model!$CM$225</definedName>
    <definedName name="v_92_GO2">Model!$CF$225</definedName>
    <definedName name="v_92_GO2_atm">Model!$CL$225</definedName>
    <definedName name="v_92_SALPHA">Model!$CA$225</definedName>
    <definedName name="v_92_SAN">Model!$AX$225</definedName>
    <definedName name="v_92_SB_mono">Model!$F$225</definedName>
    <definedName name="v_92_SB_poly">Model!$G$225</definedName>
    <definedName name="v_92_SCa">Model!$AY$225</definedName>
    <definedName name="v_92_SCAT">Model!$AW$225</definedName>
    <definedName name="v_92_SCH4">Model!$AS$225</definedName>
    <definedName name="v_92_SCO2">Model!$AU$225</definedName>
    <definedName name="v_92_SFe2">Model!$BB$225</definedName>
    <definedName name="v_92_SH">Model!$BZ$225</definedName>
    <definedName name="v_92_SH2">Model!$AT$225</definedName>
    <definedName name="v_92_SK">Model!$BA$225</definedName>
    <definedName name="v_92_SMEOL">Model!$H$225</definedName>
    <definedName name="v_92_SMg">Model!$AZ$225</definedName>
    <definedName name="v_92_SN_B">Model!$AH$225</definedName>
    <definedName name="v_92_SN2">Model!$AG$225</definedName>
    <definedName name="v_92_SNHx">Model!$AD$225</definedName>
    <definedName name="v_92_SNO2">Model!$AE$225</definedName>
    <definedName name="v_92_SNO3">Model!$AF$225</definedName>
    <definedName name="v_92_SO2">Model!$AR$225</definedName>
    <definedName name="v_92_SORPswitch">Model!$CB$225</definedName>
    <definedName name="v_92_SP_B">Model!$AN$225</definedName>
    <definedName name="v_92_SPFOA">Model!$BV$225</definedName>
    <definedName name="v_92_SPFOS">Model!$BX$225</definedName>
    <definedName name="v_92_SPO4">Model!$AL$225</definedName>
    <definedName name="v_92_SU">Model!$L$225</definedName>
    <definedName name="v_92_SVFA">Model!$E$225</definedName>
    <definedName name="v_92_XACP">Model!$BR$225</definedName>
    <definedName name="v_92_XAHO">Model!$U$225</definedName>
    <definedName name="v_92_XALGAE">Model!$AC$225</definedName>
    <definedName name="v_92_XAMETO">Model!$AA$225</definedName>
    <definedName name="v_92_XAMX">Model!$Z$225</definedName>
    <definedName name="v_92_XAOB">Model!$X$225</definedName>
    <definedName name="v_92_XB">Model!$J$225</definedName>
    <definedName name="v_92_XB_e">Model!$K$225</definedName>
    <definedName name="v_92_XBSH">Model!$BS$225</definedName>
    <definedName name="v_92_XCaCO3">Model!$BQ$225</definedName>
    <definedName name="v_92_XCASTO">Model!$V$225</definedName>
    <definedName name="v_92_XE">Model!$R$225</definedName>
    <definedName name="v_92_XE_ana">Model!$S$225</definedName>
    <definedName name="v_92_XHAO_H">Model!$BJ$225</definedName>
    <definedName name="v_92_XHAO_H_P">Model!$BM$225</definedName>
    <definedName name="v_92_XHAO_H_P_old">Model!$BO$225</definedName>
    <definedName name="v_92_XHAO_L">Model!$BK$225</definedName>
    <definedName name="v_92_XHAO_L_P">Model!$BN$225</definedName>
    <definedName name="v_92_XHAO_L_P_old">Model!$BP$225</definedName>
    <definedName name="v_92_XHAO_old">Model!$BL$225</definedName>
    <definedName name="v_92_XHFO_H">Model!$BC$225</definedName>
    <definedName name="v_92_XHFO_H_P">Model!$BF$225</definedName>
    <definedName name="v_92_XHFO_H_P_old">Model!$BH$225</definedName>
    <definedName name="v_92_XHFO_L">Model!$BD$225</definedName>
    <definedName name="v_92_XHFO_L_P">Model!$BG$225</definedName>
    <definedName name="v_92_XHFO_L_P_old">Model!$BI$225</definedName>
    <definedName name="v_92_XHFO_old">Model!$BE$225</definedName>
    <definedName name="v_92_XHMETO">Model!$AB$225</definedName>
    <definedName name="v_92_XINORG">Model!$AV$225</definedName>
    <definedName name="v_92_XMEOLO">Model!$W$225</definedName>
    <definedName name="v_92_XN_B">Model!$AI$225</definedName>
    <definedName name="v_92_XN_Be">Model!$AJ$225</definedName>
    <definedName name="v_92_XN_U">Model!$AK$225</definedName>
    <definedName name="v_92_XNOB">Model!$Y$225</definedName>
    <definedName name="v_92_XOHO">Model!$T$225</definedName>
    <definedName name="v_92_XP_B">Model!$AO$225</definedName>
    <definedName name="v_92_XP_Be">Model!$AP$225</definedName>
    <definedName name="v_92_XP_U">Model!$AQ$225</definedName>
    <definedName name="v_92_XPFOA">Model!$BW$225</definedName>
    <definedName name="v_92_XPFOS">Model!$BY$225</definedName>
    <definedName name="v_92_XPHA_GAO">Model!$Q$225</definedName>
    <definedName name="v_92_XPHA_PAO">Model!$P$225</definedName>
    <definedName name="v_92_XPP">Model!$AM$225</definedName>
    <definedName name="v_92_XSTO">Model!$O$225</definedName>
    <definedName name="v_92_XSTR">Model!$BT$225</definedName>
    <definedName name="v_92_XU">Model!$N$225</definedName>
    <definedName name="v_92_XVivi">Model!$BU$225</definedName>
    <definedName name="v_93_CB">Model!$I$226</definedName>
    <definedName name="v_93_CU">Model!$M$226</definedName>
    <definedName name="v_93_GCH4">Model!$CD$226</definedName>
    <definedName name="v_93_GCH4_atm">Model!$CJ$226</definedName>
    <definedName name="v_93_GCO2">Model!$CC$226</definedName>
    <definedName name="v_93_GCO2_atm">Model!$CI$226</definedName>
    <definedName name="v_93_GH2">Model!$CE$226</definedName>
    <definedName name="v_93_GH2_atm">Model!$CK$226</definedName>
    <definedName name="v_93_GN2">Model!$CH$226</definedName>
    <definedName name="v_93_GN2_atm">Model!$CN$226</definedName>
    <definedName name="v_93_GNH3">Model!$CG$226</definedName>
    <definedName name="v_93_GNH3_atm">Model!$CM$226</definedName>
    <definedName name="v_93_GO2">Model!$CF$226</definedName>
    <definedName name="v_93_GO2_atm">Model!$CL$226</definedName>
    <definedName name="v_93_SALPHA">Model!$CA$226</definedName>
    <definedName name="v_93_SAN">Model!$AX$226</definedName>
    <definedName name="v_93_SB_mono">Model!$F$226</definedName>
    <definedName name="v_93_SB_poly">Model!$G$226</definedName>
    <definedName name="v_93_SCa">Model!$AY$226</definedName>
    <definedName name="v_93_SCAT">Model!$AW$226</definedName>
    <definedName name="v_93_SCH4">Model!$AS$226</definedName>
    <definedName name="v_93_SCO2">Model!$AU$226</definedName>
    <definedName name="v_93_SFe2">Model!$BB$226</definedName>
    <definedName name="v_93_SH">Model!$BZ$226</definedName>
    <definedName name="v_93_SH2">Model!$AT$226</definedName>
    <definedName name="v_93_SK">Model!$BA$226</definedName>
    <definedName name="v_93_SMEOL">Model!$H$226</definedName>
    <definedName name="v_93_SMg">Model!$AZ$226</definedName>
    <definedName name="v_93_SN_B">Model!$AH$226</definedName>
    <definedName name="v_93_SN2">Model!$AG$226</definedName>
    <definedName name="v_93_SNHx">Model!$AD$226</definedName>
    <definedName name="v_93_SNO2">Model!$AE$226</definedName>
    <definedName name="v_93_SNO3">Model!$AF$226</definedName>
    <definedName name="v_93_SO2">Model!$AR$226</definedName>
    <definedName name="v_93_SORPswitch">Model!$CB$226</definedName>
    <definedName name="v_93_SP_B">Model!$AN$226</definedName>
    <definedName name="v_93_SPFOA">Model!$BV$226</definedName>
    <definedName name="v_93_SPFOS">Model!$BX$226</definedName>
    <definedName name="v_93_SPO4">Model!$AL$226</definedName>
    <definedName name="v_93_SU">Model!$L$226</definedName>
    <definedName name="v_93_SVFA">Model!$E$226</definedName>
    <definedName name="v_93_XACP">Model!$BR$226</definedName>
    <definedName name="v_93_XAHO">Model!$U$226</definedName>
    <definedName name="v_93_XALGAE">Model!$AC$226</definedName>
    <definedName name="v_93_XAMETO">Model!$AA$226</definedName>
    <definedName name="v_93_XAMX">Model!$Z$226</definedName>
    <definedName name="v_93_XAOB">Model!$X$226</definedName>
    <definedName name="v_93_XB">Model!$J$226</definedName>
    <definedName name="v_93_XB_e">Model!$K$226</definedName>
    <definedName name="v_93_XBSH">Model!$BS$226</definedName>
    <definedName name="v_93_XCaCO3">Model!$BQ$226</definedName>
    <definedName name="v_93_XCASTO">Model!$V$226</definedName>
    <definedName name="v_93_XE">Model!$R$226</definedName>
    <definedName name="v_93_XE_ana">Model!$S$226</definedName>
    <definedName name="v_93_XHAO_H">Model!$BJ$226</definedName>
    <definedName name="v_93_XHAO_H_P">Model!$BM$226</definedName>
    <definedName name="v_93_XHAO_H_P_old">Model!$BO$226</definedName>
    <definedName name="v_93_XHAO_L">Model!$BK$226</definedName>
    <definedName name="v_93_XHAO_L_P">Model!$BN$226</definedName>
    <definedName name="v_93_XHAO_L_P_old">Model!$BP$226</definedName>
    <definedName name="v_93_XHAO_old">Model!$BL$226</definedName>
    <definedName name="v_93_XHFO_H">Model!$BC$226</definedName>
    <definedName name="v_93_XHFO_H_P">Model!$BF$226</definedName>
    <definedName name="v_93_XHFO_H_P_old">Model!$BH$226</definedName>
    <definedName name="v_93_XHFO_L">Model!$BD$226</definedName>
    <definedName name="v_93_XHFO_L_P">Model!$BG$226</definedName>
    <definedName name="v_93_XHFO_L_P_old">Model!$BI$226</definedName>
    <definedName name="v_93_XHFO_old">Model!$BE$226</definedName>
    <definedName name="v_93_XHMETO">Model!$AB$226</definedName>
    <definedName name="v_93_XINORG">Model!$AV$226</definedName>
    <definedName name="v_93_XMEOLO">Model!$W$226</definedName>
    <definedName name="v_93_XN_B">Model!$AI$226</definedName>
    <definedName name="v_93_XN_Be">Model!$AJ$226</definedName>
    <definedName name="v_93_XN_U">Model!$AK$226</definedName>
    <definedName name="v_93_XNOB">Model!$Y$226</definedName>
    <definedName name="v_93_XOHO">Model!$T$226</definedName>
    <definedName name="v_93_XP_B">Model!$AO$226</definedName>
    <definedName name="v_93_XP_Be">Model!$AP$226</definedName>
    <definedName name="v_93_XP_U">Model!$AQ$226</definedName>
    <definedName name="v_93_XPFOA">Model!$BW$226</definedName>
    <definedName name="v_93_XPFOS">Model!$BY$226</definedName>
    <definedName name="v_93_XPHA_GAO">Model!$Q$226</definedName>
    <definedName name="v_93_XPHA_PAO">Model!$P$226</definedName>
    <definedName name="v_93_XPP">Model!$AM$226</definedName>
    <definedName name="v_93_XSTO">Model!$O$226</definedName>
    <definedName name="v_93_XSTR">Model!$BT$226</definedName>
    <definedName name="v_93_XU">Model!$N$226</definedName>
    <definedName name="v_93_XVivi">Model!$BU$226</definedName>
    <definedName name="v_94_CB">Model!$I$227</definedName>
    <definedName name="v_94_CU">Model!$M$227</definedName>
    <definedName name="v_94_GCH4">Model!$CD$227</definedName>
    <definedName name="v_94_GCH4_atm">Model!$CJ$227</definedName>
    <definedName name="v_94_GCO2">Model!$CC$227</definedName>
    <definedName name="v_94_GCO2_atm">Model!$CI$227</definedName>
    <definedName name="v_94_GH2">Model!$CE$227</definedName>
    <definedName name="v_94_GH2_atm">Model!$CK$227</definedName>
    <definedName name="v_94_GN2">Model!$CH$227</definedName>
    <definedName name="v_94_GN2_atm">Model!$CN$227</definedName>
    <definedName name="v_94_GNH3">Model!$CG$227</definedName>
    <definedName name="v_94_GNH3_atm">Model!$CM$227</definedName>
    <definedName name="v_94_GO2">Model!$CF$227</definedName>
    <definedName name="v_94_GO2_atm">Model!$CL$227</definedName>
    <definedName name="v_94_SALPHA">Model!$CA$227</definedName>
    <definedName name="v_94_SAN">Model!$AX$227</definedName>
    <definedName name="v_94_SB_mono">Model!$F$227</definedName>
    <definedName name="v_94_SB_poly">Model!$G$227</definedName>
    <definedName name="v_94_SCa">Model!$AY$227</definedName>
    <definedName name="v_94_SCAT">Model!$AW$227</definedName>
    <definedName name="v_94_SCH4">Model!$AS$227</definedName>
    <definedName name="v_94_SCO2">Model!$AU$227</definedName>
    <definedName name="v_94_SFe2">Model!$BB$227</definedName>
    <definedName name="v_94_SH">Model!$BZ$227</definedName>
    <definedName name="v_94_SH2">Model!$AT$227</definedName>
    <definedName name="v_94_SK">Model!$BA$227</definedName>
    <definedName name="v_94_SMEOL">Model!$H$227</definedName>
    <definedName name="v_94_SMg">Model!$AZ$227</definedName>
    <definedName name="v_94_SN_B">Model!$AH$227</definedName>
    <definedName name="v_94_SN2">Model!$AG$227</definedName>
    <definedName name="v_94_SNHx">Model!$AD$227</definedName>
    <definedName name="v_94_SNO2">Model!$AE$227</definedName>
    <definedName name="v_94_SNO3">Model!$AF$227</definedName>
    <definedName name="v_94_SO2">Model!$AR$227</definedName>
    <definedName name="v_94_SORPswitch">Model!$CB$227</definedName>
    <definedName name="v_94_SP_B">Model!$AN$227</definedName>
    <definedName name="v_94_SPFOA">Model!$BV$227</definedName>
    <definedName name="v_94_SPFOS">Model!$BX$227</definedName>
    <definedName name="v_94_SPO4">Model!$AL$227</definedName>
    <definedName name="v_94_SU">Model!$L$227</definedName>
    <definedName name="v_94_SVFA">Model!$E$227</definedName>
    <definedName name="v_94_XACP">Model!$BR$227</definedName>
    <definedName name="v_94_XAHO">Model!$U$227</definedName>
    <definedName name="v_94_XALGAE">Model!$AC$227</definedName>
    <definedName name="v_94_XAMETO">Model!$AA$227</definedName>
    <definedName name="v_94_XAMX">Model!$Z$227</definedName>
    <definedName name="v_94_XAOB">Model!$X$227</definedName>
    <definedName name="v_94_XB">Model!$J$227</definedName>
    <definedName name="v_94_XB_e">Model!$K$227</definedName>
    <definedName name="v_94_XBSH">Model!$BS$227</definedName>
    <definedName name="v_94_XCaCO3">Model!$BQ$227</definedName>
    <definedName name="v_94_XCASTO">Model!$V$227</definedName>
    <definedName name="v_94_XE">Model!$R$227</definedName>
    <definedName name="v_94_XE_ana">Model!$S$227</definedName>
    <definedName name="v_94_XHAO_H">Model!$BJ$227</definedName>
    <definedName name="v_94_XHAO_H_P">Model!$BM$227</definedName>
    <definedName name="v_94_XHAO_H_P_old">Model!$BO$227</definedName>
    <definedName name="v_94_XHAO_L">Model!$BK$227</definedName>
    <definedName name="v_94_XHAO_L_P">Model!$BN$227</definedName>
    <definedName name="v_94_XHAO_L_P_old">Model!$BP$227</definedName>
    <definedName name="v_94_XHAO_old">Model!$BL$227</definedName>
    <definedName name="v_94_XHFO_H">Model!$BC$227</definedName>
    <definedName name="v_94_XHFO_H_P">Model!$BF$227</definedName>
    <definedName name="v_94_XHFO_H_P_old">Model!$BH$227</definedName>
    <definedName name="v_94_XHFO_L">Model!$BD$227</definedName>
    <definedName name="v_94_XHFO_L_P">Model!$BG$227</definedName>
    <definedName name="v_94_XHFO_L_P_old">Model!$BI$227</definedName>
    <definedName name="v_94_XHFO_old">Model!$BE$227</definedName>
    <definedName name="v_94_XHMETO">Model!$AB$227</definedName>
    <definedName name="v_94_XINORG">Model!$AV$227</definedName>
    <definedName name="v_94_XMEOLO">Model!$W$227</definedName>
    <definedName name="v_94_XN_B">Model!$AI$227</definedName>
    <definedName name="v_94_XN_Be">Model!$AJ$227</definedName>
    <definedName name="v_94_XN_U">Model!$AK$227</definedName>
    <definedName name="v_94_XNOB">Model!$Y$227</definedName>
    <definedName name="v_94_XOHO">Model!$T$227</definedName>
    <definedName name="v_94_XP_B">Model!$AO$227</definedName>
    <definedName name="v_94_XP_Be">Model!$AP$227</definedName>
    <definedName name="v_94_XP_U">Model!$AQ$227</definedName>
    <definedName name="v_94_XPFOA">Model!$BW$227</definedName>
    <definedName name="v_94_XPFOS">Model!$BY$227</definedName>
    <definedName name="v_94_XPHA_GAO">Model!$Q$227</definedName>
    <definedName name="v_94_XPHA_PAO">Model!$P$227</definedName>
    <definedName name="v_94_XPP">Model!$AM$227</definedName>
    <definedName name="v_94_XSTO">Model!$O$227</definedName>
    <definedName name="v_94_XSTR">Model!$BT$227</definedName>
    <definedName name="v_94_XU">Model!$N$227</definedName>
    <definedName name="v_94_XVivi">Model!$BU$227</definedName>
    <definedName name="v_95_CB">Model!$I$228</definedName>
    <definedName name="v_95_CU">Model!$M$228</definedName>
    <definedName name="v_95_GCH4">Model!$CD$228</definedName>
    <definedName name="v_95_GCH4_atm">Model!$CJ$228</definedName>
    <definedName name="v_95_GCO2">Model!$CC$228</definedName>
    <definedName name="v_95_GCO2_atm">Model!$CI$228</definedName>
    <definedName name="v_95_GH2">Model!$CE$228</definedName>
    <definedName name="v_95_GH2_atm">Model!$CK$228</definedName>
    <definedName name="v_95_GN2">Model!$CH$228</definedName>
    <definedName name="v_95_GN2_atm">Model!$CN$228</definedName>
    <definedName name="v_95_GNH3">Model!$CG$228</definedName>
    <definedName name="v_95_GNH3_atm">Model!$CM$228</definedName>
    <definedName name="v_95_GO2">Model!$CF$228</definedName>
    <definedName name="v_95_GO2_atm">Model!$CL$228</definedName>
    <definedName name="v_95_SALPHA">Model!$CA$228</definedName>
    <definedName name="v_95_SAN">Model!$AX$228</definedName>
    <definedName name="v_95_SB_mono">Model!$F$228</definedName>
    <definedName name="v_95_SB_poly">Model!$G$228</definedName>
    <definedName name="v_95_SCa">Model!$AY$228</definedName>
    <definedName name="v_95_SCAT">Model!$AW$228</definedName>
    <definedName name="v_95_SCH4">Model!$AS$228</definedName>
    <definedName name="v_95_SCO2">Model!$AU$228</definedName>
    <definedName name="v_95_SFe2">Model!$BB$228</definedName>
    <definedName name="v_95_SH">Model!$BZ$228</definedName>
    <definedName name="v_95_SH2">Model!$AT$228</definedName>
    <definedName name="v_95_SK">Model!$BA$228</definedName>
    <definedName name="v_95_SMEOL">Model!$H$228</definedName>
    <definedName name="v_95_SMg">Model!$AZ$228</definedName>
    <definedName name="v_95_SN_B">Model!$AH$228</definedName>
    <definedName name="v_95_SN2">Model!$AG$228</definedName>
    <definedName name="v_95_SNHx">Model!$AD$228</definedName>
    <definedName name="v_95_SNO2">Model!$AE$228</definedName>
    <definedName name="v_95_SNO3">Model!$AF$228</definedName>
    <definedName name="v_95_SO2">Model!$AR$228</definedName>
    <definedName name="v_95_SORPswitch">Model!$CB$228</definedName>
    <definedName name="v_95_SP_B">Model!$AN$228</definedName>
    <definedName name="v_95_SPFOA">Model!$BV$228</definedName>
    <definedName name="v_95_SPFOS">Model!$BX$228</definedName>
    <definedName name="v_95_SPO4">Model!$AL$228</definedName>
    <definedName name="v_95_SU">Model!$L$228</definedName>
    <definedName name="v_95_SVFA">Model!$E$228</definedName>
    <definedName name="v_95_XACP">Model!$BR$228</definedName>
    <definedName name="v_95_XAHO">Model!$U$228</definedName>
    <definedName name="v_95_XALGAE">Model!$AC$228</definedName>
    <definedName name="v_95_XAMETO">Model!$AA$228</definedName>
    <definedName name="v_95_XAMX">Model!$Z$228</definedName>
    <definedName name="v_95_XAOB">Model!$X$228</definedName>
    <definedName name="v_95_XB">Model!$J$228</definedName>
    <definedName name="v_95_XB_e">Model!$K$228</definedName>
    <definedName name="v_95_XBSH">Model!$BS$228</definedName>
    <definedName name="v_95_XCaCO3">Model!$BQ$228</definedName>
    <definedName name="v_95_XCASTO">Model!$V$228</definedName>
    <definedName name="v_95_XE">Model!$R$228</definedName>
    <definedName name="v_95_XE_ana">Model!$S$228</definedName>
    <definedName name="v_95_XHAO_H">Model!$BJ$228</definedName>
    <definedName name="v_95_XHAO_H_P">Model!$BM$228</definedName>
    <definedName name="v_95_XHAO_H_P_old">Model!$BO$228</definedName>
    <definedName name="v_95_XHAO_L">Model!$BK$228</definedName>
    <definedName name="v_95_XHAO_L_P">Model!$BN$228</definedName>
    <definedName name="v_95_XHAO_L_P_old">Model!$BP$228</definedName>
    <definedName name="v_95_XHAO_old">Model!$BL$228</definedName>
    <definedName name="v_95_XHFO_H">Model!$BC$228</definedName>
    <definedName name="v_95_XHFO_H_P">Model!$BF$228</definedName>
    <definedName name="v_95_XHFO_H_P_old">Model!$BH$228</definedName>
    <definedName name="v_95_XHFO_L">Model!$BD$228</definedName>
    <definedName name="v_95_XHFO_L_P">Model!$BG$228</definedName>
    <definedName name="v_95_XHFO_L_P_old">Model!$BI$228</definedName>
    <definedName name="v_95_XHFO_old">Model!$BE$228</definedName>
    <definedName name="v_95_XHMETO">Model!$AB$228</definedName>
    <definedName name="v_95_XINORG">Model!$AV$228</definedName>
    <definedName name="v_95_XMEOLO">Model!$W$228</definedName>
    <definedName name="v_95_XN_B">Model!$AI$228</definedName>
    <definedName name="v_95_XN_Be">Model!$AJ$228</definedName>
    <definedName name="v_95_XN_U">Model!$AK$228</definedName>
    <definedName name="v_95_XNOB">Model!$Y$228</definedName>
    <definedName name="v_95_XOHO">Model!$T$228</definedName>
    <definedName name="v_95_XP_B">Model!$AO$228</definedName>
    <definedName name="v_95_XP_Be">Model!$AP$228</definedName>
    <definedName name="v_95_XP_U">Model!$AQ$228</definedName>
    <definedName name="v_95_XPFOA">Model!$BW$228</definedName>
    <definedName name="v_95_XPFOS">Model!$BY$228</definedName>
    <definedName name="v_95_XPHA_GAO">Model!$Q$228</definedName>
    <definedName name="v_95_XPHA_PAO">Model!$P$228</definedName>
    <definedName name="v_95_XPP">Model!$AM$228</definedName>
    <definedName name="v_95_XSTO">Model!$O$228</definedName>
    <definedName name="v_95_XSTR">Model!$BT$228</definedName>
    <definedName name="v_95_XU">Model!$N$228</definedName>
    <definedName name="v_95_XVivi">Model!$BU$228</definedName>
    <definedName name="v_96_CB">Model!$I$229</definedName>
    <definedName name="v_96_CU">Model!$M$229</definedName>
    <definedName name="v_96_GCH4">Model!$CD$229</definedName>
    <definedName name="v_96_GCH4_atm">Model!$CJ$229</definedName>
    <definedName name="v_96_GCO2">Model!$CC$229</definedName>
    <definedName name="v_96_GCO2_atm">Model!$CI$229</definedName>
    <definedName name="v_96_GH2">Model!$CE$229</definedName>
    <definedName name="v_96_GH2_atm">Model!$CK$229</definedName>
    <definedName name="v_96_GN2">Model!$CH$229</definedName>
    <definedName name="v_96_GN2_atm">Model!$CN$229</definedName>
    <definedName name="v_96_GNH3">Model!$CG$229</definedName>
    <definedName name="v_96_GNH3_atm">Model!$CM$229</definedName>
    <definedName name="v_96_GO2">Model!$CF$229</definedName>
    <definedName name="v_96_GO2_atm">Model!$CL$229</definedName>
    <definedName name="v_96_SALPHA">Model!$CA$229</definedName>
    <definedName name="v_96_SAN">Model!$AX$229</definedName>
    <definedName name="v_96_SB_mono">Model!$F$229</definedName>
    <definedName name="v_96_SB_poly">Model!$G$229</definedName>
    <definedName name="v_96_SCa">Model!$AY$229</definedName>
    <definedName name="v_96_SCAT">Model!$AW$229</definedName>
    <definedName name="v_96_SCH4">Model!$AS$229</definedName>
    <definedName name="v_96_SCO2">Model!$AU$229</definedName>
    <definedName name="v_96_SFe2">Model!$BB$229</definedName>
    <definedName name="v_96_SH">Model!$BZ$229</definedName>
    <definedName name="v_96_SH2">Model!$AT$229</definedName>
    <definedName name="v_96_SK">Model!$BA$229</definedName>
    <definedName name="v_96_SMEOL">Model!$H$229</definedName>
    <definedName name="v_96_SMg">Model!$AZ$229</definedName>
    <definedName name="v_96_SN_B">Model!$AH$229</definedName>
    <definedName name="v_96_SN2">Model!$AG$229</definedName>
    <definedName name="v_96_SNHx">Model!$AD$229</definedName>
    <definedName name="v_96_SNO2">Model!$AE$229</definedName>
    <definedName name="v_96_SNO3">Model!$AF$229</definedName>
    <definedName name="v_96_SO2">Model!$AR$229</definedName>
    <definedName name="v_96_SORPswitch">Model!$CB$229</definedName>
    <definedName name="v_96_SP_B">Model!$AN$229</definedName>
    <definedName name="v_96_SPFOA">Model!$BV$229</definedName>
    <definedName name="v_96_SPFOS">Model!$BX$229</definedName>
    <definedName name="v_96_SPO4">Model!$AL$229</definedName>
    <definedName name="v_96_SU">Model!$L$229</definedName>
    <definedName name="v_96_SVFA">Model!$E$229</definedName>
    <definedName name="v_96_XACP">Model!$BR$229</definedName>
    <definedName name="v_96_XAHO">Model!$U$229</definedName>
    <definedName name="v_96_XALGAE">Model!$AC$229</definedName>
    <definedName name="v_96_XAMETO">Model!$AA$229</definedName>
    <definedName name="v_96_XAMX">Model!$Z$229</definedName>
    <definedName name="v_96_XAOB">Model!$X$229</definedName>
    <definedName name="v_96_XB">Model!$J$229</definedName>
    <definedName name="v_96_XB_e">Model!$K$229</definedName>
    <definedName name="v_96_XBSH">Model!$BS$229</definedName>
    <definedName name="v_96_XCaCO3">Model!$BQ$229</definedName>
    <definedName name="v_96_XCASTO">Model!$V$229</definedName>
    <definedName name="v_96_XE">Model!$R$229</definedName>
    <definedName name="v_96_XE_ana">Model!$S$229</definedName>
    <definedName name="v_96_XHAO_H">Model!$BJ$229</definedName>
    <definedName name="v_96_XHAO_H_P">Model!$BM$229</definedName>
    <definedName name="v_96_XHAO_H_P_old">Model!$BO$229</definedName>
    <definedName name="v_96_XHAO_L">Model!$BK$229</definedName>
    <definedName name="v_96_XHAO_L_P">Model!$BN$229</definedName>
    <definedName name="v_96_XHAO_L_P_old">Model!$BP$229</definedName>
    <definedName name="v_96_XHAO_old">Model!$BL$229</definedName>
    <definedName name="v_96_XHFO_H">Model!$BC$229</definedName>
    <definedName name="v_96_XHFO_H_P">Model!$BF$229</definedName>
    <definedName name="v_96_XHFO_H_P_old">Model!$BH$229</definedName>
    <definedName name="v_96_XHFO_L">Model!$BD$229</definedName>
    <definedName name="v_96_XHFO_L_P">Model!$BG$229</definedName>
    <definedName name="v_96_XHFO_L_P_old">Model!$BI$229</definedName>
    <definedName name="v_96_XHFO_old">Model!$BE$229</definedName>
    <definedName name="v_96_XHMETO">Model!$AB$229</definedName>
    <definedName name="v_96_XINORG">Model!$AV$229</definedName>
    <definedName name="v_96_XMEOLO">Model!$W$229</definedName>
    <definedName name="v_96_XN_B">Model!$AI$229</definedName>
    <definedName name="v_96_XN_Be">Model!$AJ$229</definedName>
    <definedName name="v_96_XN_U">Model!$AK$229</definedName>
    <definedName name="v_96_XNOB">Model!$Y$229</definedName>
    <definedName name="v_96_XOHO">Model!$T$229</definedName>
    <definedName name="v_96_XP_B">Model!$AO$229</definedName>
    <definedName name="v_96_XP_Be">Model!$AP$229</definedName>
    <definedName name="v_96_XP_U">Model!$AQ$229</definedName>
    <definedName name="v_96_XPFOA">Model!$BW$229</definedName>
    <definedName name="v_96_XPFOS">Model!$BY$229</definedName>
    <definedName name="v_96_XPHA_GAO">Model!$Q$229</definedName>
    <definedName name="v_96_XPHA_PAO">Model!$P$229</definedName>
    <definedName name="v_96_XPP">Model!$AM$229</definedName>
    <definedName name="v_96_XSTO">Model!$O$229</definedName>
    <definedName name="v_96_XSTR">Model!$BT$229</definedName>
    <definedName name="v_96_XU">Model!$N$229</definedName>
    <definedName name="v_96_XVivi">Model!$BU$229</definedName>
    <definedName name="v_97_CB">Model!$I$230</definedName>
    <definedName name="v_97_CU">Model!$M$230</definedName>
    <definedName name="v_97_GCH4">Model!$CD$230</definedName>
    <definedName name="v_97_GCH4_atm">Model!$CJ$230</definedName>
    <definedName name="v_97_GCO2">Model!$CC$230</definedName>
    <definedName name="v_97_GCO2_atm">Model!$CI$230</definedName>
    <definedName name="v_97_GH2">Model!$CE$230</definedName>
    <definedName name="v_97_GH2_atm">Model!$CK$230</definedName>
    <definedName name="v_97_GN2">Model!$CH$230</definedName>
    <definedName name="v_97_GN2_atm">Model!$CN$230</definedName>
    <definedName name="v_97_GNH3">Model!$CG$230</definedName>
    <definedName name="v_97_GNH3_atm">Model!$CM$230</definedName>
    <definedName name="v_97_GO2">Model!$CF$230</definedName>
    <definedName name="v_97_GO2_atm">Model!$CL$230</definedName>
    <definedName name="v_97_SALPHA">Model!$CA$230</definedName>
    <definedName name="v_97_SAN">Model!$AX$230</definedName>
    <definedName name="v_97_SB_mono">Model!$F$230</definedName>
    <definedName name="v_97_SB_poly">Model!$G$230</definedName>
    <definedName name="v_97_SCa">Model!$AY$230</definedName>
    <definedName name="v_97_SCAT">Model!$AW$230</definedName>
    <definedName name="v_97_SCH4">Model!$AS$230</definedName>
    <definedName name="v_97_SCO2">Model!$AU$230</definedName>
    <definedName name="v_97_SFe2">Model!$BB$230</definedName>
    <definedName name="v_97_SH">Model!$BZ$230</definedName>
    <definedName name="v_97_SH2">Model!$AT$230</definedName>
    <definedName name="v_97_SK">Model!$BA$230</definedName>
    <definedName name="v_97_SMEOL">Model!$H$230</definedName>
    <definedName name="v_97_SMg">Model!$AZ$230</definedName>
    <definedName name="v_97_SN_B">Model!$AH$230</definedName>
    <definedName name="v_97_SN2">Model!$AG$230</definedName>
    <definedName name="v_97_SNHx">Model!$AD$230</definedName>
    <definedName name="v_97_SNO2">Model!$AE$230</definedName>
    <definedName name="v_97_SNO3">Model!$AF$230</definedName>
    <definedName name="v_97_SO2">Model!$AR$230</definedName>
    <definedName name="v_97_SORPswitch">Model!$CB$230</definedName>
    <definedName name="v_97_SP_B">Model!$AN$230</definedName>
    <definedName name="v_97_SPFOA">Model!$BV$230</definedName>
    <definedName name="v_97_SPFOS">Model!$BX$230</definedName>
    <definedName name="v_97_SPO4">Model!$AL$230</definedName>
    <definedName name="v_97_SU">Model!$L$230</definedName>
    <definedName name="v_97_SVFA">Model!$E$230</definedName>
    <definedName name="v_97_XACP">Model!$BR$230</definedName>
    <definedName name="v_97_XAHO">Model!$U$230</definedName>
    <definedName name="v_97_XALGAE">Model!$AC$230</definedName>
    <definedName name="v_97_XAMETO">Model!$AA$230</definedName>
    <definedName name="v_97_XAMX">Model!$Z$230</definedName>
    <definedName name="v_97_XAOB">Model!$X$230</definedName>
    <definedName name="v_97_XB">Model!$J$230</definedName>
    <definedName name="v_97_XB_e">Model!$K$230</definedName>
    <definedName name="v_97_XBSH">Model!$BS$230</definedName>
    <definedName name="v_97_XCaCO3">Model!$BQ$230</definedName>
    <definedName name="v_97_XCASTO">Model!$V$230</definedName>
    <definedName name="v_97_XE">Model!$R$230</definedName>
    <definedName name="v_97_XE_ana">Model!$S$230</definedName>
    <definedName name="v_97_XHAO_H">Model!$BJ$230</definedName>
    <definedName name="v_97_XHAO_H_P">Model!$BM$230</definedName>
    <definedName name="v_97_XHAO_H_P_old">Model!$BO$230</definedName>
    <definedName name="v_97_XHAO_L">Model!$BK$230</definedName>
    <definedName name="v_97_XHAO_L_P">Model!$BN$230</definedName>
    <definedName name="v_97_XHAO_L_P_old">Model!$BP$230</definedName>
    <definedName name="v_97_XHAO_old">Model!$BL$230</definedName>
    <definedName name="v_97_XHFO_H">Model!$BC$230</definedName>
    <definedName name="v_97_XHFO_H_P">Model!$BF$230</definedName>
    <definedName name="v_97_XHFO_H_P_old">Model!$BH$230</definedName>
    <definedName name="v_97_XHFO_L">Model!$BD$230</definedName>
    <definedName name="v_97_XHFO_L_P">Model!$BG$230</definedName>
    <definedName name="v_97_XHFO_L_P_old">Model!$BI$230</definedName>
    <definedName name="v_97_XHFO_old">Model!$BE$230</definedName>
    <definedName name="v_97_XHMETO">Model!$AB$230</definedName>
    <definedName name="v_97_XINORG">Model!$AV$230</definedName>
    <definedName name="v_97_XMEOLO">Model!$W$230</definedName>
    <definedName name="v_97_XN_B">Model!$AI$230</definedName>
    <definedName name="v_97_XN_Be">Model!$AJ$230</definedName>
    <definedName name="v_97_XN_U">Model!$AK$230</definedName>
    <definedName name="v_97_XNOB">Model!$Y$230</definedName>
    <definedName name="v_97_XOHO">Model!$T$230</definedName>
    <definedName name="v_97_XP_B">Model!$AO$230</definedName>
    <definedName name="v_97_XP_Be">Model!$AP$230</definedName>
    <definedName name="v_97_XP_U">Model!$AQ$230</definedName>
    <definedName name="v_97_XPFOA">Model!$BW$230</definedName>
    <definedName name="v_97_XPFOS">Model!$BY$230</definedName>
    <definedName name="v_97_XPHA_GAO">Model!$Q$230</definedName>
    <definedName name="v_97_XPHA_PAO">Model!$P$230</definedName>
    <definedName name="v_97_XPP">Model!$AM$230</definedName>
    <definedName name="v_97_XSTO">Model!$O$230</definedName>
    <definedName name="v_97_XSTR">Model!$BT$230</definedName>
    <definedName name="v_97_XU">Model!$N$230</definedName>
    <definedName name="v_97_XVivi">Model!$BU$230</definedName>
    <definedName name="v_98_CB">Model!$I$231</definedName>
    <definedName name="v_98_CU">Model!$M$231</definedName>
    <definedName name="v_98_GCH4">Model!$CD$231</definedName>
    <definedName name="v_98_GCH4_atm">Model!$CJ$231</definedName>
    <definedName name="v_98_GCO2">Model!$CC$231</definedName>
    <definedName name="v_98_GCO2_atm">Model!$CI$231</definedName>
    <definedName name="v_98_GH2">Model!$CE$231</definedName>
    <definedName name="v_98_GH2_atm">Model!$CK$231</definedName>
    <definedName name="v_98_GN2">Model!$CH$231</definedName>
    <definedName name="v_98_GN2_atm">Model!$CN$231</definedName>
    <definedName name="v_98_GNH3">Model!$CG$231</definedName>
    <definedName name="v_98_GNH3_atm">Model!$CM$231</definedName>
    <definedName name="v_98_GO2">Model!$CF$231</definedName>
    <definedName name="v_98_GO2_atm">Model!$CL$231</definedName>
    <definedName name="v_98_SALPHA">Model!$CA$231</definedName>
    <definedName name="v_98_SAN">Model!$AX$231</definedName>
    <definedName name="v_98_SB_mono">Model!$F$231</definedName>
    <definedName name="v_98_SB_poly">Model!$G$231</definedName>
    <definedName name="v_98_SCa">Model!$AY$231</definedName>
    <definedName name="v_98_SCAT">Model!$AW$231</definedName>
    <definedName name="v_98_SCH4">Model!$AS$231</definedName>
    <definedName name="v_98_SCO2">Model!$AU$231</definedName>
    <definedName name="v_98_SFe2">Model!$BB$231</definedName>
    <definedName name="v_98_SH">Model!$BZ$231</definedName>
    <definedName name="v_98_SH2">Model!$AT$231</definedName>
    <definedName name="v_98_SK">Model!$BA$231</definedName>
    <definedName name="v_98_SMEOL">Model!$H$231</definedName>
    <definedName name="v_98_SMg">Model!$AZ$231</definedName>
    <definedName name="v_98_SN_B">Model!$AH$231</definedName>
    <definedName name="v_98_SN2">Model!$AG$231</definedName>
    <definedName name="v_98_SNHx">Model!$AD$231</definedName>
    <definedName name="v_98_SNO2">Model!$AE$231</definedName>
    <definedName name="v_98_SNO3">Model!$AF$231</definedName>
    <definedName name="v_98_SO2">Model!$AR$231</definedName>
    <definedName name="v_98_SORPswitch">Model!$CB$231</definedName>
    <definedName name="v_98_SP_B">Model!$AN$231</definedName>
    <definedName name="v_98_SPFOA">Model!$BV$231</definedName>
    <definedName name="v_98_SPFOS">Model!$BX$231</definedName>
    <definedName name="v_98_SPO4">Model!$AL$231</definedName>
    <definedName name="v_98_SU">Model!$L$231</definedName>
    <definedName name="v_98_SVFA">Model!$E$231</definedName>
    <definedName name="v_98_XACP">Model!$BR$231</definedName>
    <definedName name="v_98_XAHO">Model!$U$231</definedName>
    <definedName name="v_98_XALGAE">Model!$AC$231</definedName>
    <definedName name="v_98_XAMETO">Model!$AA$231</definedName>
    <definedName name="v_98_XAMX">Model!$Z$231</definedName>
    <definedName name="v_98_XAOB">Model!$X$231</definedName>
    <definedName name="v_98_XB">Model!$J$231</definedName>
    <definedName name="v_98_XB_e">Model!$K$231</definedName>
    <definedName name="v_98_XBSH">Model!$BS$231</definedName>
    <definedName name="v_98_XCaCO3">Model!$BQ$231</definedName>
    <definedName name="v_98_XCASTO">Model!$V$231</definedName>
    <definedName name="v_98_XE">Model!$R$231</definedName>
    <definedName name="v_98_XE_ana">Model!$S$231</definedName>
    <definedName name="v_98_XHAO_H">Model!$BJ$231</definedName>
    <definedName name="v_98_XHAO_H_P">Model!$BM$231</definedName>
    <definedName name="v_98_XHAO_H_P_old">Model!$BO$231</definedName>
    <definedName name="v_98_XHAO_L">Model!$BK$231</definedName>
    <definedName name="v_98_XHAO_L_P">Model!$BN$231</definedName>
    <definedName name="v_98_XHAO_L_P_old">Model!$BP$231</definedName>
    <definedName name="v_98_XHAO_old">Model!$BL$231</definedName>
    <definedName name="v_98_XHFO_H">Model!$BC$231</definedName>
    <definedName name="v_98_XHFO_H_P">Model!$BF$231</definedName>
    <definedName name="v_98_XHFO_H_P_old">Model!$BH$231</definedName>
    <definedName name="v_98_XHFO_L">Model!$BD$231</definedName>
    <definedName name="v_98_XHFO_L_P">Model!$BG$231</definedName>
    <definedName name="v_98_XHFO_L_P_old">Model!$BI$231</definedName>
    <definedName name="v_98_XHFO_old">Model!$BE$231</definedName>
    <definedName name="v_98_XHMETO">Model!$AB$231</definedName>
    <definedName name="v_98_XINORG">Model!$AV$231</definedName>
    <definedName name="v_98_XMEOLO">Model!$W$231</definedName>
    <definedName name="v_98_XN_B">Model!$AI$231</definedName>
    <definedName name="v_98_XN_Be">Model!$AJ$231</definedName>
    <definedName name="v_98_XN_U">Model!$AK$231</definedName>
    <definedName name="v_98_XNOB">Model!$Y$231</definedName>
    <definedName name="v_98_XOHO">Model!$T$231</definedName>
    <definedName name="v_98_XP_B">Model!$AO$231</definedName>
    <definedName name="v_98_XP_Be">Model!$AP$231</definedName>
    <definedName name="v_98_XP_U">Model!$AQ$231</definedName>
    <definedName name="v_98_XPFOA">Model!$BW$231</definedName>
    <definedName name="v_98_XPFOS">Model!$BY$231</definedName>
    <definedName name="v_98_XPHA_GAO">Model!$Q$231</definedName>
    <definedName name="v_98_XPHA_PAO">Model!$P$231</definedName>
    <definedName name="v_98_XPP">Model!$AM$231</definedName>
    <definedName name="v_98_XSTO">Model!$O$231</definedName>
    <definedName name="v_98_XSTR">Model!$BT$231</definedName>
    <definedName name="v_98_XU">Model!$N$231</definedName>
    <definedName name="v_98_XVivi">Model!$BU$231</definedName>
    <definedName name="v_99_CB">Model!$I$232</definedName>
    <definedName name="v_99_CU">Model!$M$232</definedName>
    <definedName name="v_99_GCH4">Model!$CD$232</definedName>
    <definedName name="v_99_GCH4_atm">Model!$CJ$232</definedName>
    <definedName name="v_99_GCO2">Model!$CC$232</definedName>
    <definedName name="v_99_GCO2_atm">Model!$CI$232</definedName>
    <definedName name="v_99_GH2">Model!$CE$232</definedName>
    <definedName name="v_99_GH2_atm">Model!$CK$232</definedName>
    <definedName name="v_99_GN2">Model!$CH$232</definedName>
    <definedName name="v_99_GN2_atm">Model!$CN$232</definedName>
    <definedName name="v_99_GNH3">Model!$CG$232</definedName>
    <definedName name="v_99_GNH3_atm">Model!$CM$232</definedName>
    <definedName name="v_99_GO2">Model!$CF$232</definedName>
    <definedName name="v_99_GO2_atm">Model!$CL$232</definedName>
    <definedName name="v_99_SALPHA">Model!$CA$232</definedName>
    <definedName name="v_99_SAN">Model!$AX$232</definedName>
    <definedName name="v_99_SB_mono">Model!$F$232</definedName>
    <definedName name="v_99_SB_poly">Model!$G$232</definedName>
    <definedName name="v_99_SCa">Model!$AY$232</definedName>
    <definedName name="v_99_SCAT">Model!$AW$232</definedName>
    <definedName name="v_99_SCH4">Model!$AS$232</definedName>
    <definedName name="v_99_SCO2">Model!$AU$232</definedName>
    <definedName name="v_99_SFe2">Model!$BB$232</definedName>
    <definedName name="v_99_SH">Model!$BZ$232</definedName>
    <definedName name="v_99_SH2">Model!$AT$232</definedName>
    <definedName name="v_99_SK">Model!$BA$232</definedName>
    <definedName name="v_99_SMEOL">Model!$H$232</definedName>
    <definedName name="v_99_SMg">Model!$AZ$232</definedName>
    <definedName name="v_99_SN_B">Model!$AH$232</definedName>
    <definedName name="v_99_SN2">Model!$AG$232</definedName>
    <definedName name="v_99_SNHx">Model!$AD$232</definedName>
    <definedName name="v_99_SNO2">Model!$AE$232</definedName>
    <definedName name="v_99_SNO3">Model!$AF$232</definedName>
    <definedName name="v_99_SO2">Model!$AR$232</definedName>
    <definedName name="v_99_SORPswitch">Model!$CB$232</definedName>
    <definedName name="v_99_SP_B">Model!$AN$232</definedName>
    <definedName name="v_99_SPFOA">Model!$BV$232</definedName>
    <definedName name="v_99_SPFOS">Model!$BX$232</definedName>
    <definedName name="v_99_SPO4">Model!$AL$232</definedName>
    <definedName name="v_99_SU">Model!$L$232</definedName>
    <definedName name="v_99_SVFA">Model!$E$232</definedName>
    <definedName name="v_99_XACP">Model!$BR$232</definedName>
    <definedName name="v_99_XAHO">Model!$U$232</definedName>
    <definedName name="v_99_XALGAE">Model!$AC$232</definedName>
    <definedName name="v_99_XAMETO">Model!$AA$232</definedName>
    <definedName name="v_99_XAMX">Model!$Z$232</definedName>
    <definedName name="v_99_XAOB">Model!$X$232</definedName>
    <definedName name="v_99_XB">Model!$J$232</definedName>
    <definedName name="v_99_XB_e">Model!$K$232</definedName>
    <definedName name="v_99_XBSH">Model!$BS$232</definedName>
    <definedName name="v_99_XCaCO3">Model!$BQ$232</definedName>
    <definedName name="v_99_XCASTO">Model!$V$232</definedName>
    <definedName name="v_99_XE">Model!$R$232</definedName>
    <definedName name="v_99_XE_ana">Model!$S$232</definedName>
    <definedName name="v_99_XHAO_H">Model!$BJ$232</definedName>
    <definedName name="v_99_XHAO_H_P">Model!$BM$232</definedName>
    <definedName name="v_99_XHAO_H_P_old">Model!$BO$232</definedName>
    <definedName name="v_99_XHAO_L">Model!$BK$232</definedName>
    <definedName name="v_99_XHAO_L_P">Model!$BN$232</definedName>
    <definedName name="v_99_XHAO_L_P_old">Model!$BP$232</definedName>
    <definedName name="v_99_XHAO_old">Model!$BL$232</definedName>
    <definedName name="v_99_XHFO_H">Model!$BC$232</definedName>
    <definedName name="v_99_XHFO_H_P">Model!$BF$232</definedName>
    <definedName name="v_99_XHFO_H_P_old">Model!$BH$232</definedName>
    <definedName name="v_99_XHFO_L">Model!$BD$232</definedName>
    <definedName name="v_99_XHFO_L_P">Model!$BG$232</definedName>
    <definedName name="v_99_XHFO_L_P_old">Model!$BI$232</definedName>
    <definedName name="v_99_XHFO_old">Model!$BE$232</definedName>
    <definedName name="v_99_XHMETO">Model!$AB$232</definedName>
    <definedName name="v_99_XINORG">Model!$AV$232</definedName>
    <definedName name="v_99_XMEOLO">Model!$W$232</definedName>
    <definedName name="v_99_XN_B">Model!$AI$232</definedName>
    <definedName name="v_99_XN_Be">Model!$AJ$232</definedName>
    <definedName name="v_99_XN_U">Model!$AK$232</definedName>
    <definedName name="v_99_XNOB">Model!$Y$232</definedName>
    <definedName name="v_99_XOHO">Model!$T$232</definedName>
    <definedName name="v_99_XP_B">Model!$AO$232</definedName>
    <definedName name="v_99_XP_Be">Model!$AP$232</definedName>
    <definedName name="v_99_XP_U">Model!$AQ$232</definedName>
    <definedName name="v_99_XPFOA">Model!$BW$232</definedName>
    <definedName name="v_99_XPFOS">Model!$BY$232</definedName>
    <definedName name="v_99_XPHA_GAO">Model!$Q$232</definedName>
    <definedName name="v_99_XPHA_PAO">Model!$P$232</definedName>
    <definedName name="v_99_XPP">Model!$AM$232</definedName>
    <definedName name="v_99_XSTO">Model!$O$232</definedName>
    <definedName name="v_99_XSTR">Model!$BT$232</definedName>
    <definedName name="v_99_XU">Model!$N$232</definedName>
    <definedName name="v_99_XVivi">Model!$BU$232</definedName>
    <definedName name="V_mol_N">systemcode_constants!$D$62</definedName>
    <definedName name="X_ACP">Components!$E$69</definedName>
    <definedName name="X_AHO">Components!$E$20</definedName>
    <definedName name="X_ALGAE">Components!$E$28</definedName>
    <definedName name="X_AMETO">Components!$E$26</definedName>
    <definedName name="X_AMX">Components!$E$25</definedName>
    <definedName name="X_AOB">Components!$E$23</definedName>
    <definedName name="X_B">Components!$E$9</definedName>
    <definedName name="X_B_e">Components!$E$10</definedName>
    <definedName name="X_BIO">'Calculated variables'!$E$4</definedName>
    <definedName name="X_BOD_5">'Calculated variables'!$E$29</definedName>
    <definedName name="X_BOD_ult">'Calculated variables'!$E$26</definedName>
    <definedName name="X_BSH">Components!$E$70</definedName>
    <definedName name="X_CaCO3">Components!$E$68</definedName>
    <definedName name="X_CASTO">Components!$E$21</definedName>
    <definedName name="X_COD">'Calculated variables'!$E$6</definedName>
    <definedName name="X_CsbCOD">'Calculated variables'!$E$8</definedName>
    <definedName name="X_DM">'Calculated variables'!$E$24</definedName>
    <definedName name="X_E">Components!$E$17</definedName>
    <definedName name="X_E_ana">Components!$E$18</definedName>
    <definedName name="X_GAO">'Calculated variables'!$E$76</definedName>
    <definedName name="X_HAO">'Calculated variables'!$E$47</definedName>
    <definedName name="X_HAO_H">Components!$E$61</definedName>
    <definedName name="X_HAO_H_P">Components!$E$64</definedName>
    <definedName name="X_HAO_H_P_old">Components!$E$66</definedName>
    <definedName name="X_HAO_ISS">'Calculated variables'!$E$15</definedName>
    <definedName name="X_HAO_L">Components!$E$62</definedName>
    <definedName name="X_HAO_L_P">Components!$E$65</definedName>
    <definedName name="X_HAO_L_P_old">Components!$E$67</definedName>
    <definedName name="X_HAO_old">Components!$E$63</definedName>
    <definedName name="X_HAO_P">'Calculated variables'!$E$53</definedName>
    <definedName name="X_HAO_TSS">'Calculated variables'!$E$19</definedName>
    <definedName name="X_HET">'Calculated variables'!$E$5</definedName>
    <definedName name="X_HET_HYD_lim">Parameters!$D$262</definedName>
    <definedName name="X_HFO">'Calculated variables'!$E$46</definedName>
    <definedName name="X_HFO_H">Components!$E$54</definedName>
    <definedName name="X_HFO_H_P">Components!$E$57</definedName>
    <definedName name="X_HFO_H_P_old">Components!$E$59</definedName>
    <definedName name="X_HFO_ISS">'Calculated variables'!$E$14</definedName>
    <definedName name="X_HFO_L">Components!$E$55</definedName>
    <definedName name="X_HFO_L_P">Components!$E$58</definedName>
    <definedName name="X_HFO_L_P_old">Components!$E$60</definedName>
    <definedName name="X_HFO_old">Components!$E$56</definedName>
    <definedName name="X_HFO_P">'Calculated variables'!$E$52</definedName>
    <definedName name="X_HFO_TSS">'Calculated variables'!$E$18</definedName>
    <definedName name="X_HMETO">Components!$E$27</definedName>
    <definedName name="X_INORG">Components!$E$47</definedName>
    <definedName name="X_ISS">'Calculated variables'!$E$22</definedName>
    <definedName name="X_KN">'Calculated variables'!$E$39</definedName>
    <definedName name="X_Me_H2O_TSS">'Calculated variables'!$E$20</definedName>
    <definedName name="X_Me_H2O_VSS">'Calculated variables'!$E$17</definedName>
    <definedName name="X_Me_ISS">'Calculated variables'!$E$16</definedName>
    <definedName name="X_Me_TSS">'Calculated variables'!$E$21</definedName>
    <definedName name="X_MEOLO">Components!$E$22</definedName>
    <definedName name="X_N_B">Components!$E$34</definedName>
    <definedName name="X_N_Be">Components!$E$35</definedName>
    <definedName name="X_N_U">Components!$E$36</definedName>
    <definedName name="X_NOB">Components!$E$24</definedName>
    <definedName name="X_OHO">Components!$E$19</definedName>
    <definedName name="X_P">'Calculated variables'!$E$44</definedName>
    <definedName name="X_P_B">Components!$E$40</definedName>
    <definedName name="X_P_Be">Components!$E$41</definedName>
    <definedName name="X_P_U">Components!$E$42</definedName>
    <definedName name="X_PAO">'Calculated variables'!$E$75</definedName>
    <definedName name="X_PFOA">Components!$E$74</definedName>
    <definedName name="X_PFOS">Components!$E$76</definedName>
    <definedName name="X_PHA_CASTO">'Calculated variables'!$E$71</definedName>
    <definedName name="X_PHA_GAO">Components!$E$16</definedName>
    <definedName name="X_PHA_PAO">Components!$E$15</definedName>
    <definedName name="X_PP">Components!$E$38</definedName>
    <definedName name="X_PP_PAO_min">Parameters!$D$85</definedName>
    <definedName name="X_precip">'Calculated variables'!$E$13</definedName>
    <definedName name="X_STC">'Calculated variables'!$E$72</definedName>
    <definedName name="X_STO">Components!$E$14</definedName>
    <definedName name="X_STR">Components!$E$71</definedName>
    <definedName name="X_TSS">'Calculated variables'!$E$23</definedName>
    <definedName name="X_U">Components!$E$13</definedName>
    <definedName name="X_Vivi">Components!$E$72</definedName>
    <definedName name="X_VS">'Calculated variables'!$E$11</definedName>
    <definedName name="X_VS_ult">'Calculated variables'!$E$12</definedName>
    <definedName name="X_VSS">'Calculated variables'!$E$10</definedName>
    <definedName name="X_VSS_BIO">'Calculated variables'!$E$9</definedName>
    <definedName name="X_VSS_EPS">'Calculated variables'!$E$65</definedName>
    <definedName name="Y_AHO_XSTO_ox">Parameters!$D$343</definedName>
    <definedName name="Y_AMETO">Parameters!$D$361</definedName>
    <definedName name="Y_AMX_NO2">Parameters!$D$359</definedName>
    <definedName name="Y_AMX_NO3">Parameters!$D$360</definedName>
    <definedName name="Y_AOB">Parameters!$D$357</definedName>
    <definedName name="Y_BOD_ult">Parameters!$D$418</definedName>
    <definedName name="Y_CASTO_H2_ana_high">Parameters!$D$349</definedName>
    <definedName name="Y_CASTO_H2_ana_low">Parameters!$D$350</definedName>
    <definedName name="Y_CASTO_SB_ana">Parameters!$D$348</definedName>
    <definedName name="Y_CASTO_STC_anox">'Calculated variables'!$E$81</definedName>
    <definedName name="Y_CASTO_STC_ox">'Calculated variables'!$E$80</definedName>
    <definedName name="y_fdi">'Calculated variables'!$E$549</definedName>
    <definedName name="y_fmono">'Calculated variables'!$E$548</definedName>
    <definedName name="y_ftri">'Calculated variables'!$E$550</definedName>
    <definedName name="Y_GAO_PHA_anox">Parameters!$D$356</definedName>
    <definedName name="Y_GAO_PHA_ox">Parameters!$D$355</definedName>
    <definedName name="Y_HMETO">Parameters!$D$362</definedName>
    <definedName name="Y_MEOLO">Parameters!$D$345</definedName>
    <definedName name="Y_NOB">Parameters!$D$358</definedName>
    <definedName name="Y_OHO_H2_ana_high">Parameters!$D$341</definedName>
    <definedName name="Y_OHO_H2_ana_low">Parameters!$D$342</definedName>
    <definedName name="Y_OHO_SB_poly_ana">Parameters!$D$340</definedName>
    <definedName name="Y_OHO_SB_poly_anox">Parameters!$D$339</definedName>
    <definedName name="Y_OHO_SB_poly_ox">Parameters!$D$338</definedName>
    <definedName name="Y_OHO_SMEOL_ox">Parameters!$D$344</definedName>
    <definedName name="Y_OHO_VFA_anox">Parameters!$D$337</definedName>
    <definedName name="Y_OHO_VFA_ox">Parameters!$D$336</definedName>
    <definedName name="y_ORP_GAO_Half_T">'Calculated variables'!$E$96</definedName>
    <definedName name="Y_PAO_PHA_anox">Parameters!$D$347</definedName>
    <definedName name="Y_PAO_PHA_ox">Parameters!$D$346</definedName>
    <definedName name="Y_PP_CASTO_anox">Parameters!$D$352</definedName>
    <definedName name="Y_PP_CASTO_ox">Parameters!$D$351</definedName>
    <definedName name="α_pred">'Calculated variables'!$E$755</definedName>
    <definedName name="Δ_atm">systemcode_constants!$D$56</definedName>
    <definedName name="ε__">'Calculated variables'!$E$546</definedName>
    <definedName name="η_b_ana">Parameters!$D$240</definedName>
    <definedName name="η_b_anox">Parameters!$D$239</definedName>
    <definedName name="η_bCASTO_ana">Parameters!$D$68</definedName>
    <definedName name="η_bCASTO_anox">Parameters!$D$67</definedName>
    <definedName name="η_bPHA_ana">Parameters!$D$95</definedName>
    <definedName name="η_bPP_aer">Parameters!$D$70</definedName>
    <definedName name="η_bPP_anox">Parameters!$D$71</definedName>
    <definedName name="η_bSTC_anox">Parameters!$D$69</definedName>
    <definedName name="η_CASTO_anox">Parameters!$D$66</definedName>
    <definedName name="η_EPS_ana">Parameters!$D$476</definedName>
    <definedName name="η_EPS_anox">Parameters!$D$475</definedName>
    <definedName name="η_FLOC_Process">'other parameters'!$D$48</definedName>
    <definedName name="η_H2O">systemcode_constants!$D$42</definedName>
    <definedName name="η_HYD_ana">Parameters!$D$252</definedName>
    <definedName name="η_HYD_anox">Parameters!$D$251</definedName>
    <definedName name="η_OHO_anox">Parameters!$D$10</definedName>
    <definedName name="η_OHO_anox_NO2red">Parameters!$D$11</definedName>
    <definedName name="η_STO_AHO_ana">Parameters!$D$40</definedName>
    <definedName name="η_STO_AHO_anox">Parameters!$D$39</definedName>
    <definedName name="θ_µ_AHO">Parameters!$D$296</definedName>
    <definedName name="θ_µ_ALGAE">Parameters!$D$319</definedName>
    <definedName name="θ_µ_AMETO">Parameters!$D$315</definedName>
    <definedName name="θ_µ_AMX">Parameters!$D$313</definedName>
    <definedName name="θ_µ_AOB">Parameters!$D$309</definedName>
    <definedName name="θ_µ_CASTO">Parameters!$D$300</definedName>
    <definedName name="θ_µ_HMETO">Parameters!$D$317</definedName>
    <definedName name="θ_µ_MEOLO">Parameters!$D$298</definedName>
    <definedName name="θ_µ_NOB">Parameters!$D$311</definedName>
    <definedName name="θ_µ_OHO">Parameters!$D$293</definedName>
    <definedName name="θ_µ_PAO_lim">Parameters!$D$301</definedName>
    <definedName name="θ_b_AHO">Parameters!$D$297</definedName>
    <definedName name="θ_b_ALGAE">Parameters!$D$320</definedName>
    <definedName name="θ_b_AMETO">Parameters!$D$316</definedName>
    <definedName name="θ_b_AMX">Parameters!$D$314</definedName>
    <definedName name="θ_b_AOB">Parameters!$D$310</definedName>
    <definedName name="θ_b_CASTO">Parameters!$D$305</definedName>
    <definedName name="θ_b_HMETO">Parameters!$D$318</definedName>
    <definedName name="θ_b_MEOLO">Parameters!$D$299</definedName>
    <definedName name="θ_b_NOB">Parameters!$D$312</definedName>
    <definedName name="θ_b_OHO">Parameters!$D$295</definedName>
    <definedName name="θ_b_PP_ana">Parameters!$D$307</definedName>
    <definedName name="θ_b_STC">Parameters!$D$306</definedName>
    <definedName name="θ_FERM_OHO">Parameters!$D$294</definedName>
    <definedName name="θ_FERM_PAO">Parameters!$D$302</definedName>
    <definedName name="θ_q_AMMON">Parameters!$D$325</definedName>
    <definedName name="θ_q_ASSIM">Parameters!$D$329</definedName>
    <definedName name="θ_q_Fe2_OX">Parameters!$D$330</definedName>
    <definedName name="θ_q_FLOC">Parameters!$D$321</definedName>
    <definedName name="θ_q_FLOC_HAO">Parameters!$D$323</definedName>
    <definedName name="θ_q_FLOC_HFO">Parameters!$D$322</definedName>
    <definedName name="θ_q_GAO_PHA">Parameters!$D$308</definedName>
    <definedName name="θ_q_HFO_RED">Parameters!$D$331</definedName>
    <definedName name="θ_q_HYD">Parameters!$D$324</definedName>
    <definedName name="θ_q_PAO_PHA">Parameters!$D$304</definedName>
    <definedName name="θ_q_PAO_PP">Parameters!$D$303</definedName>
    <definedName name="θ_q_SPB">Parameters!$D$326</definedName>
    <definedName name="θ_q_XE">Parameters!$D$327</definedName>
    <definedName name="θ_q_XU">Parameters!$D$328</definedName>
    <definedName name="κ__">systemcode_constants!$D$63</definedName>
    <definedName name="λ_H">systemcode_constants!$D$356</definedName>
    <definedName name="ρ__">'Calculated variables'!$E$547</definedName>
    <definedName name="ρ_air">systemcode_constants!$D$50</definedName>
    <definedName name="ρ_H2O">systemcode_constants!$D$41</definedName>
    <definedName name="σ_H2O">systemcode_constants!$D$40</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761" i="5" l="1"/>
  <c r="E760" i="5" s="1"/>
  <c r="E755" i="5"/>
  <c r="E751" i="5"/>
  <c r="E750" i="5"/>
  <c r="E749" i="5"/>
  <c r="E748" i="5"/>
  <c r="E744" i="5"/>
  <c r="E743" i="5"/>
  <c r="E742" i="5"/>
  <c r="E741" i="5"/>
  <c r="E740" i="5"/>
  <c r="E739" i="5"/>
  <c r="E738" i="5"/>
  <c r="E737" i="5"/>
  <c r="E736" i="5"/>
  <c r="E735" i="5"/>
  <c r="E600" i="5"/>
  <c r="E541" i="5"/>
  <c r="E540" i="5"/>
  <c r="E539" i="5"/>
  <c r="E538" i="5"/>
  <c r="E537" i="5"/>
  <c r="CO203" i="1" s="1"/>
  <c r="E536" i="5"/>
  <c r="E535" i="5"/>
  <c r="E534" i="5"/>
  <c r="E533" i="5"/>
  <c r="E532" i="5"/>
  <c r="E531" i="5"/>
  <c r="E530" i="5"/>
  <c r="E529" i="5"/>
  <c r="E528" i="5"/>
  <c r="E527" i="5"/>
  <c r="E526" i="5"/>
  <c r="E525" i="5"/>
  <c r="E524" i="5"/>
  <c r="E523" i="5"/>
  <c r="CO183" i="1" s="1"/>
  <c r="E522" i="5"/>
  <c r="E521" i="5"/>
  <c r="E520" i="5"/>
  <c r="E519" i="5"/>
  <c r="E518" i="5"/>
  <c r="E517" i="5"/>
  <c r="E516" i="5"/>
  <c r="E515" i="5"/>
  <c r="E514" i="5"/>
  <c r="E513" i="5"/>
  <c r="E512" i="5"/>
  <c r="E511" i="5"/>
  <c r="E510" i="5"/>
  <c r="E509" i="5"/>
  <c r="E508" i="5"/>
  <c r="E507" i="5"/>
  <c r="E506" i="5"/>
  <c r="E505" i="5"/>
  <c r="E504" i="5"/>
  <c r="E503" i="5"/>
  <c r="E502" i="5"/>
  <c r="E498" i="5"/>
  <c r="E497" i="5"/>
  <c r="E496" i="5"/>
  <c r="E495" i="5"/>
  <c r="E494" i="5"/>
  <c r="E493" i="5"/>
  <c r="CO221" i="1" s="1"/>
  <c r="E492" i="5"/>
  <c r="E491" i="5"/>
  <c r="E490" i="5"/>
  <c r="E489" i="5"/>
  <c r="CO214" i="1" s="1"/>
  <c r="E488" i="5"/>
  <c r="E487" i="5"/>
  <c r="E486" i="5"/>
  <c r="E485" i="5"/>
  <c r="E484" i="5"/>
  <c r="E483" i="5"/>
  <c r="E482" i="5"/>
  <c r="E481" i="5"/>
  <c r="E480" i="5"/>
  <c r="E479" i="5"/>
  <c r="E478" i="5"/>
  <c r="E477" i="5"/>
  <c r="E476" i="5"/>
  <c r="E475" i="5"/>
  <c r="E474" i="5"/>
  <c r="E473" i="5"/>
  <c r="E472" i="5"/>
  <c r="E471" i="5"/>
  <c r="E470" i="5"/>
  <c r="E469" i="5"/>
  <c r="E468" i="5"/>
  <c r="E467" i="5"/>
  <c r="E466" i="5"/>
  <c r="E465" i="5"/>
  <c r="E464" i="5"/>
  <c r="E463" i="5"/>
  <c r="E462" i="5"/>
  <c r="E461" i="5"/>
  <c r="E460" i="5"/>
  <c r="E459" i="5"/>
  <c r="E458" i="5"/>
  <c r="E457" i="5"/>
  <c r="E456" i="5"/>
  <c r="E455" i="5"/>
  <c r="E454" i="5"/>
  <c r="E453" i="5"/>
  <c r="E452" i="5"/>
  <c r="E451" i="5"/>
  <c r="E450" i="5"/>
  <c r="E449" i="5"/>
  <c r="E448" i="5"/>
  <c r="E447" i="5"/>
  <c r="E446" i="5"/>
  <c r="E445" i="5"/>
  <c r="E444" i="5"/>
  <c r="E443" i="5"/>
  <c r="E442" i="5"/>
  <c r="E441" i="5"/>
  <c r="E440" i="5"/>
  <c r="E439" i="5"/>
  <c r="E438" i="5"/>
  <c r="E437" i="5"/>
  <c r="E436" i="5"/>
  <c r="E435" i="5"/>
  <c r="E434" i="5"/>
  <c r="E433" i="5"/>
  <c r="E432" i="5"/>
  <c r="E431" i="5"/>
  <c r="E430" i="5"/>
  <c r="E429" i="5"/>
  <c r="E428" i="5"/>
  <c r="E427" i="5"/>
  <c r="E426" i="5"/>
  <c r="E425" i="5"/>
  <c r="E424" i="5"/>
  <c r="E423" i="5"/>
  <c r="E422" i="5"/>
  <c r="E421" i="5"/>
  <c r="E420" i="5"/>
  <c r="E419" i="5"/>
  <c r="E418" i="5"/>
  <c r="E417" i="5"/>
  <c r="E416" i="5"/>
  <c r="E415" i="5"/>
  <c r="E414" i="5"/>
  <c r="E413" i="5"/>
  <c r="E412" i="5"/>
  <c r="E411" i="5"/>
  <c r="E410" i="5"/>
  <c r="E409" i="5"/>
  <c r="E408" i="5"/>
  <c r="E407" i="5"/>
  <c r="E406" i="5"/>
  <c r="E405" i="5"/>
  <c r="E404" i="5"/>
  <c r="E403" i="5"/>
  <c r="E402" i="5"/>
  <c r="E401" i="5"/>
  <c r="E400" i="5"/>
  <c r="E399" i="5"/>
  <c r="E398" i="5"/>
  <c r="E397" i="5"/>
  <c r="E396" i="5"/>
  <c r="E395" i="5"/>
  <c r="E394" i="5"/>
  <c r="E393" i="5"/>
  <c r="E392" i="5"/>
  <c r="E391" i="5"/>
  <c r="E390" i="5"/>
  <c r="E389" i="5"/>
  <c r="E388" i="5"/>
  <c r="E387" i="5"/>
  <c r="E386" i="5"/>
  <c r="E385" i="5"/>
  <c r="E384" i="5"/>
  <c r="E383" i="5"/>
  <c r="E382" i="5"/>
  <c r="E381" i="5"/>
  <c r="E380" i="5"/>
  <c r="E379" i="5"/>
  <c r="E378" i="5"/>
  <c r="E377" i="5"/>
  <c r="E376" i="5"/>
  <c r="E375" i="5"/>
  <c r="E374" i="5"/>
  <c r="E373" i="5"/>
  <c r="E372" i="5"/>
  <c r="E371" i="5"/>
  <c r="E370" i="5"/>
  <c r="E369" i="5"/>
  <c r="E368" i="5"/>
  <c r="E367" i="5"/>
  <c r="E366" i="5"/>
  <c r="E365" i="5"/>
  <c r="E364" i="5"/>
  <c r="E363" i="5"/>
  <c r="E362" i="5"/>
  <c r="E361" i="5"/>
  <c r="E360" i="5"/>
  <c r="E359" i="5"/>
  <c r="E358" i="5"/>
  <c r="E346" i="5"/>
  <c r="E344" i="5"/>
  <c r="E342" i="5"/>
  <c r="E340" i="5"/>
  <c r="E338" i="5"/>
  <c r="E336" i="5"/>
  <c r="E334" i="5"/>
  <c r="E330" i="5"/>
  <c r="E329" i="5"/>
  <c r="E328" i="5"/>
  <c r="E327" i="5"/>
  <c r="E326" i="5"/>
  <c r="E325" i="5"/>
  <c r="E323" i="5"/>
  <c r="E321" i="5"/>
  <c r="E320" i="5"/>
  <c r="E319" i="5"/>
  <c r="E317" i="5"/>
  <c r="E316" i="5"/>
  <c r="E315" i="5"/>
  <c r="E314" i="5"/>
  <c r="E312" i="5"/>
  <c r="E311" i="5"/>
  <c r="E310" i="5"/>
  <c r="E309" i="5"/>
  <c r="E304" i="5"/>
  <c r="E302" i="5"/>
  <c r="E300" i="5"/>
  <c r="E298" i="5"/>
  <c r="E296" i="5"/>
  <c r="E294" i="5"/>
  <c r="E292" i="5"/>
  <c r="E290" i="5"/>
  <c r="E288" i="5"/>
  <c r="E286" i="5"/>
  <c r="E284" i="5"/>
  <c r="E279" i="5"/>
  <c r="E277" i="5"/>
  <c r="E275" i="5"/>
  <c r="E270" i="5"/>
  <c r="E268" i="5"/>
  <c r="E266" i="5"/>
  <c r="E264" i="5"/>
  <c r="E262" i="5"/>
  <c r="E257" i="5"/>
  <c r="E255" i="5"/>
  <c r="E253" i="5"/>
  <c r="E251" i="5"/>
  <c r="E249" i="5"/>
  <c r="E247" i="5"/>
  <c r="E245" i="5"/>
  <c r="E243" i="5"/>
  <c r="E241" i="5"/>
  <c r="E236" i="5"/>
  <c r="E234" i="5"/>
  <c r="E232" i="5"/>
  <c r="E230" i="5"/>
  <c r="E228" i="5"/>
  <c r="E223" i="5"/>
  <c r="E221" i="5"/>
  <c r="E219" i="5"/>
  <c r="E217" i="5"/>
  <c r="E215" i="5"/>
  <c r="E209" i="5"/>
  <c r="E207" i="5"/>
  <c r="E205" i="5"/>
  <c r="E203" i="5"/>
  <c r="E201" i="5"/>
  <c r="E199" i="5"/>
  <c r="E197" i="5"/>
  <c r="E195" i="5"/>
  <c r="E193" i="5"/>
  <c r="E188" i="5"/>
  <c r="E186" i="5"/>
  <c r="E184" i="5"/>
  <c r="E183" i="5"/>
  <c r="E181" i="5"/>
  <c r="E179" i="5"/>
  <c r="E174" i="5"/>
  <c r="E172" i="5"/>
  <c r="E169" i="5"/>
  <c r="E168" i="5"/>
  <c r="E166" i="5"/>
  <c r="E161" i="5"/>
  <c r="E159" i="5"/>
  <c r="E156" i="5"/>
  <c r="E154" i="5"/>
  <c r="E152" i="5"/>
  <c r="E148" i="5"/>
  <c r="E103" i="5"/>
  <c r="E97" i="5"/>
  <c r="E98" i="5" s="1"/>
  <c r="E78" i="5" s="1"/>
  <c r="E96" i="5"/>
  <c r="E95" i="5"/>
  <c r="E94" i="5"/>
  <c r="E87" i="5"/>
  <c r="E86" i="5"/>
  <c r="E82" i="5"/>
  <c r="E81" i="5"/>
  <c r="E80" i="5"/>
  <c r="E76" i="5"/>
  <c r="E75" i="5"/>
  <c r="E74" i="5"/>
  <c r="E73" i="5"/>
  <c r="E72" i="5"/>
  <c r="E71" i="5"/>
  <c r="E61" i="5"/>
  <c r="E60" i="5"/>
  <c r="E59" i="5"/>
  <c r="E57" i="5"/>
  <c r="E54" i="5"/>
  <c r="E53" i="5"/>
  <c r="E52" i="5"/>
  <c r="E51" i="5"/>
  <c r="E50" i="5"/>
  <c r="E49" i="5"/>
  <c r="E48" i="5"/>
  <c r="E47" i="5"/>
  <c r="E20" i="5" s="1"/>
  <c r="E46" i="5"/>
  <c r="E45" i="5"/>
  <c r="E43" i="5"/>
  <c r="E42" i="5"/>
  <c r="E41" i="5"/>
  <c r="E40" i="5"/>
  <c r="E39" i="5"/>
  <c r="E38" i="5"/>
  <c r="E37" i="5"/>
  <c r="E36" i="5"/>
  <c r="E35" i="5"/>
  <c r="E34" i="5"/>
  <c r="E33" i="5"/>
  <c r="E32" i="5"/>
  <c r="E31" i="5"/>
  <c r="E30" i="5"/>
  <c r="E29" i="5"/>
  <c r="E28" i="5"/>
  <c r="E27" i="5"/>
  <c r="E26" i="5"/>
  <c r="E25" i="5"/>
  <c r="E18" i="5"/>
  <c r="E17" i="5"/>
  <c r="E15" i="5"/>
  <c r="E16" i="5" s="1"/>
  <c r="E22" i="5" s="1"/>
  <c r="E14" i="5"/>
  <c r="E13" i="5"/>
  <c r="E12" i="5"/>
  <c r="E9" i="5"/>
  <c r="E8" i="5"/>
  <c r="E7" i="5"/>
  <c r="E6" i="5"/>
  <c r="E5" i="5"/>
  <c r="E4" i="5"/>
  <c r="AB208" i="1" s="1"/>
  <c r="DA244" i="1"/>
  <c r="CZ244" i="1"/>
  <c r="CY244" i="1"/>
  <c r="CX244" i="1"/>
  <c r="CW244" i="1"/>
  <c r="CV244" i="1"/>
  <c r="CU244" i="1"/>
  <c r="CT244" i="1"/>
  <c r="CS244" i="1"/>
  <c r="CR244" i="1"/>
  <c r="CQ244" i="1"/>
  <c r="DA243" i="1"/>
  <c r="CZ243" i="1"/>
  <c r="CY243" i="1"/>
  <c r="CX243" i="1"/>
  <c r="CW243" i="1"/>
  <c r="CV243" i="1"/>
  <c r="CU243" i="1"/>
  <c r="CT243" i="1"/>
  <c r="CS243" i="1"/>
  <c r="CR243" i="1"/>
  <c r="CQ243" i="1"/>
  <c r="DA242" i="1"/>
  <c r="CZ242" i="1"/>
  <c r="CY242" i="1"/>
  <c r="CX242" i="1"/>
  <c r="CW242" i="1"/>
  <c r="CV242" i="1"/>
  <c r="CU242" i="1"/>
  <c r="CT242" i="1"/>
  <c r="CS242" i="1"/>
  <c r="CR242" i="1"/>
  <c r="CQ242" i="1"/>
  <c r="DA241" i="1"/>
  <c r="CZ241" i="1"/>
  <c r="CY241" i="1"/>
  <c r="CX241" i="1"/>
  <c r="CW241" i="1"/>
  <c r="CV241" i="1"/>
  <c r="CU241" i="1"/>
  <c r="CT241" i="1"/>
  <c r="CS241" i="1"/>
  <c r="CR241" i="1"/>
  <c r="CQ241" i="1"/>
  <c r="DA240" i="1"/>
  <c r="CZ240" i="1"/>
  <c r="CY240" i="1"/>
  <c r="CX240" i="1"/>
  <c r="CW240" i="1"/>
  <c r="CV240" i="1"/>
  <c r="CU240" i="1"/>
  <c r="CT240" i="1"/>
  <c r="CS240" i="1"/>
  <c r="CR240" i="1"/>
  <c r="CQ240" i="1"/>
  <c r="DA239" i="1"/>
  <c r="CZ239" i="1"/>
  <c r="CY239" i="1"/>
  <c r="CX239" i="1"/>
  <c r="CW239" i="1"/>
  <c r="CV239" i="1"/>
  <c r="CU239" i="1"/>
  <c r="CT239" i="1"/>
  <c r="CS239" i="1"/>
  <c r="CR239" i="1"/>
  <c r="CQ239" i="1"/>
  <c r="DA238" i="1"/>
  <c r="CZ238" i="1"/>
  <c r="CY238" i="1"/>
  <c r="CX238" i="1"/>
  <c r="CW238" i="1"/>
  <c r="CV238" i="1"/>
  <c r="CU238" i="1"/>
  <c r="CT238" i="1"/>
  <c r="CS238" i="1"/>
  <c r="CR238" i="1"/>
  <c r="CQ238" i="1"/>
  <c r="DA237" i="1"/>
  <c r="CZ237" i="1"/>
  <c r="CY237" i="1"/>
  <c r="CX237" i="1"/>
  <c r="CW237" i="1"/>
  <c r="CV237" i="1"/>
  <c r="CU237" i="1"/>
  <c r="CT237" i="1"/>
  <c r="CS237" i="1"/>
  <c r="CR237" i="1"/>
  <c r="CQ237" i="1"/>
  <c r="DA236" i="1"/>
  <c r="CZ236" i="1"/>
  <c r="CY236" i="1"/>
  <c r="CX236" i="1"/>
  <c r="CW236" i="1"/>
  <c r="CV236" i="1"/>
  <c r="CU236" i="1"/>
  <c r="CT236" i="1"/>
  <c r="CS236" i="1"/>
  <c r="CR236" i="1"/>
  <c r="CQ236" i="1"/>
  <c r="DA235" i="1"/>
  <c r="CZ235" i="1"/>
  <c r="CY235" i="1"/>
  <c r="CX235" i="1"/>
  <c r="CW235" i="1"/>
  <c r="CV235" i="1"/>
  <c r="CU235" i="1"/>
  <c r="CT235" i="1"/>
  <c r="CS235" i="1"/>
  <c r="CR235" i="1"/>
  <c r="CQ235" i="1"/>
  <c r="DA234" i="1"/>
  <c r="CZ234" i="1"/>
  <c r="CY234" i="1"/>
  <c r="CX234" i="1"/>
  <c r="CW234" i="1"/>
  <c r="CV234" i="1"/>
  <c r="CU234" i="1"/>
  <c r="CT234" i="1"/>
  <c r="CS234" i="1"/>
  <c r="CR234" i="1"/>
  <c r="CQ234" i="1"/>
  <c r="DA233" i="1"/>
  <c r="CZ233" i="1"/>
  <c r="CY233" i="1"/>
  <c r="CX233" i="1"/>
  <c r="CW233" i="1"/>
  <c r="CV233" i="1"/>
  <c r="CU233" i="1"/>
  <c r="CT233" i="1"/>
  <c r="CS233" i="1"/>
  <c r="CR233" i="1"/>
  <c r="CQ233" i="1"/>
  <c r="DA232" i="1"/>
  <c r="CZ232" i="1"/>
  <c r="CY232" i="1"/>
  <c r="CX232" i="1"/>
  <c r="CW232" i="1"/>
  <c r="CV232" i="1"/>
  <c r="CU232" i="1"/>
  <c r="CT232" i="1"/>
  <c r="CS232" i="1"/>
  <c r="CR232" i="1"/>
  <c r="CQ232" i="1"/>
  <c r="DA231" i="1"/>
  <c r="CZ231" i="1"/>
  <c r="CY231" i="1"/>
  <c r="CX231" i="1"/>
  <c r="CW231" i="1"/>
  <c r="CV231" i="1"/>
  <c r="CU231" i="1"/>
  <c r="CT231" i="1"/>
  <c r="CS231" i="1"/>
  <c r="CR231" i="1"/>
  <c r="CQ231" i="1"/>
  <c r="DA230" i="1"/>
  <c r="CZ230" i="1"/>
  <c r="CY230" i="1"/>
  <c r="CX230" i="1"/>
  <c r="CW230" i="1"/>
  <c r="CV230" i="1"/>
  <c r="CU230" i="1"/>
  <c r="CT230" i="1"/>
  <c r="CS230" i="1"/>
  <c r="CR230" i="1"/>
  <c r="CQ230" i="1"/>
  <c r="DA229" i="1"/>
  <c r="CZ229" i="1"/>
  <c r="CY229" i="1"/>
  <c r="CX229" i="1"/>
  <c r="CW229" i="1"/>
  <c r="CV229" i="1"/>
  <c r="CU229" i="1"/>
  <c r="CT229" i="1"/>
  <c r="CS229" i="1"/>
  <c r="CR229" i="1"/>
  <c r="CQ229" i="1"/>
  <c r="DA228" i="1"/>
  <c r="CZ228" i="1"/>
  <c r="CY228" i="1"/>
  <c r="CX228" i="1"/>
  <c r="CW228" i="1"/>
  <c r="CV228" i="1"/>
  <c r="CU228" i="1"/>
  <c r="CT228" i="1"/>
  <c r="CS228" i="1"/>
  <c r="CR228" i="1"/>
  <c r="CQ228" i="1"/>
  <c r="DA227" i="1"/>
  <c r="CZ227" i="1"/>
  <c r="CY227" i="1"/>
  <c r="CX227" i="1"/>
  <c r="CW227" i="1"/>
  <c r="CV227" i="1"/>
  <c r="CU227" i="1"/>
  <c r="CT227" i="1"/>
  <c r="CS227" i="1"/>
  <c r="CR227" i="1"/>
  <c r="CQ227" i="1"/>
  <c r="DA226" i="1"/>
  <c r="CZ226" i="1"/>
  <c r="CY226" i="1"/>
  <c r="CX226" i="1"/>
  <c r="CW226" i="1"/>
  <c r="CV226" i="1"/>
  <c r="CU226" i="1"/>
  <c r="CT226" i="1"/>
  <c r="CS226" i="1"/>
  <c r="CR226" i="1"/>
  <c r="CQ226" i="1"/>
  <c r="DA225" i="1"/>
  <c r="CZ225" i="1"/>
  <c r="CY225" i="1"/>
  <c r="CX225" i="1"/>
  <c r="CW225" i="1"/>
  <c r="CV225" i="1"/>
  <c r="CU225" i="1"/>
  <c r="CT225" i="1"/>
  <c r="CS225" i="1"/>
  <c r="CR225" i="1"/>
  <c r="CQ225" i="1"/>
  <c r="DA224" i="1"/>
  <c r="CZ224" i="1"/>
  <c r="CY224" i="1"/>
  <c r="CX224" i="1"/>
  <c r="CW224" i="1"/>
  <c r="CV224" i="1"/>
  <c r="CU224" i="1"/>
  <c r="CT224" i="1"/>
  <c r="CS224" i="1"/>
  <c r="CR224" i="1"/>
  <c r="CQ224" i="1"/>
  <c r="DA223" i="1"/>
  <c r="CZ223" i="1"/>
  <c r="CY223" i="1"/>
  <c r="CX223" i="1"/>
  <c r="CW223" i="1"/>
  <c r="CV223" i="1"/>
  <c r="CU223" i="1"/>
  <c r="CT223" i="1"/>
  <c r="CS223" i="1"/>
  <c r="CR223" i="1"/>
  <c r="CQ223" i="1"/>
  <c r="DA222" i="1"/>
  <c r="CZ222" i="1"/>
  <c r="CY222" i="1"/>
  <c r="CX222" i="1"/>
  <c r="CW222" i="1"/>
  <c r="CV222" i="1"/>
  <c r="CU222" i="1"/>
  <c r="CT222" i="1"/>
  <c r="CS222" i="1"/>
  <c r="CR222" i="1"/>
  <c r="CQ222" i="1"/>
  <c r="DA221" i="1"/>
  <c r="CZ221" i="1"/>
  <c r="CY221" i="1"/>
  <c r="CX221" i="1"/>
  <c r="CW221" i="1"/>
  <c r="CV221" i="1"/>
  <c r="CU221" i="1"/>
  <c r="CT221" i="1"/>
  <c r="CS221" i="1"/>
  <c r="CR221" i="1"/>
  <c r="CQ221" i="1"/>
  <c r="DA220" i="1"/>
  <c r="CZ220" i="1"/>
  <c r="CY220" i="1"/>
  <c r="CX220" i="1"/>
  <c r="CW220" i="1"/>
  <c r="CV220" i="1"/>
  <c r="CU220" i="1"/>
  <c r="CT220" i="1"/>
  <c r="CS220" i="1"/>
  <c r="CR220" i="1"/>
  <c r="CQ220" i="1"/>
  <c r="DA219" i="1"/>
  <c r="CZ219" i="1"/>
  <c r="CY219" i="1"/>
  <c r="CX219" i="1"/>
  <c r="CW219" i="1"/>
  <c r="CV219" i="1"/>
  <c r="CU219" i="1"/>
  <c r="CT219" i="1"/>
  <c r="CS219" i="1"/>
  <c r="CR219" i="1"/>
  <c r="CQ219" i="1"/>
  <c r="DA218" i="1"/>
  <c r="CZ218" i="1"/>
  <c r="CY218" i="1"/>
  <c r="CX218" i="1"/>
  <c r="CW218" i="1"/>
  <c r="CV218" i="1"/>
  <c r="CU218" i="1"/>
  <c r="CT218" i="1"/>
  <c r="CS218" i="1"/>
  <c r="CR218" i="1"/>
  <c r="CQ218" i="1"/>
  <c r="DA217" i="1"/>
  <c r="CZ217" i="1"/>
  <c r="CY217" i="1"/>
  <c r="CX217" i="1"/>
  <c r="CW217" i="1"/>
  <c r="CV217" i="1"/>
  <c r="CU217" i="1"/>
  <c r="CT217" i="1"/>
  <c r="CS217" i="1"/>
  <c r="CR217" i="1"/>
  <c r="CQ217" i="1"/>
  <c r="DA215" i="1"/>
  <c r="CZ215" i="1"/>
  <c r="CY215" i="1"/>
  <c r="CX215" i="1"/>
  <c r="CW215" i="1"/>
  <c r="CV215" i="1"/>
  <c r="CU215" i="1"/>
  <c r="CT215" i="1"/>
  <c r="CS215" i="1"/>
  <c r="CR215" i="1"/>
  <c r="CQ215" i="1"/>
  <c r="DA214" i="1"/>
  <c r="CZ214" i="1"/>
  <c r="CY214" i="1"/>
  <c r="CX214" i="1"/>
  <c r="CW214" i="1"/>
  <c r="CV214" i="1"/>
  <c r="CU214" i="1"/>
  <c r="CT214" i="1"/>
  <c r="CS214" i="1"/>
  <c r="CR214" i="1"/>
  <c r="CQ214" i="1"/>
  <c r="DA213" i="1"/>
  <c r="CZ213" i="1"/>
  <c r="CY213" i="1"/>
  <c r="CX213" i="1"/>
  <c r="CW213" i="1"/>
  <c r="CV213" i="1"/>
  <c r="CU213" i="1"/>
  <c r="CT213" i="1"/>
  <c r="CS213" i="1"/>
  <c r="CR213" i="1"/>
  <c r="CQ213" i="1"/>
  <c r="DA212" i="1"/>
  <c r="CZ212" i="1"/>
  <c r="CY212" i="1"/>
  <c r="CX212" i="1"/>
  <c r="CW212" i="1"/>
  <c r="CV212" i="1"/>
  <c r="CU212" i="1"/>
  <c r="CT212" i="1"/>
  <c r="CS212" i="1"/>
  <c r="CR212" i="1"/>
  <c r="CQ212" i="1"/>
  <c r="DA211" i="1"/>
  <c r="CZ211" i="1"/>
  <c r="CY211" i="1"/>
  <c r="CX211" i="1"/>
  <c r="CW211" i="1"/>
  <c r="CV211" i="1"/>
  <c r="CU211" i="1"/>
  <c r="CT211" i="1"/>
  <c r="CS211" i="1"/>
  <c r="CR211" i="1"/>
  <c r="CQ211" i="1"/>
  <c r="DA210" i="1"/>
  <c r="CZ210" i="1"/>
  <c r="CY210" i="1"/>
  <c r="CX210" i="1"/>
  <c r="CW210" i="1"/>
  <c r="CV210" i="1"/>
  <c r="CU210" i="1"/>
  <c r="CT210" i="1"/>
  <c r="CS210" i="1"/>
  <c r="CR210" i="1"/>
  <c r="CQ210" i="1"/>
  <c r="DA209" i="1"/>
  <c r="CZ209" i="1"/>
  <c r="CY209" i="1"/>
  <c r="CX209" i="1"/>
  <c r="CW209" i="1"/>
  <c r="CV209" i="1"/>
  <c r="CU209" i="1"/>
  <c r="CT209" i="1"/>
  <c r="CS209" i="1"/>
  <c r="CR209" i="1"/>
  <c r="CQ209" i="1"/>
  <c r="DA206" i="1"/>
  <c r="CZ206" i="1"/>
  <c r="CY206" i="1"/>
  <c r="CX206" i="1"/>
  <c r="CW206" i="1"/>
  <c r="CV206" i="1"/>
  <c r="CU206" i="1"/>
  <c r="CT206" i="1"/>
  <c r="CS206" i="1"/>
  <c r="CR206" i="1"/>
  <c r="CQ206" i="1"/>
  <c r="DA205" i="1"/>
  <c r="CZ205" i="1"/>
  <c r="CY205" i="1"/>
  <c r="CX205" i="1"/>
  <c r="CW205" i="1"/>
  <c r="CV205" i="1"/>
  <c r="CU205" i="1"/>
  <c r="CT205" i="1"/>
  <c r="CS205" i="1"/>
  <c r="CR205" i="1"/>
  <c r="CQ205" i="1"/>
  <c r="DA204" i="1"/>
  <c r="CZ204" i="1"/>
  <c r="CY204" i="1"/>
  <c r="CX204" i="1"/>
  <c r="CW204" i="1"/>
  <c r="CV204" i="1"/>
  <c r="CU204" i="1"/>
  <c r="CT204" i="1"/>
  <c r="CS204" i="1"/>
  <c r="CR204" i="1"/>
  <c r="CQ204" i="1"/>
  <c r="DA203" i="1"/>
  <c r="CZ203" i="1"/>
  <c r="CY203" i="1"/>
  <c r="CX203" i="1"/>
  <c r="CW203" i="1"/>
  <c r="CV203" i="1"/>
  <c r="CU203" i="1"/>
  <c r="CT203" i="1"/>
  <c r="CS203" i="1"/>
  <c r="CR203" i="1"/>
  <c r="CQ203" i="1"/>
  <c r="DA202" i="1"/>
  <c r="CZ202" i="1"/>
  <c r="CY202" i="1"/>
  <c r="CX202" i="1"/>
  <c r="CW202" i="1"/>
  <c r="CV202" i="1"/>
  <c r="CU202" i="1"/>
  <c r="CT202" i="1"/>
  <c r="CS202" i="1"/>
  <c r="CR202" i="1"/>
  <c r="CQ202" i="1"/>
  <c r="DA201" i="1"/>
  <c r="CZ201" i="1"/>
  <c r="CY201" i="1"/>
  <c r="CX201" i="1"/>
  <c r="CW201" i="1"/>
  <c r="CV201" i="1"/>
  <c r="CU201" i="1"/>
  <c r="CT201" i="1"/>
  <c r="CS201" i="1"/>
  <c r="CR201" i="1"/>
  <c r="CQ201" i="1"/>
  <c r="DA200" i="1"/>
  <c r="CZ200" i="1"/>
  <c r="CY200" i="1"/>
  <c r="CX200" i="1"/>
  <c r="CW200" i="1"/>
  <c r="CV200" i="1"/>
  <c r="CU200" i="1"/>
  <c r="CT200" i="1"/>
  <c r="CS200" i="1"/>
  <c r="CR200" i="1"/>
  <c r="CQ200" i="1"/>
  <c r="DA199" i="1"/>
  <c r="CZ199" i="1"/>
  <c r="CY199" i="1"/>
  <c r="CX199" i="1"/>
  <c r="CW199" i="1"/>
  <c r="CV199" i="1"/>
  <c r="CU199" i="1"/>
  <c r="CT199" i="1"/>
  <c r="CS199" i="1"/>
  <c r="CR199" i="1"/>
  <c r="CQ199" i="1"/>
  <c r="DA198" i="1"/>
  <c r="CZ198" i="1"/>
  <c r="CY198" i="1"/>
  <c r="CX198" i="1"/>
  <c r="CW198" i="1"/>
  <c r="CV198" i="1"/>
  <c r="CU198" i="1"/>
  <c r="CT198" i="1"/>
  <c r="CS198" i="1"/>
  <c r="CR198" i="1"/>
  <c r="CQ198" i="1"/>
  <c r="DA197" i="1"/>
  <c r="CZ197" i="1"/>
  <c r="CY197" i="1"/>
  <c r="CX197" i="1"/>
  <c r="CW197" i="1"/>
  <c r="CV197" i="1"/>
  <c r="CU197" i="1"/>
  <c r="CT197" i="1"/>
  <c r="CS197" i="1"/>
  <c r="CR197" i="1"/>
  <c r="CQ197" i="1"/>
  <c r="DA196" i="1"/>
  <c r="CZ196" i="1"/>
  <c r="CY196" i="1"/>
  <c r="CX196" i="1"/>
  <c r="CW196" i="1"/>
  <c r="CV196" i="1"/>
  <c r="CU196" i="1"/>
  <c r="CT196" i="1"/>
  <c r="CS196" i="1"/>
  <c r="CR196" i="1"/>
  <c r="CQ196" i="1"/>
  <c r="DA195" i="1"/>
  <c r="CZ195" i="1"/>
  <c r="CY195" i="1"/>
  <c r="CX195" i="1"/>
  <c r="CW195" i="1"/>
  <c r="CV195" i="1"/>
  <c r="CU195" i="1"/>
  <c r="CT195" i="1"/>
  <c r="CS195" i="1"/>
  <c r="CR195" i="1"/>
  <c r="CQ195" i="1"/>
  <c r="DA194" i="1"/>
  <c r="CZ194" i="1"/>
  <c r="CY194" i="1"/>
  <c r="CX194" i="1"/>
  <c r="CW194" i="1"/>
  <c r="CV194" i="1"/>
  <c r="CU194" i="1"/>
  <c r="CT194" i="1"/>
  <c r="CS194" i="1"/>
  <c r="CR194" i="1"/>
  <c r="CQ194" i="1"/>
  <c r="DA193" i="1"/>
  <c r="CZ193" i="1"/>
  <c r="CY193" i="1"/>
  <c r="CX193" i="1"/>
  <c r="CW193" i="1"/>
  <c r="CV193" i="1"/>
  <c r="CU193" i="1"/>
  <c r="CT193" i="1"/>
  <c r="CS193" i="1"/>
  <c r="CR193" i="1"/>
  <c r="CQ193" i="1"/>
  <c r="DA192" i="1"/>
  <c r="CZ192" i="1"/>
  <c r="CY192" i="1"/>
  <c r="CX192" i="1"/>
  <c r="CW192" i="1"/>
  <c r="CV192" i="1"/>
  <c r="CU192" i="1"/>
  <c r="CT192" i="1"/>
  <c r="CS192" i="1"/>
  <c r="CR192" i="1"/>
  <c r="CQ192" i="1"/>
  <c r="DA191" i="1"/>
  <c r="CZ191" i="1"/>
  <c r="CY191" i="1"/>
  <c r="CX191" i="1"/>
  <c r="CW191" i="1"/>
  <c r="CV191" i="1"/>
  <c r="CU191" i="1"/>
  <c r="CT191" i="1"/>
  <c r="CS191" i="1"/>
  <c r="CR191" i="1"/>
  <c r="CQ191" i="1"/>
  <c r="CY190" i="1"/>
  <c r="CQ190" i="1"/>
  <c r="DA189" i="1"/>
  <c r="CZ189" i="1"/>
  <c r="CY189" i="1"/>
  <c r="CX189" i="1"/>
  <c r="CW189" i="1"/>
  <c r="CV189" i="1"/>
  <c r="CU189" i="1"/>
  <c r="CT189" i="1"/>
  <c r="CS189" i="1"/>
  <c r="CR189" i="1"/>
  <c r="CQ189" i="1"/>
  <c r="DA188" i="1"/>
  <c r="CZ188" i="1"/>
  <c r="CY188" i="1"/>
  <c r="CX188" i="1"/>
  <c r="CW188" i="1"/>
  <c r="CV188" i="1"/>
  <c r="CU188" i="1"/>
  <c r="CT188" i="1"/>
  <c r="CS188" i="1"/>
  <c r="CR188" i="1"/>
  <c r="CQ188" i="1"/>
  <c r="DA187" i="1"/>
  <c r="CZ187" i="1"/>
  <c r="CY187" i="1"/>
  <c r="CX187" i="1"/>
  <c r="CW187" i="1"/>
  <c r="CV187" i="1"/>
  <c r="CU187" i="1"/>
  <c r="CT187" i="1"/>
  <c r="CS187" i="1"/>
  <c r="CR187" i="1"/>
  <c r="CQ187" i="1"/>
  <c r="DA186" i="1"/>
  <c r="CZ186" i="1"/>
  <c r="CY186" i="1"/>
  <c r="CX186" i="1"/>
  <c r="CW186" i="1"/>
  <c r="CV186" i="1"/>
  <c r="CU186" i="1"/>
  <c r="CT186" i="1"/>
  <c r="CS186" i="1"/>
  <c r="CR186" i="1"/>
  <c r="CQ186" i="1"/>
  <c r="DA185" i="1"/>
  <c r="CZ185" i="1"/>
  <c r="CY185" i="1"/>
  <c r="CX185" i="1"/>
  <c r="CW185" i="1"/>
  <c r="CV185" i="1"/>
  <c r="CU185" i="1"/>
  <c r="CT185" i="1"/>
  <c r="CS185" i="1"/>
  <c r="CR185" i="1"/>
  <c r="CQ185" i="1"/>
  <c r="DA184" i="1"/>
  <c r="CZ184" i="1"/>
  <c r="CY184" i="1"/>
  <c r="CX184" i="1"/>
  <c r="CW184" i="1"/>
  <c r="CV184" i="1"/>
  <c r="CU184" i="1"/>
  <c r="CT184" i="1"/>
  <c r="CS184" i="1"/>
  <c r="CR184" i="1"/>
  <c r="CQ184" i="1"/>
  <c r="DA183" i="1"/>
  <c r="CZ183" i="1"/>
  <c r="CY183" i="1"/>
  <c r="CX183" i="1"/>
  <c r="CW183" i="1"/>
  <c r="CV183" i="1"/>
  <c r="CU183" i="1"/>
  <c r="CT183" i="1"/>
  <c r="CS183" i="1"/>
  <c r="CR183" i="1"/>
  <c r="CQ183" i="1"/>
  <c r="DA182" i="1"/>
  <c r="CZ182" i="1"/>
  <c r="CY182" i="1"/>
  <c r="CX182" i="1"/>
  <c r="CW182" i="1"/>
  <c r="CV182" i="1"/>
  <c r="CU182" i="1"/>
  <c r="CT182" i="1"/>
  <c r="CS182" i="1"/>
  <c r="CR182" i="1"/>
  <c r="CQ182" i="1"/>
  <c r="DA181" i="1"/>
  <c r="CZ181" i="1"/>
  <c r="CY181" i="1"/>
  <c r="CX181" i="1"/>
  <c r="CW181" i="1"/>
  <c r="CV181" i="1"/>
  <c r="CU181" i="1"/>
  <c r="CT181" i="1"/>
  <c r="CS181" i="1"/>
  <c r="CR181" i="1"/>
  <c r="CQ181" i="1"/>
  <c r="DA180" i="1"/>
  <c r="CZ180" i="1"/>
  <c r="CY180" i="1"/>
  <c r="CX180" i="1"/>
  <c r="CW180" i="1"/>
  <c r="CV180" i="1"/>
  <c r="CU180" i="1"/>
  <c r="CT180" i="1"/>
  <c r="CS180" i="1"/>
  <c r="CR180" i="1"/>
  <c r="CQ180" i="1"/>
  <c r="DA179" i="1"/>
  <c r="CZ179" i="1"/>
  <c r="CY179" i="1"/>
  <c r="CX179" i="1"/>
  <c r="CW179" i="1"/>
  <c r="CV179" i="1"/>
  <c r="CU179" i="1"/>
  <c r="CT179" i="1"/>
  <c r="CS179" i="1"/>
  <c r="CR179" i="1"/>
  <c r="CQ179" i="1"/>
  <c r="DA178" i="1"/>
  <c r="CZ178" i="1"/>
  <c r="CY178" i="1"/>
  <c r="CX178" i="1"/>
  <c r="CW178" i="1"/>
  <c r="CV178" i="1"/>
  <c r="CU178" i="1"/>
  <c r="CT178" i="1"/>
  <c r="CS178" i="1"/>
  <c r="CR178" i="1"/>
  <c r="CQ178" i="1"/>
  <c r="DA177" i="1"/>
  <c r="CZ177" i="1"/>
  <c r="CY177" i="1"/>
  <c r="CX177" i="1"/>
  <c r="CW177" i="1"/>
  <c r="CV177" i="1"/>
  <c r="CU177" i="1"/>
  <c r="CT177" i="1"/>
  <c r="CS177" i="1"/>
  <c r="CR177" i="1"/>
  <c r="CQ177" i="1"/>
  <c r="DA176" i="1"/>
  <c r="CZ176" i="1"/>
  <c r="CY176" i="1"/>
  <c r="CX176" i="1"/>
  <c r="CW176" i="1"/>
  <c r="CV176" i="1"/>
  <c r="CU176" i="1"/>
  <c r="CT176" i="1"/>
  <c r="CS176" i="1"/>
  <c r="CR176" i="1"/>
  <c r="CQ176" i="1"/>
  <c r="DA175" i="1"/>
  <c r="CZ175" i="1"/>
  <c r="CY175" i="1"/>
  <c r="CX175" i="1"/>
  <c r="CW175" i="1"/>
  <c r="CV175" i="1"/>
  <c r="CU175" i="1"/>
  <c r="CT175" i="1"/>
  <c r="CS175" i="1"/>
  <c r="CR175" i="1"/>
  <c r="CQ175" i="1"/>
  <c r="DA174" i="1"/>
  <c r="CZ174" i="1"/>
  <c r="CY174" i="1"/>
  <c r="CX174" i="1"/>
  <c r="CW174" i="1"/>
  <c r="CV174" i="1"/>
  <c r="CU174" i="1"/>
  <c r="CT174" i="1"/>
  <c r="CS174" i="1"/>
  <c r="CR174" i="1"/>
  <c r="CQ174" i="1"/>
  <c r="DA171" i="1"/>
  <c r="CZ171" i="1"/>
  <c r="CY171" i="1"/>
  <c r="CX171" i="1"/>
  <c r="CW171" i="1"/>
  <c r="CV171" i="1"/>
  <c r="CU171" i="1"/>
  <c r="CT171" i="1"/>
  <c r="CS171" i="1"/>
  <c r="CR171" i="1"/>
  <c r="CQ171" i="1"/>
  <c r="DA170" i="1"/>
  <c r="CZ170" i="1"/>
  <c r="CY170" i="1"/>
  <c r="CX170" i="1"/>
  <c r="CW170" i="1"/>
  <c r="CV170" i="1"/>
  <c r="CU170" i="1"/>
  <c r="CT170" i="1"/>
  <c r="CS170" i="1"/>
  <c r="CR170" i="1"/>
  <c r="CQ170" i="1"/>
  <c r="DA169" i="1"/>
  <c r="CZ169" i="1"/>
  <c r="CY169" i="1"/>
  <c r="CX169" i="1"/>
  <c r="CW169" i="1"/>
  <c r="CV169" i="1"/>
  <c r="CU169" i="1"/>
  <c r="CT169" i="1"/>
  <c r="CS169" i="1"/>
  <c r="CR169" i="1"/>
  <c r="CQ169" i="1"/>
  <c r="DA168" i="1"/>
  <c r="CZ168" i="1"/>
  <c r="CY168" i="1"/>
  <c r="CX168" i="1"/>
  <c r="CW168" i="1"/>
  <c r="CV168" i="1"/>
  <c r="CU168" i="1"/>
  <c r="CT168" i="1"/>
  <c r="CS168" i="1"/>
  <c r="CR168" i="1"/>
  <c r="CQ168" i="1"/>
  <c r="DA164" i="1"/>
  <c r="CZ164" i="1"/>
  <c r="CY164" i="1"/>
  <c r="CX164" i="1"/>
  <c r="CW164" i="1"/>
  <c r="CV164" i="1"/>
  <c r="CU164" i="1"/>
  <c r="CT164" i="1"/>
  <c r="CS164" i="1"/>
  <c r="CR164" i="1"/>
  <c r="CQ164" i="1"/>
  <c r="DA163" i="1"/>
  <c r="CZ163" i="1"/>
  <c r="CY163" i="1"/>
  <c r="CX163" i="1"/>
  <c r="CW163" i="1"/>
  <c r="CV163" i="1"/>
  <c r="CU163" i="1"/>
  <c r="CT163" i="1"/>
  <c r="CS163" i="1"/>
  <c r="CR163" i="1"/>
  <c r="CQ163" i="1"/>
  <c r="DA162" i="1"/>
  <c r="CZ162" i="1"/>
  <c r="CY162" i="1"/>
  <c r="CX162" i="1"/>
  <c r="CW162" i="1"/>
  <c r="CV162" i="1"/>
  <c r="CU162" i="1"/>
  <c r="CT162" i="1"/>
  <c r="CS162" i="1"/>
  <c r="CR162" i="1"/>
  <c r="CQ162" i="1"/>
  <c r="DA161" i="1"/>
  <c r="CZ161" i="1"/>
  <c r="CY161" i="1"/>
  <c r="CX161" i="1"/>
  <c r="CW161" i="1"/>
  <c r="CV161" i="1"/>
  <c r="CU161" i="1"/>
  <c r="CT161" i="1"/>
  <c r="CS161" i="1"/>
  <c r="CR161" i="1"/>
  <c r="CQ161" i="1"/>
  <c r="DA160" i="1"/>
  <c r="CZ160" i="1"/>
  <c r="CY160" i="1"/>
  <c r="CX160" i="1"/>
  <c r="CW160" i="1"/>
  <c r="CV160" i="1"/>
  <c r="CU160" i="1"/>
  <c r="CT160" i="1"/>
  <c r="CS160" i="1"/>
  <c r="CR160" i="1"/>
  <c r="CQ160" i="1"/>
  <c r="DA159" i="1"/>
  <c r="CZ159" i="1"/>
  <c r="CY159" i="1"/>
  <c r="CX159" i="1"/>
  <c r="CW159" i="1"/>
  <c r="CV159" i="1"/>
  <c r="CU159" i="1"/>
  <c r="CT159" i="1"/>
  <c r="CS159" i="1"/>
  <c r="CR159" i="1"/>
  <c r="CQ159" i="1"/>
  <c r="DA158" i="1"/>
  <c r="CZ158" i="1"/>
  <c r="CY158" i="1"/>
  <c r="CX158" i="1"/>
  <c r="CW158" i="1"/>
  <c r="CV158" i="1"/>
  <c r="CU158" i="1"/>
  <c r="CT158" i="1"/>
  <c r="CS158" i="1"/>
  <c r="CR158" i="1"/>
  <c r="CQ158" i="1"/>
  <c r="DA157" i="1"/>
  <c r="CZ157" i="1"/>
  <c r="CY157" i="1"/>
  <c r="CX157" i="1"/>
  <c r="CW157" i="1"/>
  <c r="CV157" i="1"/>
  <c r="CU157" i="1"/>
  <c r="CT157" i="1"/>
  <c r="CS157" i="1"/>
  <c r="CR157" i="1"/>
  <c r="CQ157" i="1"/>
  <c r="DA153" i="1"/>
  <c r="CZ153" i="1"/>
  <c r="CY153" i="1"/>
  <c r="CX153" i="1"/>
  <c r="CW153" i="1"/>
  <c r="CV153" i="1"/>
  <c r="CU153" i="1"/>
  <c r="CT153" i="1"/>
  <c r="CS153" i="1"/>
  <c r="CR153" i="1"/>
  <c r="CQ153" i="1"/>
  <c r="DA152" i="1"/>
  <c r="CZ152" i="1"/>
  <c r="CY152" i="1"/>
  <c r="CX152" i="1"/>
  <c r="CW152" i="1"/>
  <c r="CV152" i="1"/>
  <c r="CU152" i="1"/>
  <c r="CT152" i="1"/>
  <c r="CS152" i="1"/>
  <c r="CR152" i="1"/>
  <c r="CQ152" i="1"/>
  <c r="DA151" i="1"/>
  <c r="CZ151" i="1"/>
  <c r="CY151" i="1"/>
  <c r="CX151" i="1"/>
  <c r="CW151" i="1"/>
  <c r="CV151" i="1"/>
  <c r="CU151" i="1"/>
  <c r="CT151" i="1"/>
  <c r="CS151" i="1"/>
  <c r="CR151" i="1"/>
  <c r="CQ151" i="1"/>
  <c r="DA150" i="1"/>
  <c r="CZ150" i="1"/>
  <c r="CY150" i="1"/>
  <c r="CX150" i="1"/>
  <c r="CW150" i="1"/>
  <c r="CV150" i="1"/>
  <c r="CU150" i="1"/>
  <c r="CT150" i="1"/>
  <c r="CS150" i="1"/>
  <c r="CR150" i="1"/>
  <c r="CQ150" i="1"/>
  <c r="DA149" i="1"/>
  <c r="CZ149" i="1"/>
  <c r="CY149" i="1"/>
  <c r="CX149" i="1"/>
  <c r="CW149" i="1"/>
  <c r="CV149" i="1"/>
  <c r="CU149" i="1"/>
  <c r="CT149" i="1"/>
  <c r="CS149" i="1"/>
  <c r="CR149" i="1"/>
  <c r="CQ149" i="1"/>
  <c r="DA148" i="1"/>
  <c r="CZ148" i="1"/>
  <c r="CY148" i="1"/>
  <c r="CX148" i="1"/>
  <c r="CW148" i="1"/>
  <c r="CV148" i="1"/>
  <c r="CU148" i="1"/>
  <c r="CT148" i="1"/>
  <c r="CS148" i="1"/>
  <c r="CR148" i="1"/>
  <c r="CQ148" i="1"/>
  <c r="DA147" i="1"/>
  <c r="CZ147" i="1"/>
  <c r="CY147" i="1"/>
  <c r="CX147" i="1"/>
  <c r="CW147" i="1"/>
  <c r="CV147" i="1"/>
  <c r="CU147" i="1"/>
  <c r="CT147" i="1"/>
  <c r="CS147" i="1"/>
  <c r="CR147" i="1"/>
  <c r="CQ147" i="1"/>
  <c r="DA146" i="1"/>
  <c r="CZ146" i="1"/>
  <c r="CY146" i="1"/>
  <c r="CX146" i="1"/>
  <c r="CW146" i="1"/>
  <c r="CV146" i="1"/>
  <c r="CU146" i="1"/>
  <c r="CT146" i="1"/>
  <c r="CS146" i="1"/>
  <c r="CR146" i="1"/>
  <c r="CQ146" i="1"/>
  <c r="DA145" i="1"/>
  <c r="CZ145" i="1"/>
  <c r="CY145" i="1"/>
  <c r="CX145" i="1"/>
  <c r="CW145" i="1"/>
  <c r="CV145" i="1"/>
  <c r="CU145" i="1"/>
  <c r="CT145" i="1"/>
  <c r="CS145" i="1"/>
  <c r="CR145" i="1"/>
  <c r="CQ145" i="1"/>
  <c r="DA144" i="1"/>
  <c r="CZ144" i="1"/>
  <c r="CY144" i="1"/>
  <c r="CX144" i="1"/>
  <c r="CW144" i="1"/>
  <c r="CV144" i="1"/>
  <c r="CU144" i="1"/>
  <c r="CT144" i="1"/>
  <c r="CS144" i="1"/>
  <c r="CR144" i="1"/>
  <c r="CQ144" i="1"/>
  <c r="DA143" i="1"/>
  <c r="CZ143" i="1"/>
  <c r="CY143" i="1"/>
  <c r="CX143" i="1"/>
  <c r="CW143" i="1"/>
  <c r="CV143" i="1"/>
  <c r="CU143" i="1"/>
  <c r="CT143" i="1"/>
  <c r="CS143" i="1"/>
  <c r="CR143" i="1"/>
  <c r="CQ143" i="1"/>
  <c r="DA142" i="1"/>
  <c r="CZ142" i="1"/>
  <c r="CY142" i="1"/>
  <c r="CX142" i="1"/>
  <c r="CW142" i="1"/>
  <c r="CV142" i="1"/>
  <c r="CU142" i="1"/>
  <c r="CT142" i="1"/>
  <c r="CS142" i="1"/>
  <c r="CR142" i="1"/>
  <c r="CQ142" i="1"/>
  <c r="DA141" i="1"/>
  <c r="CZ141" i="1"/>
  <c r="CY141" i="1"/>
  <c r="CX141" i="1"/>
  <c r="CW141" i="1"/>
  <c r="CV141" i="1"/>
  <c r="CU141" i="1"/>
  <c r="CT141" i="1"/>
  <c r="CS141" i="1"/>
  <c r="CR141" i="1"/>
  <c r="CQ141" i="1"/>
  <c r="DA140" i="1"/>
  <c r="CZ140" i="1"/>
  <c r="CY140" i="1"/>
  <c r="CX140" i="1"/>
  <c r="CW140" i="1"/>
  <c r="CV140" i="1"/>
  <c r="CU140" i="1"/>
  <c r="CT140" i="1"/>
  <c r="CS140" i="1"/>
  <c r="CR140" i="1"/>
  <c r="CQ140" i="1"/>
  <c r="DA139" i="1"/>
  <c r="CZ139" i="1"/>
  <c r="CY139" i="1"/>
  <c r="CX139" i="1"/>
  <c r="CW139" i="1"/>
  <c r="CV139" i="1"/>
  <c r="CU139" i="1"/>
  <c r="CT139" i="1"/>
  <c r="CS139" i="1"/>
  <c r="CR139" i="1"/>
  <c r="CQ139" i="1"/>
  <c r="DA138" i="1"/>
  <c r="CZ138" i="1"/>
  <c r="CY138" i="1"/>
  <c r="CX138" i="1"/>
  <c r="CW138" i="1"/>
  <c r="CV138" i="1"/>
  <c r="CU138" i="1"/>
  <c r="CT138" i="1"/>
  <c r="CS138" i="1"/>
  <c r="CR138" i="1"/>
  <c r="CQ138" i="1"/>
  <c r="DA137" i="1"/>
  <c r="CZ137" i="1"/>
  <c r="CY137" i="1"/>
  <c r="CX137" i="1"/>
  <c r="CW137" i="1"/>
  <c r="CV137" i="1"/>
  <c r="CU137" i="1"/>
  <c r="CT137" i="1"/>
  <c r="CS137" i="1"/>
  <c r="CR137" i="1"/>
  <c r="CQ137" i="1"/>
  <c r="DA136" i="1"/>
  <c r="CZ136" i="1"/>
  <c r="CY136" i="1"/>
  <c r="CX136" i="1"/>
  <c r="CW136" i="1"/>
  <c r="CV136" i="1"/>
  <c r="CU136" i="1"/>
  <c r="CT136" i="1"/>
  <c r="CS136" i="1"/>
  <c r="CR136" i="1"/>
  <c r="CQ136" i="1"/>
  <c r="DA135" i="1"/>
  <c r="CZ135" i="1"/>
  <c r="CY135" i="1"/>
  <c r="CX135" i="1"/>
  <c r="CW135" i="1"/>
  <c r="CV135" i="1"/>
  <c r="CU135" i="1"/>
  <c r="CT135" i="1"/>
  <c r="CS135" i="1"/>
  <c r="CR135" i="1"/>
  <c r="CQ135" i="1"/>
  <c r="DA134" i="1"/>
  <c r="CZ134" i="1"/>
  <c r="CY134" i="1"/>
  <c r="CX134" i="1"/>
  <c r="CW134" i="1"/>
  <c r="CV134" i="1"/>
  <c r="CU134" i="1"/>
  <c r="CT134" i="1"/>
  <c r="CS134" i="1"/>
  <c r="CR134" i="1"/>
  <c r="CQ134" i="1"/>
  <c r="BU257" i="1"/>
  <c r="AV256" i="1"/>
  <c r="BT255" i="1"/>
  <c r="AV255" i="1"/>
  <c r="AM255" i="1"/>
  <c r="BS254" i="1"/>
  <c r="BR254" i="1"/>
  <c r="BQ254" i="1"/>
  <c r="AV254" i="1"/>
  <c r="AM254" i="1"/>
  <c r="AM253" i="1"/>
  <c r="AV252" i="1"/>
  <c r="BU251" i="1"/>
  <c r="BT251" i="1"/>
  <c r="BS251" i="1"/>
  <c r="BR251" i="1"/>
  <c r="BP251" i="1"/>
  <c r="BO251" i="1"/>
  <c r="BN251" i="1"/>
  <c r="BM251" i="1"/>
  <c r="BI251" i="1"/>
  <c r="BH251" i="1"/>
  <c r="BG251" i="1"/>
  <c r="BF251" i="1"/>
  <c r="AC251" i="1"/>
  <c r="AB251" i="1"/>
  <c r="AA251" i="1"/>
  <c r="Z251" i="1"/>
  <c r="Y251" i="1"/>
  <c r="X251" i="1"/>
  <c r="W251" i="1"/>
  <c r="V251" i="1"/>
  <c r="U251" i="1"/>
  <c r="T251" i="1"/>
  <c r="S251" i="1"/>
  <c r="R251" i="1"/>
  <c r="M251" i="1"/>
  <c r="L251" i="1"/>
  <c r="I251" i="1"/>
  <c r="CN250" i="1"/>
  <c r="CM250" i="1"/>
  <c r="BT250" i="1"/>
  <c r="AC250" i="1"/>
  <c r="AB250" i="1"/>
  <c r="AA250" i="1"/>
  <c r="Z250" i="1"/>
  <c r="Y250" i="1"/>
  <c r="X250" i="1"/>
  <c r="W250" i="1"/>
  <c r="V250" i="1"/>
  <c r="U250" i="1"/>
  <c r="T250" i="1"/>
  <c r="S250" i="1"/>
  <c r="R250" i="1"/>
  <c r="M250" i="1"/>
  <c r="L250" i="1"/>
  <c r="I250" i="1"/>
  <c r="CJ249" i="1"/>
  <c r="CI249" i="1"/>
  <c r="CD249" i="1"/>
  <c r="BQ249" i="1"/>
  <c r="AS249" i="1"/>
  <c r="AC249" i="1"/>
  <c r="AB249" i="1"/>
  <c r="AA249" i="1"/>
  <c r="Z249" i="1"/>
  <c r="Y249" i="1"/>
  <c r="X249" i="1"/>
  <c r="W249" i="1"/>
  <c r="V249" i="1"/>
  <c r="U249" i="1"/>
  <c r="T249" i="1"/>
  <c r="S249" i="1"/>
  <c r="R249" i="1"/>
  <c r="Q249" i="1"/>
  <c r="P249" i="1"/>
  <c r="O249" i="1"/>
  <c r="N249" i="1"/>
  <c r="M249" i="1"/>
  <c r="L249" i="1"/>
  <c r="K249" i="1"/>
  <c r="J249" i="1"/>
  <c r="I249" i="1"/>
  <c r="H249" i="1"/>
  <c r="G249" i="1"/>
  <c r="F249" i="1"/>
  <c r="E249" i="1"/>
  <c r="CN248" i="1"/>
  <c r="CL248" i="1"/>
  <c r="CK248" i="1"/>
  <c r="CJ248" i="1"/>
  <c r="CH248" i="1"/>
  <c r="BU248" i="1"/>
  <c r="BB248" i="1"/>
  <c r="AG248" i="1"/>
  <c r="AF248" i="1"/>
  <c r="AE248" i="1"/>
  <c r="CO244" i="1"/>
  <c r="CO242" i="1"/>
  <c r="CO241" i="1"/>
  <c r="CO240" i="1"/>
  <c r="CO238" i="1"/>
  <c r="CO236" i="1"/>
  <c r="CO235" i="1"/>
  <c r="CO234" i="1"/>
  <c r="CO223" i="1"/>
  <c r="CO222" i="1"/>
  <c r="CO219" i="1"/>
  <c r="CO218" i="1"/>
  <c r="CO212" i="1"/>
  <c r="CO211" i="1"/>
  <c r="CO210" i="1"/>
  <c r="CO209" i="1"/>
  <c r="CO202" i="1"/>
  <c r="CO201" i="1"/>
  <c r="CO197" i="1"/>
  <c r="CO196" i="1"/>
  <c r="CO193" i="1"/>
  <c r="CO192" i="1"/>
  <c r="CN244" i="1"/>
  <c r="CN243" i="1"/>
  <c r="CN242" i="1"/>
  <c r="CN241" i="1"/>
  <c r="CN240" i="1"/>
  <c r="CN239" i="1"/>
  <c r="CN238" i="1"/>
  <c r="CN237" i="1"/>
  <c r="CN236" i="1"/>
  <c r="CN235" i="1"/>
  <c r="CN234" i="1"/>
  <c r="CN233" i="1"/>
  <c r="CN232" i="1"/>
  <c r="CN231" i="1"/>
  <c r="CN230" i="1"/>
  <c r="CN229" i="1"/>
  <c r="CN228" i="1"/>
  <c r="CN227" i="1"/>
  <c r="CN226" i="1"/>
  <c r="CN225" i="1"/>
  <c r="CN224" i="1"/>
  <c r="CN223" i="1"/>
  <c r="CN222" i="1"/>
  <c r="CN221" i="1"/>
  <c r="CN220" i="1"/>
  <c r="CN219" i="1"/>
  <c r="CN218" i="1"/>
  <c r="CN217" i="1"/>
  <c r="CN216" i="1"/>
  <c r="CN215" i="1"/>
  <c r="CN214" i="1"/>
  <c r="CN213" i="1"/>
  <c r="CN212" i="1"/>
  <c r="CN211" i="1"/>
  <c r="CN210" i="1"/>
  <c r="CN209" i="1"/>
  <c r="CN208" i="1"/>
  <c r="CN207" i="1"/>
  <c r="CN206" i="1"/>
  <c r="CN205" i="1"/>
  <c r="CN204" i="1"/>
  <c r="CN203" i="1"/>
  <c r="CN202" i="1"/>
  <c r="CN201" i="1"/>
  <c r="CN200" i="1"/>
  <c r="CN199" i="1"/>
  <c r="CN198" i="1"/>
  <c r="CN197" i="1"/>
  <c r="CN196" i="1"/>
  <c r="CN195" i="1"/>
  <c r="CN194" i="1"/>
  <c r="CN193" i="1"/>
  <c r="CN192" i="1"/>
  <c r="CN191" i="1"/>
  <c r="CN190" i="1"/>
  <c r="CN189" i="1"/>
  <c r="CN188" i="1"/>
  <c r="CN187" i="1"/>
  <c r="CN186" i="1"/>
  <c r="CN185" i="1"/>
  <c r="CN184" i="1"/>
  <c r="CN183" i="1"/>
  <c r="CN182" i="1"/>
  <c r="CN181" i="1"/>
  <c r="CN180" i="1"/>
  <c r="CN179" i="1"/>
  <c r="CN178" i="1"/>
  <c r="CN177" i="1"/>
  <c r="CN176" i="1"/>
  <c r="CN175" i="1"/>
  <c r="CN174" i="1"/>
  <c r="CN173" i="1"/>
  <c r="CN172" i="1"/>
  <c r="CN171" i="1"/>
  <c r="CN170" i="1"/>
  <c r="CN169" i="1"/>
  <c r="CN168" i="1"/>
  <c r="CN167" i="1"/>
  <c r="CN166" i="1"/>
  <c r="CN165" i="1"/>
  <c r="CN164" i="1"/>
  <c r="CN163" i="1"/>
  <c r="CN162" i="1"/>
  <c r="CN161" i="1"/>
  <c r="CN160" i="1"/>
  <c r="CN159" i="1"/>
  <c r="CN158" i="1"/>
  <c r="CN157" i="1"/>
  <c r="CN156" i="1"/>
  <c r="CN155" i="1"/>
  <c r="CN154" i="1"/>
  <c r="CN153" i="1"/>
  <c r="CN152" i="1"/>
  <c r="CN151" i="1"/>
  <c r="CN150" i="1"/>
  <c r="CN149" i="1"/>
  <c r="CN148" i="1"/>
  <c r="CN147" i="1"/>
  <c r="CN146" i="1"/>
  <c r="CN145" i="1"/>
  <c r="CN144" i="1"/>
  <c r="CN143" i="1"/>
  <c r="CN142" i="1"/>
  <c r="CN141" i="1"/>
  <c r="CN140" i="1"/>
  <c r="CN139" i="1"/>
  <c r="CN138" i="1"/>
  <c r="CN137" i="1"/>
  <c r="CN136" i="1"/>
  <c r="CN135" i="1"/>
  <c r="CN134" i="1"/>
  <c r="CM244" i="1"/>
  <c r="CM243" i="1"/>
  <c r="CM242" i="1"/>
  <c r="CM241" i="1"/>
  <c r="CM240" i="1"/>
  <c r="CM239" i="1"/>
  <c r="CM238" i="1"/>
  <c r="CM237" i="1"/>
  <c r="CM236" i="1"/>
  <c r="CM235" i="1"/>
  <c r="CM234" i="1"/>
  <c r="CM233" i="1"/>
  <c r="CM232" i="1"/>
  <c r="CM231" i="1"/>
  <c r="CM230" i="1"/>
  <c r="CM229" i="1"/>
  <c r="CM228" i="1"/>
  <c r="CM227" i="1"/>
  <c r="CM226" i="1"/>
  <c r="CM225" i="1"/>
  <c r="CM224" i="1"/>
  <c r="CM223" i="1"/>
  <c r="CM222" i="1"/>
  <c r="CM221" i="1"/>
  <c r="CM220" i="1"/>
  <c r="CM219" i="1"/>
  <c r="CM218" i="1"/>
  <c r="CM217" i="1"/>
  <c r="CM216" i="1"/>
  <c r="CM215" i="1"/>
  <c r="CM214" i="1"/>
  <c r="CM213" i="1"/>
  <c r="CM212" i="1"/>
  <c r="CM211" i="1"/>
  <c r="CM210" i="1"/>
  <c r="CM209" i="1"/>
  <c r="CM208" i="1"/>
  <c r="CM207" i="1"/>
  <c r="CM206" i="1"/>
  <c r="CM205" i="1"/>
  <c r="CM204" i="1"/>
  <c r="CM203" i="1"/>
  <c r="CM202" i="1"/>
  <c r="CM201" i="1"/>
  <c r="CM200" i="1"/>
  <c r="CM199" i="1"/>
  <c r="CM198" i="1"/>
  <c r="CM197" i="1"/>
  <c r="CM196" i="1"/>
  <c r="CM195" i="1"/>
  <c r="CM194" i="1"/>
  <c r="CM193" i="1"/>
  <c r="CM192" i="1"/>
  <c r="CM191" i="1"/>
  <c r="CM190" i="1"/>
  <c r="CM189" i="1"/>
  <c r="CM188" i="1"/>
  <c r="CM187" i="1"/>
  <c r="CM186" i="1"/>
  <c r="CM185" i="1"/>
  <c r="CM184" i="1"/>
  <c r="CM183" i="1"/>
  <c r="CM182" i="1"/>
  <c r="CM181" i="1"/>
  <c r="CM180" i="1"/>
  <c r="CM179" i="1"/>
  <c r="CM178" i="1"/>
  <c r="CM177" i="1"/>
  <c r="CM176" i="1"/>
  <c r="CM175" i="1"/>
  <c r="CM174" i="1"/>
  <c r="CM173" i="1"/>
  <c r="CM172" i="1"/>
  <c r="CM171" i="1"/>
  <c r="CM170" i="1"/>
  <c r="CM169" i="1"/>
  <c r="CM168" i="1"/>
  <c r="CM167" i="1"/>
  <c r="CM166" i="1"/>
  <c r="CM165" i="1"/>
  <c r="CM164" i="1"/>
  <c r="CM163" i="1"/>
  <c r="CM162" i="1"/>
  <c r="CM161" i="1"/>
  <c r="CM160" i="1"/>
  <c r="CM159" i="1"/>
  <c r="CM158" i="1"/>
  <c r="CM157" i="1"/>
  <c r="CM156" i="1"/>
  <c r="CM155" i="1"/>
  <c r="CM154" i="1"/>
  <c r="CM153" i="1"/>
  <c r="CM152" i="1"/>
  <c r="CM151" i="1"/>
  <c r="CM150" i="1"/>
  <c r="CM149" i="1"/>
  <c r="CM148" i="1"/>
  <c r="CM147" i="1"/>
  <c r="CM146" i="1"/>
  <c r="CM145" i="1"/>
  <c r="CM144" i="1"/>
  <c r="CM143" i="1"/>
  <c r="CM142" i="1"/>
  <c r="CM141" i="1"/>
  <c r="CM140" i="1"/>
  <c r="CM139" i="1"/>
  <c r="CM138" i="1"/>
  <c r="CM137" i="1"/>
  <c r="CM136" i="1"/>
  <c r="CM135" i="1"/>
  <c r="CM134" i="1"/>
  <c r="CL244" i="1"/>
  <c r="CL243" i="1"/>
  <c r="CL242" i="1"/>
  <c r="CL241" i="1"/>
  <c r="CL240" i="1"/>
  <c r="CL239" i="1"/>
  <c r="CL238" i="1"/>
  <c r="CL237" i="1"/>
  <c r="CL236" i="1"/>
  <c r="CL235" i="1"/>
  <c r="CL234" i="1"/>
  <c r="CL233" i="1"/>
  <c r="CL232" i="1"/>
  <c r="CL231" i="1"/>
  <c r="CL230" i="1"/>
  <c r="CL229" i="1"/>
  <c r="CL228" i="1"/>
  <c r="CL227" i="1"/>
  <c r="CL226" i="1"/>
  <c r="CL225" i="1"/>
  <c r="CL224" i="1"/>
  <c r="CL223" i="1"/>
  <c r="CL222" i="1"/>
  <c r="CL221" i="1"/>
  <c r="CL220" i="1"/>
  <c r="CL219" i="1"/>
  <c r="CL218" i="1"/>
  <c r="CL217" i="1"/>
  <c r="CL216" i="1"/>
  <c r="CL215" i="1"/>
  <c r="CL214" i="1"/>
  <c r="CL213" i="1"/>
  <c r="CL212" i="1"/>
  <c r="CL211" i="1"/>
  <c r="CL210" i="1"/>
  <c r="CL209" i="1"/>
  <c r="CL208" i="1"/>
  <c r="CL207" i="1"/>
  <c r="CL206" i="1"/>
  <c r="CL205" i="1"/>
  <c r="CL204" i="1"/>
  <c r="CL203" i="1"/>
  <c r="CL202" i="1"/>
  <c r="CL201" i="1"/>
  <c r="CL200" i="1"/>
  <c r="CL199" i="1"/>
  <c r="CL198" i="1"/>
  <c r="CL197" i="1"/>
  <c r="CL196" i="1"/>
  <c r="CL195" i="1"/>
  <c r="CL194" i="1"/>
  <c r="CL193" i="1"/>
  <c r="CL192" i="1"/>
  <c r="CL191" i="1"/>
  <c r="CL190" i="1"/>
  <c r="CL189" i="1"/>
  <c r="CL188" i="1"/>
  <c r="CL187" i="1"/>
  <c r="CL186" i="1"/>
  <c r="CL185" i="1"/>
  <c r="CL184" i="1"/>
  <c r="CL183" i="1"/>
  <c r="CL182" i="1"/>
  <c r="CL181" i="1"/>
  <c r="CL180" i="1"/>
  <c r="CL179" i="1"/>
  <c r="CL178" i="1"/>
  <c r="CL177" i="1"/>
  <c r="CL176" i="1"/>
  <c r="CL175" i="1"/>
  <c r="CL174" i="1"/>
  <c r="CL173" i="1"/>
  <c r="CL172" i="1"/>
  <c r="CL171" i="1"/>
  <c r="CL170" i="1"/>
  <c r="CL169" i="1"/>
  <c r="CL168" i="1"/>
  <c r="CL167" i="1"/>
  <c r="CL166" i="1"/>
  <c r="CL165" i="1"/>
  <c r="CL164" i="1"/>
  <c r="CL163" i="1"/>
  <c r="CL162" i="1"/>
  <c r="CL161" i="1"/>
  <c r="CL160" i="1"/>
  <c r="CL159" i="1"/>
  <c r="CL158" i="1"/>
  <c r="CL157" i="1"/>
  <c r="CL156" i="1"/>
  <c r="CL155" i="1"/>
  <c r="CL154" i="1"/>
  <c r="CL153" i="1"/>
  <c r="CL152" i="1"/>
  <c r="CL151" i="1"/>
  <c r="CL150" i="1"/>
  <c r="CL149" i="1"/>
  <c r="CL148" i="1"/>
  <c r="CL147" i="1"/>
  <c r="CL146" i="1"/>
  <c r="CL145" i="1"/>
  <c r="CL144" i="1"/>
  <c r="CL143" i="1"/>
  <c r="CL142" i="1"/>
  <c r="CL141" i="1"/>
  <c r="CL140" i="1"/>
  <c r="CL139" i="1"/>
  <c r="CL138" i="1"/>
  <c r="CL137" i="1"/>
  <c r="CL136" i="1"/>
  <c r="CL135" i="1"/>
  <c r="CL134" i="1"/>
  <c r="CK244" i="1"/>
  <c r="CK243" i="1"/>
  <c r="CK242" i="1"/>
  <c r="CK241" i="1"/>
  <c r="CK240" i="1"/>
  <c r="CK239" i="1"/>
  <c r="CK238" i="1"/>
  <c r="CK237" i="1"/>
  <c r="CK236" i="1"/>
  <c r="CK235" i="1"/>
  <c r="CK234" i="1"/>
  <c r="CK233" i="1"/>
  <c r="CK232" i="1"/>
  <c r="CK231" i="1"/>
  <c r="CK230" i="1"/>
  <c r="CK229" i="1"/>
  <c r="CK228" i="1"/>
  <c r="CK227" i="1"/>
  <c r="CK226" i="1"/>
  <c r="CK225" i="1"/>
  <c r="CK224" i="1"/>
  <c r="CK223" i="1"/>
  <c r="CK222" i="1"/>
  <c r="CK221" i="1"/>
  <c r="CK220" i="1"/>
  <c r="CK219" i="1"/>
  <c r="CK218" i="1"/>
  <c r="CK217" i="1"/>
  <c r="CK216" i="1"/>
  <c r="CK215" i="1"/>
  <c r="CK214" i="1"/>
  <c r="CK213" i="1"/>
  <c r="CK212" i="1"/>
  <c r="CK211" i="1"/>
  <c r="CK210" i="1"/>
  <c r="CK209" i="1"/>
  <c r="CK208" i="1"/>
  <c r="CK207" i="1"/>
  <c r="CK206" i="1"/>
  <c r="CK205" i="1"/>
  <c r="CK204" i="1"/>
  <c r="CK203" i="1"/>
  <c r="CK202" i="1"/>
  <c r="CK201" i="1"/>
  <c r="CK200" i="1"/>
  <c r="CK199" i="1"/>
  <c r="CK198" i="1"/>
  <c r="CK197" i="1"/>
  <c r="CK196" i="1"/>
  <c r="CK195" i="1"/>
  <c r="CK194" i="1"/>
  <c r="CK193" i="1"/>
  <c r="CK192" i="1"/>
  <c r="CK191" i="1"/>
  <c r="CK190" i="1"/>
  <c r="CK189" i="1"/>
  <c r="CK188" i="1"/>
  <c r="CK187" i="1"/>
  <c r="CK186" i="1"/>
  <c r="CK185" i="1"/>
  <c r="CK184" i="1"/>
  <c r="CK183" i="1"/>
  <c r="CK182" i="1"/>
  <c r="CK181" i="1"/>
  <c r="CK180" i="1"/>
  <c r="CK179" i="1"/>
  <c r="CK178" i="1"/>
  <c r="CK177" i="1"/>
  <c r="CK176" i="1"/>
  <c r="CK175" i="1"/>
  <c r="CK174" i="1"/>
  <c r="CK173" i="1"/>
  <c r="CK172" i="1"/>
  <c r="CK171" i="1"/>
  <c r="CK170" i="1"/>
  <c r="CK169" i="1"/>
  <c r="CK168" i="1"/>
  <c r="CK167" i="1"/>
  <c r="CK166" i="1"/>
  <c r="CK165" i="1"/>
  <c r="CK164" i="1"/>
  <c r="CK163" i="1"/>
  <c r="CK162" i="1"/>
  <c r="CK161" i="1"/>
  <c r="CK160" i="1"/>
  <c r="CK159" i="1"/>
  <c r="CK158" i="1"/>
  <c r="CK157" i="1"/>
  <c r="CK156" i="1"/>
  <c r="CK155" i="1"/>
  <c r="CK154" i="1"/>
  <c r="CK153" i="1"/>
  <c r="CK152" i="1"/>
  <c r="CK151" i="1"/>
  <c r="CK150" i="1"/>
  <c r="CK149" i="1"/>
  <c r="CK148" i="1"/>
  <c r="CK147" i="1"/>
  <c r="CK146" i="1"/>
  <c r="CK145" i="1"/>
  <c r="CK144" i="1"/>
  <c r="CK143" i="1"/>
  <c r="CK142" i="1"/>
  <c r="CK141" i="1"/>
  <c r="CK140" i="1"/>
  <c r="CK139" i="1"/>
  <c r="CK138" i="1"/>
  <c r="CK137" i="1"/>
  <c r="CK136" i="1"/>
  <c r="CK135" i="1"/>
  <c r="CK134" i="1"/>
  <c r="CJ244" i="1"/>
  <c r="CJ243" i="1"/>
  <c r="CJ242" i="1"/>
  <c r="CJ241" i="1"/>
  <c r="CJ240" i="1"/>
  <c r="CJ239" i="1"/>
  <c r="CJ238" i="1"/>
  <c r="CJ237" i="1"/>
  <c r="CJ236" i="1"/>
  <c r="CJ235" i="1"/>
  <c r="CJ234" i="1"/>
  <c r="CJ233" i="1"/>
  <c r="CJ232" i="1"/>
  <c r="CJ231" i="1"/>
  <c r="CJ230" i="1"/>
  <c r="CJ229" i="1"/>
  <c r="CJ228" i="1"/>
  <c r="CJ227" i="1"/>
  <c r="CJ226" i="1"/>
  <c r="CJ225" i="1"/>
  <c r="CJ224" i="1"/>
  <c r="CJ223" i="1"/>
  <c r="CJ222" i="1"/>
  <c r="CJ221" i="1"/>
  <c r="CJ220" i="1"/>
  <c r="CJ219" i="1"/>
  <c r="CJ218" i="1"/>
  <c r="CJ217" i="1"/>
  <c r="CJ216" i="1"/>
  <c r="CJ215" i="1"/>
  <c r="CJ214" i="1"/>
  <c r="CJ213" i="1"/>
  <c r="CJ212" i="1"/>
  <c r="CJ211" i="1"/>
  <c r="CJ210" i="1"/>
  <c r="CJ209" i="1"/>
  <c r="CJ208" i="1"/>
  <c r="CJ207" i="1"/>
  <c r="CJ206" i="1"/>
  <c r="CJ205" i="1"/>
  <c r="CJ204" i="1"/>
  <c r="CJ203" i="1"/>
  <c r="CJ202" i="1"/>
  <c r="CJ201" i="1"/>
  <c r="CJ200" i="1"/>
  <c r="CJ199" i="1"/>
  <c r="CJ198" i="1"/>
  <c r="CJ197" i="1"/>
  <c r="CJ196" i="1"/>
  <c r="CJ195" i="1"/>
  <c r="CJ194" i="1"/>
  <c r="CJ193" i="1"/>
  <c r="CJ192" i="1"/>
  <c r="CJ191" i="1"/>
  <c r="CJ190" i="1"/>
  <c r="CJ189" i="1"/>
  <c r="CJ188" i="1"/>
  <c r="CJ187" i="1"/>
  <c r="CJ186" i="1"/>
  <c r="CJ185" i="1"/>
  <c r="CJ184" i="1"/>
  <c r="CJ183" i="1"/>
  <c r="CJ182" i="1"/>
  <c r="CJ181" i="1"/>
  <c r="CJ180" i="1"/>
  <c r="CJ179" i="1"/>
  <c r="CJ178" i="1"/>
  <c r="CJ177" i="1"/>
  <c r="CJ176" i="1"/>
  <c r="CJ175" i="1"/>
  <c r="CJ174" i="1"/>
  <c r="CJ173" i="1"/>
  <c r="CJ172" i="1"/>
  <c r="CJ171" i="1"/>
  <c r="CJ170" i="1"/>
  <c r="CJ169" i="1"/>
  <c r="CJ168" i="1"/>
  <c r="CJ167" i="1"/>
  <c r="CJ166" i="1"/>
  <c r="CJ165" i="1"/>
  <c r="CJ164" i="1"/>
  <c r="CJ163" i="1"/>
  <c r="CJ162" i="1"/>
  <c r="CJ161" i="1"/>
  <c r="CJ160" i="1"/>
  <c r="CJ159" i="1"/>
  <c r="CJ158" i="1"/>
  <c r="CJ157" i="1"/>
  <c r="CJ156" i="1"/>
  <c r="CJ155" i="1"/>
  <c r="CJ154" i="1"/>
  <c r="CJ153" i="1"/>
  <c r="CJ152" i="1"/>
  <c r="CJ151" i="1"/>
  <c r="CJ150" i="1"/>
  <c r="CJ149" i="1"/>
  <c r="CJ148" i="1"/>
  <c r="CJ147" i="1"/>
  <c r="CJ146" i="1"/>
  <c r="CJ145" i="1"/>
  <c r="CJ144" i="1"/>
  <c r="CJ143" i="1"/>
  <c r="CJ142" i="1"/>
  <c r="CJ141" i="1"/>
  <c r="CJ140" i="1"/>
  <c r="CJ139" i="1"/>
  <c r="CJ138" i="1"/>
  <c r="CJ137" i="1"/>
  <c r="CJ136" i="1"/>
  <c r="CJ135" i="1"/>
  <c r="CJ134" i="1"/>
  <c r="CI244" i="1"/>
  <c r="CI243" i="1"/>
  <c r="CI242" i="1"/>
  <c r="CI241" i="1"/>
  <c r="CI240" i="1"/>
  <c r="CI239" i="1"/>
  <c r="CI238" i="1"/>
  <c r="CI237" i="1"/>
  <c r="CI236" i="1"/>
  <c r="CI235" i="1"/>
  <c r="CI234" i="1"/>
  <c r="CI233" i="1"/>
  <c r="CI232" i="1"/>
  <c r="CI231" i="1"/>
  <c r="CI230" i="1"/>
  <c r="CI229" i="1"/>
  <c r="CI228" i="1"/>
  <c r="CI227" i="1"/>
  <c r="CI226" i="1"/>
  <c r="CI225" i="1"/>
  <c r="CI224" i="1"/>
  <c r="CI223" i="1"/>
  <c r="CI222" i="1"/>
  <c r="CI221" i="1"/>
  <c r="CI220" i="1"/>
  <c r="CI219" i="1"/>
  <c r="CI218" i="1"/>
  <c r="CI217" i="1"/>
  <c r="CI216" i="1"/>
  <c r="CI215" i="1"/>
  <c r="CI214" i="1"/>
  <c r="CI213" i="1"/>
  <c r="CI212" i="1"/>
  <c r="CI211" i="1"/>
  <c r="CI210" i="1"/>
  <c r="CI209" i="1"/>
  <c r="CI208" i="1"/>
  <c r="CI207" i="1"/>
  <c r="CI206" i="1"/>
  <c r="CI205" i="1"/>
  <c r="CI204" i="1"/>
  <c r="CI203" i="1"/>
  <c r="CI202" i="1"/>
  <c r="CI201" i="1"/>
  <c r="CI200" i="1"/>
  <c r="CI199" i="1"/>
  <c r="CI198" i="1"/>
  <c r="CI197" i="1"/>
  <c r="CI196" i="1"/>
  <c r="CI195" i="1"/>
  <c r="CI194" i="1"/>
  <c r="CI193" i="1"/>
  <c r="CI192" i="1"/>
  <c r="CI191" i="1"/>
  <c r="CI190" i="1"/>
  <c r="CI189" i="1"/>
  <c r="CI188" i="1"/>
  <c r="CI187" i="1"/>
  <c r="CI186" i="1"/>
  <c r="CI185" i="1"/>
  <c r="CI184" i="1"/>
  <c r="CI183" i="1"/>
  <c r="CI182" i="1"/>
  <c r="CI181" i="1"/>
  <c r="CI180" i="1"/>
  <c r="CI179" i="1"/>
  <c r="CI178" i="1"/>
  <c r="CI177" i="1"/>
  <c r="CI176" i="1"/>
  <c r="CI175" i="1"/>
  <c r="CI174" i="1"/>
  <c r="CI173" i="1"/>
  <c r="CI172" i="1"/>
  <c r="CI171" i="1"/>
  <c r="CI170" i="1"/>
  <c r="CI169" i="1"/>
  <c r="CI168" i="1"/>
  <c r="CI167" i="1"/>
  <c r="CI166" i="1"/>
  <c r="CI165" i="1"/>
  <c r="CI164" i="1"/>
  <c r="CI163" i="1"/>
  <c r="CI162" i="1"/>
  <c r="CI161" i="1"/>
  <c r="CI160" i="1"/>
  <c r="CI159" i="1"/>
  <c r="CI158" i="1"/>
  <c r="CI157" i="1"/>
  <c r="CI156" i="1"/>
  <c r="CI155" i="1"/>
  <c r="CI154" i="1"/>
  <c r="CI153" i="1"/>
  <c r="CI152" i="1"/>
  <c r="CI151" i="1"/>
  <c r="CI150" i="1"/>
  <c r="CI149" i="1"/>
  <c r="CI148" i="1"/>
  <c r="CI147" i="1"/>
  <c r="CI146" i="1"/>
  <c r="CI145" i="1"/>
  <c r="CI144" i="1"/>
  <c r="CI143" i="1"/>
  <c r="CI142" i="1"/>
  <c r="CI141" i="1"/>
  <c r="CI140" i="1"/>
  <c r="CI139" i="1"/>
  <c r="CI138" i="1"/>
  <c r="CI137" i="1"/>
  <c r="CI136" i="1"/>
  <c r="CI135" i="1"/>
  <c r="CI134" i="1"/>
  <c r="CH244" i="1"/>
  <c r="CH243" i="1"/>
  <c r="CH242" i="1"/>
  <c r="CH241" i="1"/>
  <c r="CH240" i="1"/>
  <c r="CH239" i="1"/>
  <c r="CH238" i="1"/>
  <c r="CH237" i="1"/>
  <c r="CH236" i="1"/>
  <c r="CH235" i="1"/>
  <c r="CH234" i="1"/>
  <c r="CH233" i="1"/>
  <c r="CH232" i="1"/>
  <c r="CH231" i="1"/>
  <c r="CH230" i="1"/>
  <c r="CH229" i="1"/>
  <c r="CH228" i="1"/>
  <c r="CH227" i="1"/>
  <c r="CH226" i="1"/>
  <c r="CH225" i="1"/>
  <c r="CH224" i="1"/>
  <c r="CH223" i="1"/>
  <c r="CH222" i="1"/>
  <c r="CH221" i="1"/>
  <c r="CH220" i="1"/>
  <c r="CH219" i="1"/>
  <c r="CH218" i="1"/>
  <c r="CH217" i="1"/>
  <c r="CH216" i="1"/>
  <c r="CH215" i="1"/>
  <c r="CH214" i="1"/>
  <c r="CH213" i="1"/>
  <c r="CH212" i="1"/>
  <c r="CH211" i="1"/>
  <c r="CH210" i="1"/>
  <c r="CH209" i="1"/>
  <c r="CH208" i="1"/>
  <c r="CH207" i="1"/>
  <c r="CH206" i="1"/>
  <c r="CH205" i="1"/>
  <c r="CH204" i="1"/>
  <c r="CH203" i="1"/>
  <c r="CH202" i="1"/>
  <c r="CH201" i="1"/>
  <c r="CH200" i="1"/>
  <c r="CH199" i="1"/>
  <c r="CH198" i="1"/>
  <c r="CH197" i="1"/>
  <c r="CH196" i="1"/>
  <c r="CH195" i="1"/>
  <c r="CH194" i="1"/>
  <c r="CH193" i="1"/>
  <c r="CH192" i="1"/>
  <c r="CH191" i="1"/>
  <c r="CH190" i="1"/>
  <c r="CH189" i="1"/>
  <c r="CH188" i="1"/>
  <c r="CH187" i="1"/>
  <c r="CH186" i="1"/>
  <c r="CH185" i="1"/>
  <c r="CH184" i="1"/>
  <c r="CH183" i="1"/>
  <c r="CH182" i="1"/>
  <c r="CH181" i="1"/>
  <c r="CH180" i="1"/>
  <c r="CH179" i="1"/>
  <c r="CH178" i="1"/>
  <c r="CH177" i="1"/>
  <c r="CH176" i="1"/>
  <c r="CH175" i="1"/>
  <c r="CH174" i="1"/>
  <c r="CH173" i="1"/>
  <c r="CH172" i="1"/>
  <c r="CH171" i="1"/>
  <c r="CH170" i="1"/>
  <c r="CH169" i="1"/>
  <c r="CH168" i="1"/>
  <c r="CH167" i="1"/>
  <c r="CH166" i="1"/>
  <c r="CH165" i="1"/>
  <c r="CH164" i="1"/>
  <c r="CH163" i="1"/>
  <c r="CH162" i="1"/>
  <c r="CH161" i="1"/>
  <c r="CH160" i="1"/>
  <c r="CH159" i="1"/>
  <c r="CH158" i="1"/>
  <c r="CH157" i="1"/>
  <c r="CH156" i="1"/>
  <c r="CH155" i="1"/>
  <c r="CH154" i="1"/>
  <c r="CH153" i="1"/>
  <c r="CH152" i="1"/>
  <c r="CH151" i="1"/>
  <c r="CH150" i="1"/>
  <c r="CH149" i="1"/>
  <c r="CH148" i="1"/>
  <c r="CH147" i="1"/>
  <c r="CH146" i="1"/>
  <c r="CH145" i="1"/>
  <c r="CH144" i="1"/>
  <c r="CH143" i="1"/>
  <c r="CH142" i="1"/>
  <c r="CH141" i="1"/>
  <c r="CH140" i="1"/>
  <c r="CH139" i="1"/>
  <c r="CH138" i="1"/>
  <c r="CH137" i="1"/>
  <c r="CH136" i="1"/>
  <c r="CH135" i="1"/>
  <c r="CH134" i="1"/>
  <c r="CG244" i="1"/>
  <c r="CG243" i="1"/>
  <c r="CG242" i="1"/>
  <c r="CG241" i="1"/>
  <c r="CG240" i="1"/>
  <c r="CG239" i="1"/>
  <c r="CG238" i="1"/>
  <c r="CG237" i="1"/>
  <c r="CG236" i="1"/>
  <c r="CG235" i="1"/>
  <c r="CG234" i="1"/>
  <c r="CG233" i="1"/>
  <c r="CG232" i="1"/>
  <c r="CG231" i="1"/>
  <c r="CG230" i="1"/>
  <c r="CG229" i="1"/>
  <c r="CG228" i="1"/>
  <c r="CG227" i="1"/>
  <c r="CG226" i="1"/>
  <c r="CG225" i="1"/>
  <c r="CG224" i="1"/>
  <c r="CG223" i="1"/>
  <c r="CG222" i="1"/>
  <c r="CG221" i="1"/>
  <c r="CG220" i="1"/>
  <c r="CG219" i="1"/>
  <c r="CG218" i="1"/>
  <c r="CG217" i="1"/>
  <c r="CG216" i="1"/>
  <c r="CG215" i="1"/>
  <c r="CG214" i="1"/>
  <c r="CG213" i="1"/>
  <c r="CG212" i="1"/>
  <c r="CG211" i="1"/>
  <c r="CG210" i="1"/>
  <c r="CG209" i="1"/>
  <c r="CG208" i="1"/>
  <c r="CG207" i="1"/>
  <c r="CG206" i="1"/>
  <c r="CG205" i="1"/>
  <c r="CG204" i="1"/>
  <c r="CG203" i="1"/>
  <c r="CG202" i="1"/>
  <c r="CG201" i="1"/>
  <c r="CG200" i="1"/>
  <c r="CG199" i="1"/>
  <c r="CG198" i="1"/>
  <c r="CG197" i="1"/>
  <c r="CG196" i="1"/>
  <c r="CG195" i="1"/>
  <c r="CG194" i="1"/>
  <c r="CG193" i="1"/>
  <c r="CG192" i="1"/>
  <c r="CG191" i="1"/>
  <c r="CG190" i="1"/>
  <c r="CG189" i="1"/>
  <c r="CG188" i="1"/>
  <c r="CG187" i="1"/>
  <c r="CG186" i="1"/>
  <c r="CG185" i="1"/>
  <c r="CG184" i="1"/>
  <c r="CG183" i="1"/>
  <c r="CG182" i="1"/>
  <c r="CG181" i="1"/>
  <c r="CG180" i="1"/>
  <c r="CG179" i="1"/>
  <c r="CG178" i="1"/>
  <c r="CG177" i="1"/>
  <c r="CG176" i="1"/>
  <c r="CG175" i="1"/>
  <c r="CG174" i="1"/>
  <c r="CG173" i="1"/>
  <c r="CG172" i="1"/>
  <c r="CG171" i="1"/>
  <c r="CG170" i="1"/>
  <c r="CG169" i="1"/>
  <c r="CG168" i="1"/>
  <c r="CG167" i="1"/>
  <c r="CG166" i="1"/>
  <c r="CG165" i="1"/>
  <c r="CG164" i="1"/>
  <c r="CG163" i="1"/>
  <c r="CG162" i="1"/>
  <c r="CG161" i="1"/>
  <c r="CG160" i="1"/>
  <c r="CG159" i="1"/>
  <c r="CG158" i="1"/>
  <c r="CG157" i="1"/>
  <c r="CG156" i="1"/>
  <c r="CG155" i="1"/>
  <c r="CG154" i="1"/>
  <c r="CG153" i="1"/>
  <c r="CG152" i="1"/>
  <c r="CG151" i="1"/>
  <c r="CG150" i="1"/>
  <c r="CG149" i="1"/>
  <c r="CG148" i="1"/>
  <c r="CG147" i="1"/>
  <c r="CG146" i="1"/>
  <c r="CG145" i="1"/>
  <c r="CG144" i="1"/>
  <c r="CG143" i="1"/>
  <c r="CG142" i="1"/>
  <c r="CG141" i="1"/>
  <c r="CG140" i="1"/>
  <c r="CG139" i="1"/>
  <c r="CG138" i="1"/>
  <c r="CG137" i="1"/>
  <c r="CG136" i="1"/>
  <c r="CG135" i="1"/>
  <c r="CG134" i="1"/>
  <c r="CF244" i="1"/>
  <c r="CF243" i="1"/>
  <c r="CF242" i="1"/>
  <c r="CF241" i="1"/>
  <c r="CF240" i="1"/>
  <c r="CF239" i="1"/>
  <c r="CF238" i="1"/>
  <c r="CF237" i="1"/>
  <c r="CF236" i="1"/>
  <c r="CF235" i="1"/>
  <c r="CF234" i="1"/>
  <c r="CF233" i="1"/>
  <c r="CF232" i="1"/>
  <c r="CF231" i="1"/>
  <c r="CF230" i="1"/>
  <c r="CF229" i="1"/>
  <c r="CF228" i="1"/>
  <c r="CF227" i="1"/>
  <c r="CF226" i="1"/>
  <c r="CF225" i="1"/>
  <c r="CF224" i="1"/>
  <c r="CF223" i="1"/>
  <c r="CF222" i="1"/>
  <c r="CF221" i="1"/>
  <c r="CF220" i="1"/>
  <c r="CF219" i="1"/>
  <c r="CF218" i="1"/>
  <c r="CF217" i="1"/>
  <c r="CF216" i="1"/>
  <c r="CF215" i="1"/>
  <c r="CF214" i="1"/>
  <c r="CF213" i="1"/>
  <c r="CF212" i="1"/>
  <c r="CF211" i="1"/>
  <c r="CF210" i="1"/>
  <c r="CF209" i="1"/>
  <c r="CF208" i="1"/>
  <c r="CF207" i="1"/>
  <c r="CF206" i="1"/>
  <c r="CF205" i="1"/>
  <c r="CF204" i="1"/>
  <c r="CF203" i="1"/>
  <c r="CF202" i="1"/>
  <c r="CF201" i="1"/>
  <c r="CF200" i="1"/>
  <c r="CF199" i="1"/>
  <c r="CF198" i="1"/>
  <c r="CF197" i="1"/>
  <c r="CF196" i="1"/>
  <c r="CF195" i="1"/>
  <c r="CF194" i="1"/>
  <c r="CF193" i="1"/>
  <c r="CF192" i="1"/>
  <c r="CF191" i="1"/>
  <c r="CF190" i="1"/>
  <c r="CF189" i="1"/>
  <c r="CF188" i="1"/>
  <c r="CF187" i="1"/>
  <c r="CF186" i="1"/>
  <c r="CF185" i="1"/>
  <c r="CF184" i="1"/>
  <c r="CF183" i="1"/>
  <c r="CF182" i="1"/>
  <c r="CF181" i="1"/>
  <c r="CF180" i="1"/>
  <c r="CF179" i="1"/>
  <c r="CF178" i="1"/>
  <c r="CF177" i="1"/>
  <c r="CF176" i="1"/>
  <c r="CF175" i="1"/>
  <c r="CF174" i="1"/>
  <c r="CF173" i="1"/>
  <c r="CF172" i="1"/>
  <c r="CF171" i="1"/>
  <c r="CF170" i="1"/>
  <c r="CF169" i="1"/>
  <c r="CF168" i="1"/>
  <c r="CF167" i="1"/>
  <c r="CF166" i="1"/>
  <c r="CF165" i="1"/>
  <c r="CF164" i="1"/>
  <c r="CF163" i="1"/>
  <c r="CF162" i="1"/>
  <c r="CF161" i="1"/>
  <c r="CF160" i="1"/>
  <c r="CF159" i="1"/>
  <c r="CF158" i="1"/>
  <c r="CF157" i="1"/>
  <c r="CF156" i="1"/>
  <c r="CF155" i="1"/>
  <c r="CF154" i="1"/>
  <c r="CF153" i="1"/>
  <c r="CF152" i="1"/>
  <c r="CF151" i="1"/>
  <c r="CF150" i="1"/>
  <c r="CF149" i="1"/>
  <c r="CF148" i="1"/>
  <c r="CF147" i="1"/>
  <c r="CF146" i="1"/>
  <c r="CF145" i="1"/>
  <c r="CF144" i="1"/>
  <c r="CF143" i="1"/>
  <c r="CF142" i="1"/>
  <c r="CF141" i="1"/>
  <c r="CF140" i="1"/>
  <c r="CF139" i="1"/>
  <c r="CF138" i="1"/>
  <c r="CF137" i="1"/>
  <c r="CF136" i="1"/>
  <c r="CF135" i="1"/>
  <c r="CF134" i="1"/>
  <c r="CE244" i="1"/>
  <c r="CE243" i="1"/>
  <c r="CE242" i="1"/>
  <c r="CE241" i="1"/>
  <c r="CE240" i="1"/>
  <c r="CE239" i="1"/>
  <c r="CE238" i="1"/>
  <c r="CE237" i="1"/>
  <c r="CE236" i="1"/>
  <c r="CE235" i="1"/>
  <c r="CE234" i="1"/>
  <c r="CE233" i="1"/>
  <c r="CE232" i="1"/>
  <c r="CE231" i="1"/>
  <c r="CE230" i="1"/>
  <c r="CE229" i="1"/>
  <c r="CE228" i="1"/>
  <c r="CE227" i="1"/>
  <c r="CE226" i="1"/>
  <c r="CE225" i="1"/>
  <c r="CE224" i="1"/>
  <c r="CE223" i="1"/>
  <c r="CE222" i="1"/>
  <c r="CE221" i="1"/>
  <c r="CE220" i="1"/>
  <c r="CE219" i="1"/>
  <c r="CE218" i="1"/>
  <c r="CE217" i="1"/>
  <c r="CE216" i="1"/>
  <c r="CE215" i="1"/>
  <c r="CE214" i="1"/>
  <c r="CE213" i="1"/>
  <c r="CE212" i="1"/>
  <c r="CE211" i="1"/>
  <c r="CE210" i="1"/>
  <c r="CE209" i="1"/>
  <c r="CE208" i="1"/>
  <c r="CE207" i="1"/>
  <c r="CE206" i="1"/>
  <c r="CE205" i="1"/>
  <c r="CE204" i="1"/>
  <c r="CE203" i="1"/>
  <c r="CE202" i="1"/>
  <c r="CE201" i="1"/>
  <c r="CE200" i="1"/>
  <c r="CE199" i="1"/>
  <c r="CE198" i="1"/>
  <c r="CE197" i="1"/>
  <c r="CE196" i="1"/>
  <c r="CE195" i="1"/>
  <c r="CE194" i="1"/>
  <c r="CE193" i="1"/>
  <c r="CE192" i="1"/>
  <c r="CE191" i="1"/>
  <c r="CE190" i="1"/>
  <c r="CE189" i="1"/>
  <c r="CE188" i="1"/>
  <c r="CE187" i="1"/>
  <c r="CE186" i="1"/>
  <c r="CE185" i="1"/>
  <c r="CE184" i="1"/>
  <c r="CE183" i="1"/>
  <c r="CE182" i="1"/>
  <c r="CE181" i="1"/>
  <c r="CE180" i="1"/>
  <c r="CE179" i="1"/>
  <c r="CE178" i="1"/>
  <c r="CE177" i="1"/>
  <c r="CE176" i="1"/>
  <c r="CE175" i="1"/>
  <c r="CE174" i="1"/>
  <c r="CE173" i="1"/>
  <c r="CE172" i="1"/>
  <c r="CE171" i="1"/>
  <c r="CE170" i="1"/>
  <c r="CE169" i="1"/>
  <c r="CE168" i="1"/>
  <c r="CE167" i="1"/>
  <c r="CE166" i="1"/>
  <c r="CE165" i="1"/>
  <c r="CE164" i="1"/>
  <c r="CE163" i="1"/>
  <c r="CE162" i="1"/>
  <c r="CE161" i="1"/>
  <c r="CE160" i="1"/>
  <c r="CE159" i="1"/>
  <c r="CE158" i="1"/>
  <c r="CE157" i="1"/>
  <c r="CE156" i="1"/>
  <c r="CE155" i="1"/>
  <c r="CE154" i="1"/>
  <c r="CE153" i="1"/>
  <c r="CE152" i="1"/>
  <c r="CE151" i="1"/>
  <c r="CE150" i="1"/>
  <c r="CE149" i="1"/>
  <c r="CE148" i="1"/>
  <c r="CE147" i="1"/>
  <c r="CE146" i="1"/>
  <c r="CE145" i="1"/>
  <c r="CE144" i="1"/>
  <c r="CE143" i="1"/>
  <c r="CE142" i="1"/>
  <c r="CE141" i="1"/>
  <c r="CE140" i="1"/>
  <c r="CE139" i="1"/>
  <c r="CE138" i="1"/>
  <c r="CE137" i="1"/>
  <c r="CE136" i="1"/>
  <c r="CE135" i="1"/>
  <c r="CE134" i="1"/>
  <c r="CD244" i="1"/>
  <c r="CD243" i="1"/>
  <c r="CD242" i="1"/>
  <c r="CD241" i="1"/>
  <c r="CD240" i="1"/>
  <c r="CD239" i="1"/>
  <c r="CD238" i="1"/>
  <c r="CD237" i="1"/>
  <c r="CD236" i="1"/>
  <c r="CD235" i="1"/>
  <c r="CD234" i="1"/>
  <c r="CD233" i="1"/>
  <c r="CD232" i="1"/>
  <c r="CD231" i="1"/>
  <c r="CD230" i="1"/>
  <c r="CD229" i="1"/>
  <c r="CD228" i="1"/>
  <c r="CD227" i="1"/>
  <c r="CD226" i="1"/>
  <c r="CD225" i="1"/>
  <c r="CD224" i="1"/>
  <c r="CD223" i="1"/>
  <c r="CD222" i="1"/>
  <c r="CD221" i="1"/>
  <c r="CD220" i="1"/>
  <c r="CD219" i="1"/>
  <c r="CD218" i="1"/>
  <c r="CD217" i="1"/>
  <c r="CD216" i="1"/>
  <c r="CD215" i="1"/>
  <c r="CD214" i="1"/>
  <c r="CD213" i="1"/>
  <c r="CD212" i="1"/>
  <c r="CD211" i="1"/>
  <c r="CD210" i="1"/>
  <c r="CD209" i="1"/>
  <c r="CD208" i="1"/>
  <c r="CD207" i="1"/>
  <c r="CD206" i="1"/>
  <c r="CD205" i="1"/>
  <c r="CD204" i="1"/>
  <c r="CD203" i="1"/>
  <c r="CD202" i="1"/>
  <c r="CD201" i="1"/>
  <c r="CD200" i="1"/>
  <c r="CD199" i="1"/>
  <c r="CD198" i="1"/>
  <c r="CD197" i="1"/>
  <c r="CD196" i="1"/>
  <c r="CD195" i="1"/>
  <c r="CD194" i="1"/>
  <c r="CD193" i="1"/>
  <c r="CD192" i="1"/>
  <c r="CD191" i="1"/>
  <c r="CD190" i="1"/>
  <c r="CD189" i="1"/>
  <c r="CD188" i="1"/>
  <c r="CD187" i="1"/>
  <c r="CD186" i="1"/>
  <c r="CD185" i="1"/>
  <c r="CD184" i="1"/>
  <c r="CD183" i="1"/>
  <c r="CD182" i="1"/>
  <c r="CD181" i="1"/>
  <c r="CD180" i="1"/>
  <c r="CD179" i="1"/>
  <c r="CD178" i="1"/>
  <c r="CD177" i="1"/>
  <c r="CD176" i="1"/>
  <c r="CD175" i="1"/>
  <c r="CD174" i="1"/>
  <c r="CD173" i="1"/>
  <c r="CD172" i="1"/>
  <c r="CD171" i="1"/>
  <c r="CD170" i="1"/>
  <c r="CD169" i="1"/>
  <c r="CD168" i="1"/>
  <c r="CD167" i="1"/>
  <c r="CD166" i="1"/>
  <c r="CD165" i="1"/>
  <c r="CD164" i="1"/>
  <c r="CD163" i="1"/>
  <c r="CD162" i="1"/>
  <c r="CD161" i="1"/>
  <c r="CD160" i="1"/>
  <c r="CD159" i="1"/>
  <c r="CD158" i="1"/>
  <c r="CD157" i="1"/>
  <c r="CD156" i="1"/>
  <c r="CD155" i="1"/>
  <c r="CD154" i="1"/>
  <c r="CD153" i="1"/>
  <c r="CD152" i="1"/>
  <c r="CD151" i="1"/>
  <c r="CD150" i="1"/>
  <c r="CD149" i="1"/>
  <c r="CD148" i="1"/>
  <c r="CD147" i="1"/>
  <c r="CD146" i="1"/>
  <c r="CD145" i="1"/>
  <c r="CD144" i="1"/>
  <c r="CD143" i="1"/>
  <c r="CD142" i="1"/>
  <c r="CD141" i="1"/>
  <c r="CD140" i="1"/>
  <c r="CD139" i="1"/>
  <c r="CD138" i="1"/>
  <c r="CD137" i="1"/>
  <c r="CD136" i="1"/>
  <c r="CD135" i="1"/>
  <c r="CD134" i="1"/>
  <c r="CC244" i="1"/>
  <c r="CC243" i="1"/>
  <c r="CC242" i="1"/>
  <c r="CC241" i="1"/>
  <c r="CC240" i="1"/>
  <c r="CC239" i="1"/>
  <c r="CC238" i="1"/>
  <c r="CC237" i="1"/>
  <c r="CC236" i="1"/>
  <c r="CC235" i="1"/>
  <c r="CC234" i="1"/>
  <c r="CC233" i="1"/>
  <c r="CC232" i="1"/>
  <c r="CC231" i="1"/>
  <c r="CC230" i="1"/>
  <c r="CC229" i="1"/>
  <c r="CC228" i="1"/>
  <c r="CC227" i="1"/>
  <c r="CC226" i="1"/>
  <c r="CC225" i="1"/>
  <c r="CC224" i="1"/>
  <c r="CC223" i="1"/>
  <c r="CC222" i="1"/>
  <c r="CC221" i="1"/>
  <c r="CC220" i="1"/>
  <c r="CC219" i="1"/>
  <c r="CC218" i="1"/>
  <c r="CC217" i="1"/>
  <c r="CC216" i="1"/>
  <c r="CC215" i="1"/>
  <c r="CC214" i="1"/>
  <c r="CC213" i="1"/>
  <c r="CC212" i="1"/>
  <c r="CC211" i="1"/>
  <c r="CC210" i="1"/>
  <c r="CC209" i="1"/>
  <c r="CC208" i="1"/>
  <c r="CC207" i="1"/>
  <c r="CC206" i="1"/>
  <c r="CC205" i="1"/>
  <c r="CC204" i="1"/>
  <c r="CC203" i="1"/>
  <c r="CC202" i="1"/>
  <c r="CC201" i="1"/>
  <c r="CC200" i="1"/>
  <c r="CC199" i="1"/>
  <c r="CC198" i="1"/>
  <c r="CC197" i="1"/>
  <c r="CC196" i="1"/>
  <c r="CC195" i="1"/>
  <c r="CC194" i="1"/>
  <c r="CC193" i="1"/>
  <c r="CC192" i="1"/>
  <c r="CC191" i="1"/>
  <c r="CC190" i="1"/>
  <c r="CC189" i="1"/>
  <c r="CC188" i="1"/>
  <c r="CC187" i="1"/>
  <c r="CC186" i="1"/>
  <c r="CC185" i="1"/>
  <c r="CC184" i="1"/>
  <c r="CC183" i="1"/>
  <c r="CC182" i="1"/>
  <c r="CC181" i="1"/>
  <c r="CC180" i="1"/>
  <c r="CC179" i="1"/>
  <c r="CC178" i="1"/>
  <c r="CC177" i="1"/>
  <c r="CC176" i="1"/>
  <c r="CC175" i="1"/>
  <c r="CC174" i="1"/>
  <c r="CC173" i="1"/>
  <c r="CC172" i="1"/>
  <c r="CC171" i="1"/>
  <c r="CC170" i="1"/>
  <c r="CC169" i="1"/>
  <c r="CC168" i="1"/>
  <c r="CC167" i="1"/>
  <c r="CC166" i="1"/>
  <c r="CC165" i="1"/>
  <c r="CC164" i="1"/>
  <c r="CC163" i="1"/>
  <c r="CC162" i="1"/>
  <c r="CC161" i="1"/>
  <c r="CC160" i="1"/>
  <c r="CC159" i="1"/>
  <c r="CC158" i="1"/>
  <c r="CC157" i="1"/>
  <c r="CC156" i="1"/>
  <c r="CC155" i="1"/>
  <c r="CC154" i="1"/>
  <c r="CC153" i="1"/>
  <c r="CC152" i="1"/>
  <c r="CC151" i="1"/>
  <c r="CC150" i="1"/>
  <c r="CC149" i="1"/>
  <c r="CC148" i="1"/>
  <c r="CC147" i="1"/>
  <c r="CC146" i="1"/>
  <c r="CC145" i="1"/>
  <c r="CC144" i="1"/>
  <c r="CC143" i="1"/>
  <c r="CC142" i="1"/>
  <c r="CC141" i="1"/>
  <c r="CC140" i="1"/>
  <c r="CC139" i="1"/>
  <c r="CC138" i="1"/>
  <c r="CC137" i="1"/>
  <c r="CC136" i="1"/>
  <c r="CC135" i="1"/>
  <c r="CC134" i="1"/>
  <c r="CB244" i="1"/>
  <c r="CB243" i="1"/>
  <c r="CB242" i="1"/>
  <c r="CB241" i="1"/>
  <c r="CB240" i="1"/>
  <c r="CB239" i="1"/>
  <c r="CB238" i="1"/>
  <c r="CB237" i="1"/>
  <c r="CB236" i="1"/>
  <c r="CB235" i="1"/>
  <c r="CB234" i="1"/>
  <c r="CB233" i="1"/>
  <c r="CB232" i="1"/>
  <c r="CB231" i="1"/>
  <c r="CB230" i="1"/>
  <c r="CB229" i="1"/>
  <c r="CB228" i="1"/>
  <c r="CB227" i="1"/>
  <c r="CB226" i="1"/>
  <c r="CB225" i="1"/>
  <c r="CB224" i="1"/>
  <c r="CB223" i="1"/>
  <c r="CB222" i="1"/>
  <c r="CB221" i="1"/>
  <c r="CB220" i="1"/>
  <c r="CB219" i="1"/>
  <c r="CB218" i="1"/>
  <c r="CB217" i="1"/>
  <c r="CB216" i="1"/>
  <c r="CB215" i="1"/>
  <c r="CB214" i="1"/>
  <c r="CB213" i="1"/>
  <c r="CB212" i="1"/>
  <c r="CB211" i="1"/>
  <c r="CB210" i="1"/>
  <c r="CB209" i="1"/>
  <c r="CB208" i="1"/>
  <c r="CB207" i="1"/>
  <c r="CB206" i="1"/>
  <c r="CB205" i="1"/>
  <c r="CB204" i="1"/>
  <c r="CB203" i="1"/>
  <c r="CB202" i="1"/>
  <c r="CB201" i="1"/>
  <c r="CB200" i="1"/>
  <c r="CB199" i="1"/>
  <c r="CB198" i="1"/>
  <c r="CB197" i="1"/>
  <c r="CB196" i="1"/>
  <c r="CB195" i="1"/>
  <c r="CB194" i="1"/>
  <c r="CB193" i="1"/>
  <c r="CB192" i="1"/>
  <c r="CB191" i="1"/>
  <c r="CB190" i="1"/>
  <c r="CB189" i="1"/>
  <c r="CB188" i="1"/>
  <c r="CB187" i="1"/>
  <c r="CB186" i="1"/>
  <c r="CB185" i="1"/>
  <c r="CB184" i="1"/>
  <c r="CB183" i="1"/>
  <c r="CB182" i="1"/>
  <c r="CB181" i="1"/>
  <c r="CB180" i="1"/>
  <c r="CB179" i="1"/>
  <c r="CB178" i="1"/>
  <c r="CB177" i="1"/>
  <c r="CB176" i="1"/>
  <c r="CB175" i="1"/>
  <c r="CB174" i="1"/>
  <c r="CB173" i="1"/>
  <c r="CB172" i="1"/>
  <c r="CB171" i="1"/>
  <c r="CB170" i="1"/>
  <c r="CB169" i="1"/>
  <c r="CB168" i="1"/>
  <c r="CB167" i="1"/>
  <c r="CB166" i="1"/>
  <c r="CB165" i="1"/>
  <c r="CB164" i="1"/>
  <c r="CB163" i="1"/>
  <c r="CB162" i="1"/>
  <c r="CB161" i="1"/>
  <c r="CB160" i="1"/>
  <c r="CB159" i="1"/>
  <c r="CB158" i="1"/>
  <c r="CB157" i="1"/>
  <c r="CB156" i="1"/>
  <c r="CB155" i="1"/>
  <c r="CB154" i="1"/>
  <c r="CB153" i="1"/>
  <c r="CB152" i="1"/>
  <c r="CB151" i="1"/>
  <c r="CB150" i="1"/>
  <c r="CB149" i="1"/>
  <c r="CB148" i="1"/>
  <c r="CB147" i="1"/>
  <c r="CB146" i="1"/>
  <c r="CB145" i="1"/>
  <c r="CB144" i="1"/>
  <c r="CB143" i="1"/>
  <c r="CB142" i="1"/>
  <c r="CB141" i="1"/>
  <c r="CB140" i="1"/>
  <c r="CB139" i="1"/>
  <c r="CB138" i="1"/>
  <c r="CB137" i="1"/>
  <c r="CB136" i="1"/>
  <c r="CB135" i="1"/>
  <c r="CB134" i="1"/>
  <c r="CA244" i="1"/>
  <c r="CA243" i="1"/>
  <c r="CA242" i="1"/>
  <c r="CA241" i="1"/>
  <c r="CA240" i="1"/>
  <c r="CA239" i="1"/>
  <c r="CA238" i="1"/>
  <c r="CA237" i="1"/>
  <c r="CA236" i="1"/>
  <c r="CA235" i="1"/>
  <c r="CA234" i="1"/>
  <c r="CA233" i="1"/>
  <c r="CA232" i="1"/>
  <c r="CA231" i="1"/>
  <c r="CA230" i="1"/>
  <c r="CA229" i="1"/>
  <c r="CA228" i="1"/>
  <c r="CA227" i="1"/>
  <c r="CA226" i="1"/>
  <c r="CA225" i="1"/>
  <c r="CA224" i="1"/>
  <c r="CA223" i="1"/>
  <c r="CA222" i="1"/>
  <c r="CA221" i="1"/>
  <c r="CA220" i="1"/>
  <c r="CA219" i="1"/>
  <c r="CA218" i="1"/>
  <c r="CA217" i="1"/>
  <c r="CA216" i="1"/>
  <c r="CA215" i="1"/>
  <c r="CA214" i="1"/>
  <c r="CA213" i="1"/>
  <c r="CA212" i="1"/>
  <c r="CA211" i="1"/>
  <c r="CA210" i="1"/>
  <c r="CA209" i="1"/>
  <c r="CA208" i="1"/>
  <c r="CA207" i="1"/>
  <c r="CA206" i="1"/>
  <c r="CA205" i="1"/>
  <c r="CA204" i="1"/>
  <c r="CA203" i="1"/>
  <c r="CA202" i="1"/>
  <c r="CA201" i="1"/>
  <c r="CA200" i="1"/>
  <c r="CA199" i="1"/>
  <c r="CA198" i="1"/>
  <c r="CA197" i="1"/>
  <c r="CA196" i="1"/>
  <c r="CA195" i="1"/>
  <c r="CA194" i="1"/>
  <c r="CA193" i="1"/>
  <c r="CA192" i="1"/>
  <c r="CA191" i="1"/>
  <c r="CA190" i="1"/>
  <c r="CA189" i="1"/>
  <c r="CA188" i="1"/>
  <c r="CA187" i="1"/>
  <c r="CA186" i="1"/>
  <c r="CA185" i="1"/>
  <c r="CA184" i="1"/>
  <c r="CA183" i="1"/>
  <c r="CA182" i="1"/>
  <c r="CA181" i="1"/>
  <c r="CA180" i="1"/>
  <c r="CA179" i="1"/>
  <c r="CA178" i="1"/>
  <c r="CA177" i="1"/>
  <c r="CA176" i="1"/>
  <c r="CA175" i="1"/>
  <c r="CA174" i="1"/>
  <c r="CA173" i="1"/>
  <c r="CA172" i="1"/>
  <c r="CA171" i="1"/>
  <c r="CA170" i="1"/>
  <c r="CA169" i="1"/>
  <c r="CA168" i="1"/>
  <c r="CA167" i="1"/>
  <c r="CA166" i="1"/>
  <c r="CA165" i="1"/>
  <c r="CA164" i="1"/>
  <c r="CA163" i="1"/>
  <c r="CA162" i="1"/>
  <c r="CA161" i="1"/>
  <c r="CA160" i="1"/>
  <c r="CA159" i="1"/>
  <c r="CA158" i="1"/>
  <c r="CA157" i="1"/>
  <c r="CA156" i="1"/>
  <c r="CA155" i="1"/>
  <c r="CA154" i="1"/>
  <c r="CA153" i="1"/>
  <c r="CA152" i="1"/>
  <c r="CA151" i="1"/>
  <c r="CA150" i="1"/>
  <c r="CA149" i="1"/>
  <c r="CA148" i="1"/>
  <c r="CA147" i="1"/>
  <c r="CA146" i="1"/>
  <c r="CA145" i="1"/>
  <c r="CA144" i="1"/>
  <c r="CA143" i="1"/>
  <c r="CA142" i="1"/>
  <c r="CA141" i="1"/>
  <c r="CA140" i="1"/>
  <c r="CA139" i="1"/>
  <c r="CA138" i="1"/>
  <c r="CA137" i="1"/>
  <c r="CA136" i="1"/>
  <c r="CA135" i="1"/>
  <c r="CA134" i="1"/>
  <c r="BZ244" i="1"/>
  <c r="BZ243" i="1"/>
  <c r="BZ242" i="1"/>
  <c r="BZ241" i="1"/>
  <c r="BZ240" i="1"/>
  <c r="BZ239" i="1"/>
  <c r="BZ238" i="1"/>
  <c r="BZ237" i="1"/>
  <c r="BZ236" i="1"/>
  <c r="BZ235" i="1"/>
  <c r="BZ234" i="1"/>
  <c r="BZ233" i="1"/>
  <c r="BZ232" i="1"/>
  <c r="BZ231" i="1"/>
  <c r="BZ230" i="1"/>
  <c r="BZ229" i="1"/>
  <c r="BZ228" i="1"/>
  <c r="BZ227" i="1"/>
  <c r="BZ226" i="1"/>
  <c r="BZ225" i="1"/>
  <c r="BZ224" i="1"/>
  <c r="BZ223" i="1"/>
  <c r="BZ222" i="1"/>
  <c r="BZ221" i="1"/>
  <c r="BZ220" i="1"/>
  <c r="BZ219" i="1"/>
  <c r="BZ218" i="1"/>
  <c r="BZ217" i="1"/>
  <c r="BZ216" i="1"/>
  <c r="BZ215" i="1"/>
  <c r="BZ214" i="1"/>
  <c r="BZ213" i="1"/>
  <c r="BZ212" i="1"/>
  <c r="BZ211" i="1"/>
  <c r="BZ210" i="1"/>
  <c r="BZ209" i="1"/>
  <c r="BZ208" i="1"/>
  <c r="BZ207" i="1"/>
  <c r="BZ206" i="1"/>
  <c r="BZ205" i="1"/>
  <c r="BZ204" i="1"/>
  <c r="BZ203" i="1"/>
  <c r="BZ202" i="1"/>
  <c r="BZ201" i="1"/>
  <c r="BZ200" i="1"/>
  <c r="BZ199" i="1"/>
  <c r="BZ198" i="1"/>
  <c r="BZ197" i="1"/>
  <c r="BZ196" i="1"/>
  <c r="BZ195" i="1"/>
  <c r="BZ194" i="1"/>
  <c r="BZ193" i="1"/>
  <c r="BZ192" i="1"/>
  <c r="BZ191" i="1"/>
  <c r="BZ190" i="1"/>
  <c r="BZ189" i="1"/>
  <c r="BZ188" i="1"/>
  <c r="BZ187" i="1"/>
  <c r="BZ186" i="1"/>
  <c r="BZ185" i="1"/>
  <c r="BZ184" i="1"/>
  <c r="BZ183" i="1"/>
  <c r="BZ182" i="1"/>
  <c r="BZ181" i="1"/>
  <c r="BZ180" i="1"/>
  <c r="BZ179" i="1"/>
  <c r="BZ178" i="1"/>
  <c r="BZ177" i="1"/>
  <c r="BZ176" i="1"/>
  <c r="BZ175" i="1"/>
  <c r="BZ174" i="1"/>
  <c r="BZ173" i="1"/>
  <c r="BZ172" i="1"/>
  <c r="BZ171" i="1"/>
  <c r="BZ170" i="1"/>
  <c r="BZ169" i="1"/>
  <c r="BZ168" i="1"/>
  <c r="BZ167" i="1"/>
  <c r="BZ166" i="1"/>
  <c r="BZ165" i="1"/>
  <c r="BZ164" i="1"/>
  <c r="BZ163" i="1"/>
  <c r="BZ162" i="1"/>
  <c r="BZ161" i="1"/>
  <c r="BZ160" i="1"/>
  <c r="BZ159" i="1"/>
  <c r="BZ158" i="1"/>
  <c r="BZ157" i="1"/>
  <c r="BZ156" i="1"/>
  <c r="BZ155" i="1"/>
  <c r="BZ154" i="1"/>
  <c r="BZ153" i="1"/>
  <c r="BZ152" i="1"/>
  <c r="BZ151" i="1"/>
  <c r="BZ150" i="1"/>
  <c r="BZ149" i="1"/>
  <c r="BZ148" i="1"/>
  <c r="BZ147" i="1"/>
  <c r="BZ146" i="1"/>
  <c r="BZ145" i="1"/>
  <c r="BZ144" i="1"/>
  <c r="BZ143" i="1"/>
  <c r="BZ142" i="1"/>
  <c r="BZ141" i="1"/>
  <c r="BZ140" i="1"/>
  <c r="BZ139" i="1"/>
  <c r="BZ138" i="1"/>
  <c r="BZ137" i="1"/>
  <c r="BZ136" i="1"/>
  <c r="BZ135" i="1"/>
  <c r="BZ134" i="1"/>
  <c r="BY244" i="1"/>
  <c r="BY243" i="1"/>
  <c r="BY242" i="1"/>
  <c r="BY241" i="1"/>
  <c r="BY240" i="1"/>
  <c r="BY239" i="1"/>
  <c r="BY238" i="1"/>
  <c r="BY237" i="1"/>
  <c r="BY236" i="1"/>
  <c r="BY235" i="1"/>
  <c r="BY234" i="1"/>
  <c r="BY233" i="1"/>
  <c r="BY232" i="1"/>
  <c r="BY231" i="1"/>
  <c r="BY230" i="1"/>
  <c r="BY229" i="1"/>
  <c r="BY228" i="1"/>
  <c r="BY227" i="1"/>
  <c r="BY226" i="1"/>
  <c r="BY225" i="1"/>
  <c r="BY224" i="1"/>
  <c r="BY223" i="1"/>
  <c r="BY222" i="1"/>
  <c r="BY221" i="1"/>
  <c r="BY220" i="1"/>
  <c r="BY219" i="1"/>
  <c r="BY218" i="1"/>
  <c r="BY217" i="1"/>
  <c r="BY216" i="1"/>
  <c r="BY215" i="1"/>
  <c r="BY214" i="1"/>
  <c r="BY213" i="1"/>
  <c r="BY212" i="1"/>
  <c r="BY211" i="1"/>
  <c r="BY210" i="1"/>
  <c r="BY209" i="1"/>
  <c r="BY208" i="1"/>
  <c r="BY207" i="1"/>
  <c r="BY206" i="1"/>
  <c r="BY205" i="1"/>
  <c r="BY204" i="1"/>
  <c r="BY203" i="1"/>
  <c r="BY202" i="1"/>
  <c r="BY201" i="1"/>
  <c r="BY200" i="1"/>
  <c r="BY199" i="1"/>
  <c r="BY198" i="1"/>
  <c r="BY197" i="1"/>
  <c r="BY196" i="1"/>
  <c r="BY195" i="1"/>
  <c r="BY194" i="1"/>
  <c r="BY193" i="1"/>
  <c r="BY192" i="1"/>
  <c r="BY191" i="1"/>
  <c r="BY190" i="1"/>
  <c r="BY189" i="1"/>
  <c r="BY188" i="1"/>
  <c r="BY187" i="1"/>
  <c r="BY186" i="1"/>
  <c r="BY185" i="1"/>
  <c r="BY184" i="1"/>
  <c r="BY183" i="1"/>
  <c r="BY182" i="1"/>
  <c r="BY181" i="1"/>
  <c r="BY180" i="1"/>
  <c r="BY179" i="1"/>
  <c r="BY178" i="1"/>
  <c r="BY177" i="1"/>
  <c r="BY176" i="1"/>
  <c r="BY175" i="1"/>
  <c r="BY174" i="1"/>
  <c r="BY173" i="1"/>
  <c r="BY172" i="1"/>
  <c r="BY171" i="1"/>
  <c r="BY170" i="1"/>
  <c r="BY169" i="1"/>
  <c r="BY168" i="1"/>
  <c r="BY167" i="1"/>
  <c r="BY166" i="1"/>
  <c r="BY165" i="1"/>
  <c r="BY164" i="1"/>
  <c r="BY163" i="1"/>
  <c r="BY162" i="1"/>
  <c r="BY161" i="1"/>
  <c r="BY160" i="1"/>
  <c r="BY159" i="1"/>
  <c r="BY158" i="1"/>
  <c r="BY157" i="1"/>
  <c r="BY156" i="1"/>
  <c r="BY155" i="1"/>
  <c r="BY154" i="1"/>
  <c r="BY153" i="1"/>
  <c r="BY152" i="1"/>
  <c r="BY151" i="1"/>
  <c r="BY150" i="1"/>
  <c r="BY149" i="1"/>
  <c r="BY148" i="1"/>
  <c r="BY147" i="1"/>
  <c r="BY146" i="1"/>
  <c r="BY145" i="1"/>
  <c r="BY144" i="1"/>
  <c r="BY143" i="1"/>
  <c r="BY142" i="1"/>
  <c r="BY141" i="1"/>
  <c r="BY140" i="1"/>
  <c r="BY139" i="1"/>
  <c r="BY138" i="1"/>
  <c r="BY137" i="1"/>
  <c r="BY136" i="1"/>
  <c r="BY135" i="1"/>
  <c r="BY134" i="1"/>
  <c r="BX244" i="1"/>
  <c r="BX243" i="1"/>
  <c r="BX242" i="1"/>
  <c r="BX241" i="1"/>
  <c r="BX240" i="1"/>
  <c r="BX239" i="1"/>
  <c r="BX238" i="1"/>
  <c r="BX237" i="1"/>
  <c r="BX236" i="1"/>
  <c r="BX235" i="1"/>
  <c r="BX234" i="1"/>
  <c r="BX233" i="1"/>
  <c r="BX232" i="1"/>
  <c r="BX231" i="1"/>
  <c r="BX230" i="1"/>
  <c r="BX229" i="1"/>
  <c r="BX228" i="1"/>
  <c r="BX227" i="1"/>
  <c r="BX226" i="1"/>
  <c r="BX225" i="1"/>
  <c r="BX224" i="1"/>
  <c r="BX223" i="1"/>
  <c r="BX222" i="1"/>
  <c r="BX221" i="1"/>
  <c r="BX220" i="1"/>
  <c r="BX219" i="1"/>
  <c r="BX218" i="1"/>
  <c r="BX217" i="1"/>
  <c r="BX216" i="1"/>
  <c r="BX215" i="1"/>
  <c r="BX214" i="1"/>
  <c r="BX213" i="1"/>
  <c r="BX212" i="1"/>
  <c r="BX211" i="1"/>
  <c r="BX210" i="1"/>
  <c r="BX209" i="1"/>
  <c r="BX208" i="1"/>
  <c r="BX207" i="1"/>
  <c r="BX206" i="1"/>
  <c r="BX205" i="1"/>
  <c r="BX204" i="1"/>
  <c r="BX203" i="1"/>
  <c r="BX202" i="1"/>
  <c r="BX201" i="1"/>
  <c r="BX200" i="1"/>
  <c r="BX199" i="1"/>
  <c r="BX198" i="1"/>
  <c r="BX197" i="1"/>
  <c r="BX196" i="1"/>
  <c r="BX195" i="1"/>
  <c r="BX194" i="1"/>
  <c r="BX193" i="1"/>
  <c r="BX192" i="1"/>
  <c r="BX191" i="1"/>
  <c r="BX190" i="1"/>
  <c r="BX189" i="1"/>
  <c r="BX188" i="1"/>
  <c r="BX187" i="1"/>
  <c r="BX186" i="1"/>
  <c r="BX185" i="1"/>
  <c r="BX184" i="1"/>
  <c r="BX183" i="1"/>
  <c r="BX182" i="1"/>
  <c r="BX181" i="1"/>
  <c r="BX180" i="1"/>
  <c r="BX179" i="1"/>
  <c r="BX178" i="1"/>
  <c r="BX177" i="1"/>
  <c r="BX176" i="1"/>
  <c r="BX175" i="1"/>
  <c r="BX174" i="1"/>
  <c r="BX173" i="1"/>
  <c r="BX172" i="1"/>
  <c r="BX171" i="1"/>
  <c r="BX170" i="1"/>
  <c r="BX169" i="1"/>
  <c r="BX168" i="1"/>
  <c r="BX167" i="1"/>
  <c r="BX166" i="1"/>
  <c r="BX165" i="1"/>
  <c r="BX164" i="1"/>
  <c r="BX163" i="1"/>
  <c r="BX162" i="1"/>
  <c r="BX161" i="1"/>
  <c r="BX160" i="1"/>
  <c r="BX159" i="1"/>
  <c r="BX158" i="1"/>
  <c r="BX157" i="1"/>
  <c r="BX156" i="1"/>
  <c r="BX155" i="1"/>
  <c r="BX154" i="1"/>
  <c r="BX153" i="1"/>
  <c r="BX152" i="1"/>
  <c r="BX151" i="1"/>
  <c r="BX150" i="1"/>
  <c r="BX149" i="1"/>
  <c r="BX148" i="1"/>
  <c r="BX147" i="1"/>
  <c r="BX146" i="1"/>
  <c r="BX145" i="1"/>
  <c r="BX144" i="1"/>
  <c r="BX143" i="1"/>
  <c r="BX142" i="1"/>
  <c r="BX141" i="1"/>
  <c r="BX140" i="1"/>
  <c r="BX139" i="1"/>
  <c r="BX138" i="1"/>
  <c r="BX137" i="1"/>
  <c r="BX136" i="1"/>
  <c r="BX135" i="1"/>
  <c r="BX134" i="1"/>
  <c r="BW244" i="1"/>
  <c r="BW243" i="1"/>
  <c r="BW242" i="1"/>
  <c r="BW241" i="1"/>
  <c r="BW240" i="1"/>
  <c r="BW239" i="1"/>
  <c r="BW238" i="1"/>
  <c r="BW237" i="1"/>
  <c r="BW236" i="1"/>
  <c r="BW235" i="1"/>
  <c r="BW234" i="1"/>
  <c r="BW233" i="1"/>
  <c r="BW232" i="1"/>
  <c r="BW231" i="1"/>
  <c r="BW230" i="1"/>
  <c r="BW229" i="1"/>
  <c r="BW228" i="1"/>
  <c r="BW227" i="1"/>
  <c r="BW226" i="1"/>
  <c r="BW225" i="1"/>
  <c r="BW224" i="1"/>
  <c r="BW223" i="1"/>
  <c r="BW222" i="1"/>
  <c r="BW221" i="1"/>
  <c r="BW220" i="1"/>
  <c r="BW219" i="1"/>
  <c r="BW218" i="1"/>
  <c r="BW217" i="1"/>
  <c r="BW216" i="1"/>
  <c r="BW215" i="1"/>
  <c r="BW214" i="1"/>
  <c r="BW213" i="1"/>
  <c r="BW212" i="1"/>
  <c r="BW211" i="1"/>
  <c r="BW210" i="1"/>
  <c r="BW209" i="1"/>
  <c r="BW208" i="1"/>
  <c r="BW207" i="1"/>
  <c r="BW206" i="1"/>
  <c r="BW205" i="1"/>
  <c r="BW204" i="1"/>
  <c r="BW203" i="1"/>
  <c r="BW202" i="1"/>
  <c r="BW201" i="1"/>
  <c r="BW200" i="1"/>
  <c r="BW199" i="1"/>
  <c r="BW198" i="1"/>
  <c r="BW197" i="1"/>
  <c r="BW196" i="1"/>
  <c r="BW195" i="1"/>
  <c r="BW194" i="1"/>
  <c r="BW193" i="1"/>
  <c r="BW192" i="1"/>
  <c r="BW191" i="1"/>
  <c r="BW190" i="1"/>
  <c r="BW189" i="1"/>
  <c r="BW188" i="1"/>
  <c r="BW187" i="1"/>
  <c r="BW186" i="1"/>
  <c r="BW185" i="1"/>
  <c r="BW184" i="1"/>
  <c r="BW183" i="1"/>
  <c r="BW182" i="1"/>
  <c r="BW181" i="1"/>
  <c r="BW180" i="1"/>
  <c r="BW179" i="1"/>
  <c r="BW178" i="1"/>
  <c r="BW177" i="1"/>
  <c r="BW176" i="1"/>
  <c r="BW175" i="1"/>
  <c r="BW174" i="1"/>
  <c r="BW173" i="1"/>
  <c r="BW172" i="1"/>
  <c r="BW171" i="1"/>
  <c r="BW170" i="1"/>
  <c r="BW169" i="1"/>
  <c r="BW168" i="1"/>
  <c r="BW167" i="1"/>
  <c r="BW166" i="1"/>
  <c r="BW165" i="1"/>
  <c r="BW164" i="1"/>
  <c r="BW163" i="1"/>
  <c r="BW162" i="1"/>
  <c r="BW161" i="1"/>
  <c r="BW160" i="1"/>
  <c r="BW159" i="1"/>
  <c r="BW158" i="1"/>
  <c r="BW157" i="1"/>
  <c r="BW156" i="1"/>
  <c r="BW155" i="1"/>
  <c r="BW154" i="1"/>
  <c r="BW153" i="1"/>
  <c r="BW152" i="1"/>
  <c r="BW151" i="1"/>
  <c r="BW150" i="1"/>
  <c r="BW149" i="1"/>
  <c r="BW148" i="1"/>
  <c r="BW147" i="1"/>
  <c r="BW146" i="1"/>
  <c r="BW145" i="1"/>
  <c r="BW144" i="1"/>
  <c r="BW143" i="1"/>
  <c r="BW142" i="1"/>
  <c r="BW141" i="1"/>
  <c r="BW140" i="1"/>
  <c r="BW139" i="1"/>
  <c r="BW138" i="1"/>
  <c r="BW137" i="1"/>
  <c r="BW136" i="1"/>
  <c r="BW135" i="1"/>
  <c r="BW134" i="1"/>
  <c r="BV244" i="1"/>
  <c r="BV243" i="1"/>
  <c r="BV242" i="1"/>
  <c r="BV241" i="1"/>
  <c r="BV240" i="1"/>
  <c r="BV239" i="1"/>
  <c r="BV238" i="1"/>
  <c r="BV237" i="1"/>
  <c r="BV236" i="1"/>
  <c r="BV235" i="1"/>
  <c r="BV234" i="1"/>
  <c r="BV233" i="1"/>
  <c r="BV232" i="1"/>
  <c r="BV231" i="1"/>
  <c r="BV230" i="1"/>
  <c r="BV229" i="1"/>
  <c r="BV228" i="1"/>
  <c r="BV227" i="1"/>
  <c r="BV226" i="1"/>
  <c r="BV225" i="1"/>
  <c r="BV224" i="1"/>
  <c r="BV223" i="1"/>
  <c r="BV222" i="1"/>
  <c r="BV221" i="1"/>
  <c r="BV220" i="1"/>
  <c r="BV219" i="1"/>
  <c r="BV218" i="1"/>
  <c r="BV217" i="1"/>
  <c r="BV216" i="1"/>
  <c r="BV215" i="1"/>
  <c r="BV214" i="1"/>
  <c r="BV213" i="1"/>
  <c r="BV212" i="1"/>
  <c r="BV211" i="1"/>
  <c r="BV210" i="1"/>
  <c r="BV209" i="1"/>
  <c r="BV208" i="1"/>
  <c r="BV207" i="1"/>
  <c r="BV206" i="1"/>
  <c r="BV205" i="1"/>
  <c r="BV204" i="1"/>
  <c r="BV203" i="1"/>
  <c r="BV202" i="1"/>
  <c r="BV201" i="1"/>
  <c r="BV200" i="1"/>
  <c r="BV199" i="1"/>
  <c r="BV198" i="1"/>
  <c r="BV197" i="1"/>
  <c r="BV196" i="1"/>
  <c r="BV195" i="1"/>
  <c r="BV194" i="1"/>
  <c r="BV193" i="1"/>
  <c r="BV192" i="1"/>
  <c r="BV191" i="1"/>
  <c r="BV190" i="1"/>
  <c r="BV189" i="1"/>
  <c r="BV188" i="1"/>
  <c r="BV187" i="1"/>
  <c r="BV186" i="1"/>
  <c r="BV185" i="1"/>
  <c r="BV184" i="1"/>
  <c r="BV183" i="1"/>
  <c r="BV182" i="1"/>
  <c r="BV181" i="1"/>
  <c r="BV180" i="1"/>
  <c r="BV179" i="1"/>
  <c r="BV178" i="1"/>
  <c r="BV177" i="1"/>
  <c r="BV176" i="1"/>
  <c r="BV175" i="1"/>
  <c r="BV174" i="1"/>
  <c r="BV173" i="1"/>
  <c r="BV172" i="1"/>
  <c r="BV171" i="1"/>
  <c r="BV170" i="1"/>
  <c r="BV169" i="1"/>
  <c r="BV168" i="1"/>
  <c r="BV167" i="1"/>
  <c r="BV166" i="1"/>
  <c r="BV165" i="1"/>
  <c r="BV164" i="1"/>
  <c r="BV163" i="1"/>
  <c r="BV162" i="1"/>
  <c r="BV161" i="1"/>
  <c r="BV160" i="1"/>
  <c r="BV159" i="1"/>
  <c r="BV158" i="1"/>
  <c r="BV157" i="1"/>
  <c r="BV156" i="1"/>
  <c r="BV155" i="1"/>
  <c r="BV154" i="1"/>
  <c r="BV153" i="1"/>
  <c r="BV152" i="1"/>
  <c r="BV151" i="1"/>
  <c r="BV150" i="1"/>
  <c r="BV149" i="1"/>
  <c r="BV148" i="1"/>
  <c r="BV147" i="1"/>
  <c r="BV146" i="1"/>
  <c r="BV145" i="1"/>
  <c r="BV144" i="1"/>
  <c r="BV143" i="1"/>
  <c r="BV142" i="1"/>
  <c r="BV141" i="1"/>
  <c r="BV140" i="1"/>
  <c r="BV139" i="1"/>
  <c r="BV138" i="1"/>
  <c r="BV137" i="1"/>
  <c r="BV136" i="1"/>
  <c r="BV135" i="1"/>
  <c r="BV134" i="1"/>
  <c r="BU244" i="1"/>
  <c r="BU243" i="1"/>
  <c r="BU242" i="1"/>
  <c r="BU241" i="1"/>
  <c r="BU240" i="1"/>
  <c r="BU239" i="1"/>
  <c r="BU238" i="1"/>
  <c r="BU237" i="1"/>
  <c r="BU236" i="1"/>
  <c r="BU235" i="1"/>
  <c r="BU234" i="1"/>
  <c r="BU233" i="1"/>
  <c r="BU232" i="1"/>
  <c r="BU231" i="1"/>
  <c r="BU230" i="1"/>
  <c r="BU229" i="1"/>
  <c r="BU228" i="1"/>
  <c r="BU227" i="1"/>
  <c r="BU226" i="1"/>
  <c r="BU225" i="1"/>
  <c r="BU224" i="1"/>
  <c r="BU223" i="1"/>
  <c r="BU222" i="1"/>
  <c r="BU221" i="1"/>
  <c r="BU220" i="1"/>
  <c r="BU219" i="1"/>
  <c r="BU218" i="1"/>
  <c r="BU217" i="1"/>
  <c r="BU216" i="1"/>
  <c r="BU215" i="1"/>
  <c r="BU214" i="1"/>
  <c r="BU213" i="1"/>
  <c r="BU212" i="1"/>
  <c r="BU211" i="1"/>
  <c r="BU210" i="1"/>
  <c r="BU209" i="1"/>
  <c r="BU208" i="1"/>
  <c r="BU207" i="1"/>
  <c r="BU206" i="1"/>
  <c r="BU205" i="1"/>
  <c r="BU204" i="1"/>
  <c r="BU203" i="1"/>
  <c r="BU202" i="1"/>
  <c r="BU201" i="1"/>
  <c r="BU200" i="1"/>
  <c r="BU199" i="1"/>
  <c r="BU198" i="1"/>
  <c r="BU197" i="1"/>
  <c r="BU196" i="1"/>
  <c r="BU195" i="1"/>
  <c r="BU194" i="1"/>
  <c r="BU193" i="1"/>
  <c r="BU192" i="1"/>
  <c r="BU191" i="1"/>
  <c r="BU190" i="1"/>
  <c r="BU189" i="1"/>
  <c r="BU188" i="1"/>
  <c r="BU187" i="1"/>
  <c r="BU186" i="1"/>
  <c r="BU185" i="1"/>
  <c r="BU184" i="1"/>
  <c r="BU183" i="1"/>
  <c r="BU182" i="1"/>
  <c r="BU181" i="1"/>
  <c r="BU180" i="1"/>
  <c r="BU179" i="1"/>
  <c r="BU178" i="1"/>
  <c r="BU177" i="1"/>
  <c r="BU176" i="1"/>
  <c r="BU175" i="1"/>
  <c r="BU174" i="1"/>
  <c r="BU173" i="1"/>
  <c r="BU172" i="1"/>
  <c r="BU171" i="1"/>
  <c r="BU170" i="1"/>
  <c r="BU169" i="1"/>
  <c r="BU168" i="1"/>
  <c r="BU167" i="1"/>
  <c r="BU166" i="1"/>
  <c r="BU165" i="1"/>
  <c r="BU164" i="1"/>
  <c r="BU163" i="1"/>
  <c r="BU162" i="1"/>
  <c r="BU161" i="1"/>
  <c r="BU160" i="1"/>
  <c r="BU159" i="1"/>
  <c r="BU158" i="1"/>
  <c r="BU157" i="1"/>
  <c r="BU156" i="1"/>
  <c r="BU155" i="1"/>
  <c r="BU154" i="1"/>
  <c r="BU153" i="1"/>
  <c r="BU152" i="1"/>
  <c r="BU151" i="1"/>
  <c r="BU150" i="1"/>
  <c r="BU149" i="1"/>
  <c r="BU148" i="1"/>
  <c r="BU147" i="1"/>
  <c r="BU146" i="1"/>
  <c r="BU145" i="1"/>
  <c r="BU144" i="1"/>
  <c r="BU143" i="1"/>
  <c r="BU142" i="1"/>
  <c r="BU141" i="1"/>
  <c r="BU140" i="1"/>
  <c r="BU139" i="1"/>
  <c r="BU138" i="1"/>
  <c r="BU137" i="1"/>
  <c r="BU136" i="1"/>
  <c r="BU135" i="1"/>
  <c r="BU134" i="1"/>
  <c r="BT244" i="1"/>
  <c r="BT243" i="1"/>
  <c r="BT242" i="1"/>
  <c r="BT241" i="1"/>
  <c r="BT240" i="1"/>
  <c r="BT239" i="1"/>
  <c r="BT238" i="1"/>
  <c r="BT237" i="1"/>
  <c r="BT236" i="1"/>
  <c r="BT235" i="1"/>
  <c r="BT234" i="1"/>
  <c r="BT233" i="1"/>
  <c r="BT232" i="1"/>
  <c r="BT231" i="1"/>
  <c r="BT230" i="1"/>
  <c r="BT229" i="1"/>
  <c r="BT228" i="1"/>
  <c r="BT227" i="1"/>
  <c r="BT226" i="1"/>
  <c r="BT225" i="1"/>
  <c r="BT224" i="1"/>
  <c r="BT223" i="1"/>
  <c r="BT222" i="1"/>
  <c r="BT221" i="1"/>
  <c r="BT220" i="1"/>
  <c r="BT219" i="1"/>
  <c r="BT218" i="1"/>
  <c r="BT217" i="1"/>
  <c r="BT216" i="1"/>
  <c r="BT215" i="1"/>
  <c r="BT214" i="1"/>
  <c r="BT213" i="1"/>
  <c r="BT212" i="1"/>
  <c r="BT211" i="1"/>
  <c r="BT210" i="1"/>
  <c r="BT209" i="1"/>
  <c r="BT208" i="1"/>
  <c r="BT207" i="1"/>
  <c r="BT206" i="1"/>
  <c r="BT205" i="1"/>
  <c r="BT204" i="1"/>
  <c r="BT203" i="1"/>
  <c r="BT202" i="1"/>
  <c r="BT201" i="1"/>
  <c r="BT200" i="1"/>
  <c r="BT199" i="1"/>
  <c r="BT198" i="1"/>
  <c r="BT197" i="1"/>
  <c r="BT196" i="1"/>
  <c r="BT195" i="1"/>
  <c r="BT194" i="1"/>
  <c r="BT193" i="1"/>
  <c r="BT192" i="1"/>
  <c r="BT191" i="1"/>
  <c r="BT190" i="1"/>
  <c r="BT189" i="1"/>
  <c r="BT188" i="1"/>
  <c r="BT187" i="1"/>
  <c r="BT186" i="1"/>
  <c r="BT185" i="1"/>
  <c r="BT184" i="1"/>
  <c r="BT183" i="1"/>
  <c r="BT182" i="1"/>
  <c r="BT181" i="1"/>
  <c r="BT180" i="1"/>
  <c r="BT179" i="1"/>
  <c r="BT178" i="1"/>
  <c r="BT177" i="1"/>
  <c r="BT176" i="1"/>
  <c r="BT175" i="1"/>
  <c r="BT174" i="1"/>
  <c r="BT173" i="1"/>
  <c r="BT172" i="1"/>
  <c r="BT171" i="1"/>
  <c r="BT170" i="1"/>
  <c r="BT169" i="1"/>
  <c r="BT168" i="1"/>
  <c r="BT167" i="1"/>
  <c r="BT166" i="1"/>
  <c r="BT165" i="1"/>
  <c r="BT164" i="1"/>
  <c r="BT163" i="1"/>
  <c r="BT162" i="1"/>
  <c r="BT161" i="1"/>
  <c r="BT160" i="1"/>
  <c r="BT159" i="1"/>
  <c r="BT158" i="1"/>
  <c r="BT157" i="1"/>
  <c r="BT156" i="1"/>
  <c r="BT155" i="1"/>
  <c r="BT154" i="1"/>
  <c r="BT153" i="1"/>
  <c r="BT152" i="1"/>
  <c r="BT151" i="1"/>
  <c r="BT150" i="1"/>
  <c r="BT149" i="1"/>
  <c r="BT148" i="1"/>
  <c r="BT147" i="1"/>
  <c r="BT146" i="1"/>
  <c r="BT145" i="1"/>
  <c r="BT144" i="1"/>
  <c r="BT143" i="1"/>
  <c r="BT142" i="1"/>
  <c r="BT141" i="1"/>
  <c r="BT140" i="1"/>
  <c r="BT139" i="1"/>
  <c r="BT138" i="1"/>
  <c r="BT137" i="1"/>
  <c r="BT136" i="1"/>
  <c r="BT135" i="1"/>
  <c r="BT134" i="1"/>
  <c r="BS244" i="1"/>
  <c r="BS243" i="1"/>
  <c r="BS242" i="1"/>
  <c r="BS241" i="1"/>
  <c r="BS240" i="1"/>
  <c r="BS239" i="1"/>
  <c r="BS238" i="1"/>
  <c r="BS237" i="1"/>
  <c r="BS236" i="1"/>
  <c r="BS235" i="1"/>
  <c r="BS234" i="1"/>
  <c r="BS233" i="1"/>
  <c r="BS232" i="1"/>
  <c r="BS231" i="1"/>
  <c r="BS230" i="1"/>
  <c r="BS229" i="1"/>
  <c r="BS228" i="1"/>
  <c r="BS227" i="1"/>
  <c r="BS226" i="1"/>
  <c r="BS225" i="1"/>
  <c r="BS224" i="1"/>
  <c r="BS223" i="1"/>
  <c r="BS222" i="1"/>
  <c r="BS221" i="1"/>
  <c r="BS220" i="1"/>
  <c r="BS219" i="1"/>
  <c r="BS218" i="1"/>
  <c r="BS217" i="1"/>
  <c r="BS216" i="1"/>
  <c r="BS215" i="1"/>
  <c r="BS214" i="1"/>
  <c r="BS213" i="1"/>
  <c r="BS212" i="1"/>
  <c r="BS211" i="1"/>
  <c r="BS210" i="1"/>
  <c r="BS209" i="1"/>
  <c r="BS208" i="1"/>
  <c r="BS207" i="1"/>
  <c r="BS206" i="1"/>
  <c r="BS205" i="1"/>
  <c r="BS204" i="1"/>
  <c r="BS203" i="1"/>
  <c r="BS202" i="1"/>
  <c r="BS201" i="1"/>
  <c r="BS200" i="1"/>
  <c r="BS199" i="1"/>
  <c r="BS198" i="1"/>
  <c r="BS197" i="1"/>
  <c r="BS196" i="1"/>
  <c r="BS195" i="1"/>
  <c r="BS194" i="1"/>
  <c r="BS193" i="1"/>
  <c r="BS192" i="1"/>
  <c r="BS191" i="1"/>
  <c r="BS190" i="1"/>
  <c r="BS189" i="1"/>
  <c r="BS188" i="1"/>
  <c r="BS187" i="1"/>
  <c r="BS186" i="1"/>
  <c r="BS185" i="1"/>
  <c r="BS184" i="1"/>
  <c r="BS183" i="1"/>
  <c r="BS182" i="1"/>
  <c r="BS181" i="1"/>
  <c r="BS180" i="1"/>
  <c r="BS179" i="1"/>
  <c r="BS178" i="1"/>
  <c r="BS177" i="1"/>
  <c r="BS176" i="1"/>
  <c r="BS175" i="1"/>
  <c r="BS174" i="1"/>
  <c r="BS173" i="1"/>
  <c r="BS172" i="1"/>
  <c r="BS171" i="1"/>
  <c r="BS170" i="1"/>
  <c r="BS169" i="1"/>
  <c r="BS168" i="1"/>
  <c r="BS167" i="1"/>
  <c r="BS166" i="1"/>
  <c r="BS165" i="1"/>
  <c r="BS164" i="1"/>
  <c r="BS163" i="1"/>
  <c r="BS162" i="1"/>
  <c r="BS161" i="1"/>
  <c r="BS160" i="1"/>
  <c r="BS159" i="1"/>
  <c r="BS158" i="1"/>
  <c r="BS157" i="1"/>
  <c r="BS156" i="1"/>
  <c r="BS155" i="1"/>
  <c r="BS154" i="1"/>
  <c r="BS153" i="1"/>
  <c r="BS152" i="1"/>
  <c r="BS151" i="1"/>
  <c r="BS150" i="1"/>
  <c r="BS149" i="1"/>
  <c r="BS148" i="1"/>
  <c r="BS147" i="1"/>
  <c r="BS146" i="1"/>
  <c r="BS145" i="1"/>
  <c r="BS144" i="1"/>
  <c r="BS143" i="1"/>
  <c r="BS142" i="1"/>
  <c r="BS141" i="1"/>
  <c r="BS140" i="1"/>
  <c r="BS139" i="1"/>
  <c r="BS138" i="1"/>
  <c r="BS137" i="1"/>
  <c r="BS136" i="1"/>
  <c r="BS135" i="1"/>
  <c r="BS134" i="1"/>
  <c r="BR244" i="1"/>
  <c r="BR243" i="1"/>
  <c r="BR242" i="1"/>
  <c r="BR241" i="1"/>
  <c r="BR240" i="1"/>
  <c r="BR239" i="1"/>
  <c r="BR238" i="1"/>
  <c r="BR237" i="1"/>
  <c r="BR236" i="1"/>
  <c r="BR235" i="1"/>
  <c r="BR234" i="1"/>
  <c r="BR233" i="1"/>
  <c r="BR232" i="1"/>
  <c r="BR231" i="1"/>
  <c r="BR230" i="1"/>
  <c r="BR229" i="1"/>
  <c r="BR228" i="1"/>
  <c r="BR227" i="1"/>
  <c r="BR226" i="1"/>
  <c r="BR225" i="1"/>
  <c r="BR224" i="1"/>
  <c r="BR223" i="1"/>
  <c r="BR222" i="1"/>
  <c r="BR221" i="1"/>
  <c r="BR220" i="1"/>
  <c r="BR219" i="1"/>
  <c r="BR218" i="1"/>
  <c r="BR217" i="1"/>
  <c r="BR216" i="1"/>
  <c r="BR215" i="1"/>
  <c r="BR214" i="1"/>
  <c r="BR213" i="1"/>
  <c r="BR212" i="1"/>
  <c r="BR211" i="1"/>
  <c r="BR210" i="1"/>
  <c r="BR209" i="1"/>
  <c r="BR208" i="1"/>
  <c r="BR207" i="1"/>
  <c r="BR206" i="1"/>
  <c r="BR205" i="1"/>
  <c r="BR204" i="1"/>
  <c r="BR203" i="1"/>
  <c r="BR202" i="1"/>
  <c r="BR201" i="1"/>
  <c r="BR200" i="1"/>
  <c r="BR199" i="1"/>
  <c r="BR198" i="1"/>
  <c r="BR197" i="1"/>
  <c r="BR196" i="1"/>
  <c r="BR195" i="1"/>
  <c r="BR194" i="1"/>
  <c r="BR193" i="1"/>
  <c r="BR192" i="1"/>
  <c r="BR191" i="1"/>
  <c r="BR190" i="1"/>
  <c r="BR189" i="1"/>
  <c r="BR188" i="1"/>
  <c r="BR187" i="1"/>
  <c r="BR186" i="1"/>
  <c r="BR185" i="1"/>
  <c r="BR184" i="1"/>
  <c r="BR183" i="1"/>
  <c r="BR182" i="1"/>
  <c r="BR181" i="1"/>
  <c r="BR180" i="1"/>
  <c r="BR179" i="1"/>
  <c r="BR178" i="1"/>
  <c r="BR177" i="1"/>
  <c r="BR176" i="1"/>
  <c r="BR175" i="1"/>
  <c r="BR174" i="1"/>
  <c r="BR173" i="1"/>
  <c r="BR172" i="1"/>
  <c r="BR171" i="1"/>
  <c r="BR170" i="1"/>
  <c r="BR169" i="1"/>
  <c r="BR168" i="1"/>
  <c r="BR167" i="1"/>
  <c r="BR166" i="1"/>
  <c r="BR165" i="1"/>
  <c r="BR164" i="1"/>
  <c r="BR163" i="1"/>
  <c r="BR162" i="1"/>
  <c r="BR161" i="1"/>
  <c r="BR160" i="1"/>
  <c r="BR159" i="1"/>
  <c r="BR158" i="1"/>
  <c r="BR157" i="1"/>
  <c r="BR156" i="1"/>
  <c r="BR155" i="1"/>
  <c r="BR154" i="1"/>
  <c r="BR153" i="1"/>
  <c r="BR152" i="1"/>
  <c r="BR151" i="1"/>
  <c r="BR150" i="1"/>
  <c r="BR149" i="1"/>
  <c r="BR148" i="1"/>
  <c r="BR147" i="1"/>
  <c r="BR146" i="1"/>
  <c r="BR145" i="1"/>
  <c r="BR144" i="1"/>
  <c r="BR143" i="1"/>
  <c r="BR142" i="1"/>
  <c r="BR141" i="1"/>
  <c r="BR140" i="1"/>
  <c r="BR139" i="1"/>
  <c r="BR138" i="1"/>
  <c r="BR137" i="1"/>
  <c r="BR136" i="1"/>
  <c r="BR135" i="1"/>
  <c r="BR134" i="1"/>
  <c r="BQ244" i="1"/>
  <c r="BQ243" i="1"/>
  <c r="BQ242" i="1"/>
  <c r="BQ241" i="1"/>
  <c r="BQ240" i="1"/>
  <c r="BQ239" i="1"/>
  <c r="BQ238" i="1"/>
  <c r="BQ237" i="1"/>
  <c r="BQ236" i="1"/>
  <c r="BQ235" i="1"/>
  <c r="BQ234" i="1"/>
  <c r="BQ233" i="1"/>
  <c r="BQ232" i="1"/>
  <c r="BQ231" i="1"/>
  <c r="BQ230" i="1"/>
  <c r="BQ229" i="1"/>
  <c r="BQ228" i="1"/>
  <c r="BQ227" i="1"/>
  <c r="BQ226" i="1"/>
  <c r="BQ225" i="1"/>
  <c r="BQ224" i="1"/>
  <c r="BQ223" i="1"/>
  <c r="BQ222" i="1"/>
  <c r="BQ221" i="1"/>
  <c r="BQ220" i="1"/>
  <c r="BQ219" i="1"/>
  <c r="BQ218" i="1"/>
  <c r="BQ217" i="1"/>
  <c r="BQ216" i="1"/>
  <c r="BQ215" i="1"/>
  <c r="BQ214" i="1"/>
  <c r="BQ213" i="1"/>
  <c r="BQ212" i="1"/>
  <c r="BQ211" i="1"/>
  <c r="BQ210" i="1"/>
  <c r="BQ209" i="1"/>
  <c r="BQ208" i="1"/>
  <c r="BQ207" i="1"/>
  <c r="BQ206" i="1"/>
  <c r="BQ205" i="1"/>
  <c r="BQ204" i="1"/>
  <c r="BQ203" i="1"/>
  <c r="BQ202" i="1"/>
  <c r="BQ201" i="1"/>
  <c r="BQ200" i="1"/>
  <c r="BQ199" i="1"/>
  <c r="BQ198" i="1"/>
  <c r="BQ197" i="1"/>
  <c r="BQ196" i="1"/>
  <c r="BQ195" i="1"/>
  <c r="BQ194" i="1"/>
  <c r="BQ193" i="1"/>
  <c r="BQ192" i="1"/>
  <c r="BQ191" i="1"/>
  <c r="BQ190" i="1"/>
  <c r="BQ189" i="1"/>
  <c r="BQ188" i="1"/>
  <c r="BQ187" i="1"/>
  <c r="BQ186" i="1"/>
  <c r="BQ185" i="1"/>
  <c r="BQ184" i="1"/>
  <c r="BQ183" i="1"/>
  <c r="BQ182" i="1"/>
  <c r="BQ181" i="1"/>
  <c r="BQ180" i="1"/>
  <c r="BQ179" i="1"/>
  <c r="BQ178" i="1"/>
  <c r="BQ177" i="1"/>
  <c r="BQ176" i="1"/>
  <c r="BQ175" i="1"/>
  <c r="BQ174" i="1"/>
  <c r="BQ173" i="1"/>
  <c r="BQ172" i="1"/>
  <c r="BQ171" i="1"/>
  <c r="BQ170" i="1"/>
  <c r="BQ169" i="1"/>
  <c r="BQ168" i="1"/>
  <c r="BQ167" i="1"/>
  <c r="BQ166" i="1"/>
  <c r="BQ165" i="1"/>
  <c r="BQ164" i="1"/>
  <c r="BQ163" i="1"/>
  <c r="BQ162" i="1"/>
  <c r="BQ161" i="1"/>
  <c r="BQ160" i="1"/>
  <c r="BQ159" i="1"/>
  <c r="BQ158" i="1"/>
  <c r="BQ157" i="1"/>
  <c r="BQ156" i="1"/>
  <c r="BQ155" i="1"/>
  <c r="BQ154" i="1"/>
  <c r="BQ153" i="1"/>
  <c r="BQ152" i="1"/>
  <c r="BQ151" i="1"/>
  <c r="BQ150" i="1"/>
  <c r="BQ149" i="1"/>
  <c r="BQ148" i="1"/>
  <c r="BQ147" i="1"/>
  <c r="BQ146" i="1"/>
  <c r="BQ145" i="1"/>
  <c r="BQ144" i="1"/>
  <c r="BQ143" i="1"/>
  <c r="BQ142" i="1"/>
  <c r="BQ141" i="1"/>
  <c r="BQ140" i="1"/>
  <c r="BQ139" i="1"/>
  <c r="BQ138" i="1"/>
  <c r="BQ137" i="1"/>
  <c r="BQ136" i="1"/>
  <c r="BQ135" i="1"/>
  <c r="BQ134" i="1"/>
  <c r="BP244" i="1"/>
  <c r="BP243" i="1"/>
  <c r="BP242" i="1"/>
  <c r="BP241" i="1"/>
  <c r="BP240" i="1"/>
  <c r="BP239" i="1"/>
  <c r="BP238" i="1"/>
  <c r="BP237" i="1"/>
  <c r="BP236" i="1"/>
  <c r="BP235" i="1"/>
  <c r="BP234" i="1"/>
  <c r="BP233" i="1"/>
  <c r="BP232" i="1"/>
  <c r="BP231" i="1"/>
  <c r="BP230" i="1"/>
  <c r="BP229" i="1"/>
  <c r="BP228" i="1"/>
  <c r="BP227" i="1"/>
  <c r="BP226" i="1"/>
  <c r="BP225" i="1"/>
  <c r="BP224" i="1"/>
  <c r="BP223" i="1"/>
  <c r="BP222" i="1"/>
  <c r="BP221" i="1"/>
  <c r="BP220" i="1"/>
  <c r="BP219" i="1"/>
  <c r="BP218" i="1"/>
  <c r="BP217" i="1"/>
  <c r="BP216" i="1"/>
  <c r="BP215" i="1"/>
  <c r="BP214" i="1"/>
  <c r="BP213" i="1"/>
  <c r="BP212" i="1"/>
  <c r="BP211" i="1"/>
  <c r="BP210" i="1"/>
  <c r="BP209" i="1"/>
  <c r="BP208" i="1"/>
  <c r="BP207" i="1"/>
  <c r="BP206" i="1"/>
  <c r="BP205" i="1"/>
  <c r="BP204" i="1"/>
  <c r="BP203" i="1"/>
  <c r="BP202" i="1"/>
  <c r="BP201" i="1"/>
  <c r="BP200" i="1"/>
  <c r="BP199" i="1"/>
  <c r="BP198" i="1"/>
  <c r="BP197" i="1"/>
  <c r="BP196" i="1"/>
  <c r="BP195" i="1"/>
  <c r="BP194" i="1"/>
  <c r="BP193" i="1"/>
  <c r="BP192" i="1"/>
  <c r="BP191" i="1"/>
  <c r="BP190" i="1"/>
  <c r="BP189" i="1"/>
  <c r="BP188" i="1"/>
  <c r="BP187" i="1"/>
  <c r="BP186" i="1"/>
  <c r="BP185" i="1"/>
  <c r="BP184" i="1"/>
  <c r="BP183" i="1"/>
  <c r="BP182" i="1"/>
  <c r="BP181" i="1"/>
  <c r="BP180" i="1"/>
  <c r="BP179" i="1"/>
  <c r="BP178" i="1"/>
  <c r="BP177" i="1"/>
  <c r="BP176" i="1"/>
  <c r="BP175" i="1"/>
  <c r="BP174" i="1"/>
  <c r="BP173" i="1"/>
  <c r="BP172" i="1"/>
  <c r="BP171" i="1"/>
  <c r="BP170" i="1"/>
  <c r="BP169" i="1"/>
  <c r="BP168" i="1"/>
  <c r="BP167" i="1"/>
  <c r="BP166" i="1"/>
  <c r="BP165" i="1"/>
  <c r="BP164" i="1"/>
  <c r="BP163" i="1"/>
  <c r="BP162" i="1"/>
  <c r="BP161" i="1"/>
  <c r="BP160" i="1"/>
  <c r="BP159" i="1"/>
  <c r="BP158" i="1"/>
  <c r="BP157" i="1"/>
  <c r="BP156" i="1"/>
  <c r="BP155" i="1"/>
  <c r="BP154" i="1"/>
  <c r="BP153" i="1"/>
  <c r="BP152" i="1"/>
  <c r="BP151" i="1"/>
  <c r="BP150" i="1"/>
  <c r="BP149" i="1"/>
  <c r="BP148" i="1"/>
  <c r="BP147" i="1"/>
  <c r="BP146" i="1"/>
  <c r="BP145" i="1"/>
  <c r="BP144" i="1"/>
  <c r="BP143" i="1"/>
  <c r="BP142" i="1"/>
  <c r="BP141" i="1"/>
  <c r="BP140" i="1"/>
  <c r="BP139" i="1"/>
  <c r="BP138" i="1"/>
  <c r="BP137" i="1"/>
  <c r="BP136" i="1"/>
  <c r="BP135" i="1"/>
  <c r="BP134" i="1"/>
  <c r="BO244" i="1"/>
  <c r="BO243" i="1"/>
  <c r="BO242" i="1"/>
  <c r="BO241" i="1"/>
  <c r="BO240" i="1"/>
  <c r="BO239" i="1"/>
  <c r="BO238" i="1"/>
  <c r="BO237" i="1"/>
  <c r="BO236" i="1"/>
  <c r="BO235" i="1"/>
  <c r="BO234" i="1"/>
  <c r="BO233" i="1"/>
  <c r="BO232" i="1"/>
  <c r="BO231" i="1"/>
  <c r="BO230" i="1"/>
  <c r="BO229" i="1"/>
  <c r="BO228" i="1"/>
  <c r="BO227" i="1"/>
  <c r="BO226" i="1"/>
  <c r="BO225" i="1"/>
  <c r="BO224" i="1"/>
  <c r="BO223" i="1"/>
  <c r="BO222" i="1"/>
  <c r="BO221" i="1"/>
  <c r="BO220" i="1"/>
  <c r="BO219" i="1"/>
  <c r="BO218" i="1"/>
  <c r="BO217" i="1"/>
  <c r="BO216" i="1"/>
  <c r="BO215" i="1"/>
  <c r="BO214" i="1"/>
  <c r="BO213" i="1"/>
  <c r="BO212" i="1"/>
  <c r="BO211" i="1"/>
  <c r="BO210" i="1"/>
  <c r="BO209" i="1"/>
  <c r="BO208" i="1"/>
  <c r="BO207" i="1"/>
  <c r="BO206" i="1"/>
  <c r="BO205" i="1"/>
  <c r="BO204" i="1"/>
  <c r="BO203" i="1"/>
  <c r="BO202" i="1"/>
  <c r="BO201" i="1"/>
  <c r="BO200" i="1"/>
  <c r="BO199" i="1"/>
  <c r="BO198" i="1"/>
  <c r="BO197" i="1"/>
  <c r="BO196" i="1"/>
  <c r="BO195" i="1"/>
  <c r="BO194" i="1"/>
  <c r="BO193" i="1"/>
  <c r="BO192" i="1"/>
  <c r="BO191" i="1"/>
  <c r="BO190" i="1"/>
  <c r="BO189" i="1"/>
  <c r="BO188" i="1"/>
  <c r="BO187" i="1"/>
  <c r="BO186" i="1"/>
  <c r="BO185" i="1"/>
  <c r="BO184" i="1"/>
  <c r="BO183" i="1"/>
  <c r="BO182" i="1"/>
  <c r="BO181" i="1"/>
  <c r="BO180" i="1"/>
  <c r="BO179" i="1"/>
  <c r="BO178" i="1"/>
  <c r="BO177" i="1"/>
  <c r="BO176" i="1"/>
  <c r="BO175" i="1"/>
  <c r="BO174" i="1"/>
  <c r="BO173" i="1"/>
  <c r="BO172" i="1"/>
  <c r="BO171" i="1"/>
  <c r="BO170" i="1"/>
  <c r="BO169" i="1"/>
  <c r="BO168" i="1"/>
  <c r="BO167" i="1"/>
  <c r="BO166" i="1"/>
  <c r="BO165" i="1"/>
  <c r="BO164" i="1"/>
  <c r="BO163" i="1"/>
  <c r="BO162" i="1"/>
  <c r="BO161" i="1"/>
  <c r="BO160" i="1"/>
  <c r="BO159" i="1"/>
  <c r="BO158" i="1"/>
  <c r="BO157" i="1"/>
  <c r="BO156" i="1"/>
  <c r="BO155" i="1"/>
  <c r="BO154" i="1"/>
  <c r="BO153" i="1"/>
  <c r="BO152" i="1"/>
  <c r="BO151" i="1"/>
  <c r="BO150" i="1"/>
  <c r="BO149" i="1"/>
  <c r="BO148" i="1"/>
  <c r="BO147" i="1"/>
  <c r="BO146" i="1"/>
  <c r="BO145" i="1"/>
  <c r="BO144" i="1"/>
  <c r="BO143" i="1"/>
  <c r="BO142" i="1"/>
  <c r="BO141" i="1"/>
  <c r="BO140" i="1"/>
  <c r="BO139" i="1"/>
  <c r="BO138" i="1"/>
  <c r="BO137" i="1"/>
  <c r="BO136" i="1"/>
  <c r="BO135" i="1"/>
  <c r="BO134" i="1"/>
  <c r="BN244" i="1"/>
  <c r="BN243" i="1"/>
  <c r="BN242" i="1"/>
  <c r="BN241" i="1"/>
  <c r="BN240" i="1"/>
  <c r="BN239" i="1"/>
  <c r="BN238" i="1"/>
  <c r="BN237" i="1"/>
  <c r="BN236" i="1"/>
  <c r="BN235" i="1"/>
  <c r="BN234" i="1"/>
  <c r="BN233" i="1"/>
  <c r="BN232" i="1"/>
  <c r="BN231" i="1"/>
  <c r="BN230" i="1"/>
  <c r="BN229" i="1"/>
  <c r="BN228" i="1"/>
  <c r="BN227" i="1"/>
  <c r="BN226" i="1"/>
  <c r="BN225" i="1"/>
  <c r="BN224" i="1"/>
  <c r="BN223" i="1"/>
  <c r="BN222" i="1"/>
  <c r="BN221" i="1"/>
  <c r="BN220" i="1"/>
  <c r="BN219" i="1"/>
  <c r="BN218" i="1"/>
  <c r="BN217" i="1"/>
  <c r="BN216" i="1"/>
  <c r="BN215" i="1"/>
  <c r="BN214" i="1"/>
  <c r="BN213" i="1"/>
  <c r="BN212" i="1"/>
  <c r="BN211" i="1"/>
  <c r="BN210" i="1"/>
  <c r="BN209" i="1"/>
  <c r="BN208" i="1"/>
  <c r="BN207" i="1"/>
  <c r="BN206" i="1"/>
  <c r="BN205" i="1"/>
  <c r="BN204" i="1"/>
  <c r="BN203" i="1"/>
  <c r="BN202" i="1"/>
  <c r="BN201" i="1"/>
  <c r="BN200" i="1"/>
  <c r="BN199" i="1"/>
  <c r="BN198" i="1"/>
  <c r="BN197" i="1"/>
  <c r="BN196" i="1"/>
  <c r="BN195" i="1"/>
  <c r="BN194" i="1"/>
  <c r="BN193" i="1"/>
  <c r="BN192" i="1"/>
  <c r="BN191" i="1"/>
  <c r="BN190" i="1"/>
  <c r="BN189" i="1"/>
  <c r="BN188" i="1"/>
  <c r="BN187" i="1"/>
  <c r="BN186" i="1"/>
  <c r="BN185" i="1"/>
  <c r="BN184" i="1"/>
  <c r="BN183" i="1"/>
  <c r="BN182" i="1"/>
  <c r="BN181" i="1"/>
  <c r="BN180" i="1"/>
  <c r="BN179" i="1"/>
  <c r="BN178" i="1"/>
  <c r="BN177" i="1"/>
  <c r="BN176" i="1"/>
  <c r="BN175" i="1"/>
  <c r="BN174" i="1"/>
  <c r="BN173" i="1"/>
  <c r="BN172" i="1"/>
  <c r="BN171" i="1"/>
  <c r="BN170" i="1"/>
  <c r="BN169" i="1"/>
  <c r="BN168" i="1"/>
  <c r="BN167" i="1"/>
  <c r="BN166" i="1"/>
  <c r="BN165" i="1"/>
  <c r="BN164" i="1"/>
  <c r="BN163" i="1"/>
  <c r="BN162" i="1"/>
  <c r="BN161" i="1"/>
  <c r="BN160" i="1"/>
  <c r="BN159" i="1"/>
  <c r="BN158" i="1"/>
  <c r="BN157" i="1"/>
  <c r="BN156" i="1"/>
  <c r="BN155" i="1"/>
  <c r="BN154" i="1"/>
  <c r="BN153" i="1"/>
  <c r="BN152" i="1"/>
  <c r="BN151" i="1"/>
  <c r="BN150" i="1"/>
  <c r="BN149" i="1"/>
  <c r="BN148" i="1"/>
  <c r="BN147" i="1"/>
  <c r="BN146" i="1"/>
  <c r="BN145" i="1"/>
  <c r="BN144" i="1"/>
  <c r="BN143" i="1"/>
  <c r="BN142" i="1"/>
  <c r="BN141" i="1"/>
  <c r="BN140" i="1"/>
  <c r="BN139" i="1"/>
  <c r="BN138" i="1"/>
  <c r="BN137" i="1"/>
  <c r="BN136" i="1"/>
  <c r="BN135" i="1"/>
  <c r="BN134" i="1"/>
  <c r="BM244" i="1"/>
  <c r="BM243" i="1"/>
  <c r="BM242" i="1"/>
  <c r="BM241" i="1"/>
  <c r="BM240" i="1"/>
  <c r="BM239" i="1"/>
  <c r="BM238" i="1"/>
  <c r="BM237" i="1"/>
  <c r="BM236" i="1"/>
  <c r="BM235" i="1"/>
  <c r="BM234" i="1"/>
  <c r="BM233" i="1"/>
  <c r="BM232" i="1"/>
  <c r="BM231" i="1"/>
  <c r="BM230" i="1"/>
  <c r="BM229" i="1"/>
  <c r="BM228" i="1"/>
  <c r="BM227" i="1"/>
  <c r="BM226" i="1"/>
  <c r="BM225" i="1"/>
  <c r="BM224" i="1"/>
  <c r="BM223" i="1"/>
  <c r="BM222" i="1"/>
  <c r="BM221" i="1"/>
  <c r="BM220" i="1"/>
  <c r="BM219" i="1"/>
  <c r="BM218" i="1"/>
  <c r="BM217" i="1"/>
  <c r="BM216" i="1"/>
  <c r="BM215" i="1"/>
  <c r="BM214" i="1"/>
  <c r="BM213" i="1"/>
  <c r="BM212" i="1"/>
  <c r="BM211" i="1"/>
  <c r="BM210" i="1"/>
  <c r="BM209" i="1"/>
  <c r="BM208" i="1"/>
  <c r="BM207" i="1"/>
  <c r="BM206" i="1"/>
  <c r="BM205" i="1"/>
  <c r="BM204" i="1"/>
  <c r="BM203" i="1"/>
  <c r="BM202" i="1"/>
  <c r="BM201" i="1"/>
  <c r="BM200" i="1"/>
  <c r="BM199" i="1"/>
  <c r="BM198" i="1"/>
  <c r="BM197" i="1"/>
  <c r="BM196" i="1"/>
  <c r="BM195" i="1"/>
  <c r="BM194" i="1"/>
  <c r="BM193" i="1"/>
  <c r="BM192" i="1"/>
  <c r="BM191" i="1"/>
  <c r="BM190" i="1"/>
  <c r="BM189" i="1"/>
  <c r="BM188" i="1"/>
  <c r="BM187" i="1"/>
  <c r="BM186" i="1"/>
  <c r="BM185" i="1"/>
  <c r="BM184" i="1"/>
  <c r="BM183" i="1"/>
  <c r="BM182" i="1"/>
  <c r="BM181" i="1"/>
  <c r="BM180" i="1"/>
  <c r="BM179" i="1"/>
  <c r="BM178" i="1"/>
  <c r="BM177" i="1"/>
  <c r="BM176" i="1"/>
  <c r="BM175" i="1"/>
  <c r="BM174" i="1"/>
  <c r="BM173" i="1"/>
  <c r="BM172" i="1"/>
  <c r="BM171" i="1"/>
  <c r="BM170" i="1"/>
  <c r="BM169" i="1"/>
  <c r="BM168" i="1"/>
  <c r="BM167" i="1"/>
  <c r="BM166" i="1"/>
  <c r="BM165" i="1"/>
  <c r="BM164" i="1"/>
  <c r="BM163" i="1"/>
  <c r="BM162" i="1"/>
  <c r="BM161" i="1"/>
  <c r="BM160" i="1"/>
  <c r="BM159" i="1"/>
  <c r="BM158" i="1"/>
  <c r="BM157" i="1"/>
  <c r="BM156" i="1"/>
  <c r="BM155" i="1"/>
  <c r="BM154" i="1"/>
  <c r="BM153" i="1"/>
  <c r="BM152" i="1"/>
  <c r="BM151" i="1"/>
  <c r="BM150" i="1"/>
  <c r="BM149" i="1"/>
  <c r="BM148" i="1"/>
  <c r="BM147" i="1"/>
  <c r="BM146" i="1"/>
  <c r="BM145" i="1"/>
  <c r="BM144" i="1"/>
  <c r="BM143" i="1"/>
  <c r="BM142" i="1"/>
  <c r="BM141" i="1"/>
  <c r="BM140" i="1"/>
  <c r="BM139" i="1"/>
  <c r="BM138" i="1"/>
  <c r="BM137" i="1"/>
  <c r="BM136" i="1"/>
  <c r="BM135" i="1"/>
  <c r="BM134" i="1"/>
  <c r="BL244" i="1"/>
  <c r="BL243" i="1"/>
  <c r="BL242" i="1"/>
  <c r="BL241" i="1"/>
  <c r="BL240" i="1"/>
  <c r="BL239" i="1"/>
  <c r="BL238" i="1"/>
  <c r="BL237" i="1"/>
  <c r="BL236" i="1"/>
  <c r="BL235" i="1"/>
  <c r="BL234" i="1"/>
  <c r="BL233" i="1"/>
  <c r="BL232" i="1"/>
  <c r="BL231" i="1"/>
  <c r="BL230" i="1"/>
  <c r="BL229" i="1"/>
  <c r="BL228" i="1"/>
  <c r="BL227" i="1"/>
  <c r="BL226" i="1"/>
  <c r="BL225" i="1"/>
  <c r="BL224" i="1"/>
  <c r="BL223" i="1"/>
  <c r="BL222" i="1"/>
  <c r="BL221" i="1"/>
  <c r="BL220" i="1"/>
  <c r="BL219" i="1"/>
  <c r="BL218" i="1"/>
  <c r="BL217" i="1"/>
  <c r="BL216" i="1"/>
  <c r="BL215" i="1"/>
  <c r="BL214" i="1"/>
  <c r="BL213" i="1"/>
  <c r="BL212" i="1"/>
  <c r="BL211" i="1"/>
  <c r="BL210" i="1"/>
  <c r="BL209" i="1"/>
  <c r="BL208" i="1"/>
  <c r="BL207" i="1"/>
  <c r="BL206" i="1"/>
  <c r="BL205" i="1"/>
  <c r="BL204" i="1"/>
  <c r="BL203" i="1"/>
  <c r="BL202" i="1"/>
  <c r="BL201" i="1"/>
  <c r="BL200" i="1"/>
  <c r="BL199" i="1"/>
  <c r="BL198" i="1"/>
  <c r="BL197" i="1"/>
  <c r="BL196" i="1"/>
  <c r="BL195" i="1"/>
  <c r="BL194" i="1"/>
  <c r="BL193" i="1"/>
  <c r="BL192" i="1"/>
  <c r="BL191" i="1"/>
  <c r="BL190" i="1"/>
  <c r="BL189" i="1"/>
  <c r="BL188" i="1"/>
  <c r="BL187" i="1"/>
  <c r="BL186" i="1"/>
  <c r="BL185" i="1"/>
  <c r="BL184" i="1"/>
  <c r="BL183" i="1"/>
  <c r="BL182" i="1"/>
  <c r="BL181" i="1"/>
  <c r="BL180" i="1"/>
  <c r="BL179" i="1"/>
  <c r="BL178" i="1"/>
  <c r="BL177" i="1"/>
  <c r="BL176" i="1"/>
  <c r="BL175" i="1"/>
  <c r="BL174" i="1"/>
  <c r="BL173" i="1"/>
  <c r="BL172" i="1"/>
  <c r="BL171" i="1"/>
  <c r="BL170" i="1"/>
  <c r="BL169" i="1"/>
  <c r="BL168" i="1"/>
  <c r="BL167" i="1"/>
  <c r="BL166" i="1"/>
  <c r="BL165" i="1"/>
  <c r="BL164" i="1"/>
  <c r="BL163" i="1"/>
  <c r="BL162" i="1"/>
  <c r="BL161" i="1"/>
  <c r="BL160" i="1"/>
  <c r="BL159" i="1"/>
  <c r="BL158" i="1"/>
  <c r="BL157" i="1"/>
  <c r="BL156" i="1"/>
  <c r="BL155" i="1"/>
  <c r="BL154" i="1"/>
  <c r="BL153" i="1"/>
  <c r="BL152" i="1"/>
  <c r="BL151" i="1"/>
  <c r="BL150" i="1"/>
  <c r="BL149" i="1"/>
  <c r="BL148" i="1"/>
  <c r="BL147" i="1"/>
  <c r="BL146" i="1"/>
  <c r="BL145" i="1"/>
  <c r="BL144" i="1"/>
  <c r="BL143" i="1"/>
  <c r="BL142" i="1"/>
  <c r="BL141" i="1"/>
  <c r="BL140" i="1"/>
  <c r="BL139" i="1"/>
  <c r="BL138" i="1"/>
  <c r="BL137" i="1"/>
  <c r="BL136" i="1"/>
  <c r="BL135" i="1"/>
  <c r="BL134" i="1"/>
  <c r="BK244" i="1"/>
  <c r="BK243" i="1"/>
  <c r="BK242" i="1"/>
  <c r="BK241" i="1"/>
  <c r="BK240" i="1"/>
  <c r="BK239" i="1"/>
  <c r="BK238" i="1"/>
  <c r="BK237" i="1"/>
  <c r="BK236" i="1"/>
  <c r="BK235" i="1"/>
  <c r="BK234" i="1"/>
  <c r="BK233" i="1"/>
  <c r="BK232" i="1"/>
  <c r="BK231" i="1"/>
  <c r="BK230" i="1"/>
  <c r="BK229" i="1"/>
  <c r="BK228" i="1"/>
  <c r="BK227" i="1"/>
  <c r="BK226" i="1"/>
  <c r="BK225" i="1"/>
  <c r="BK224" i="1"/>
  <c r="BK223" i="1"/>
  <c r="BK222" i="1"/>
  <c r="BK221" i="1"/>
  <c r="BK220" i="1"/>
  <c r="BK219" i="1"/>
  <c r="BK218" i="1"/>
  <c r="BK217" i="1"/>
  <c r="BK216" i="1"/>
  <c r="BK215" i="1"/>
  <c r="BK214" i="1"/>
  <c r="BK213" i="1"/>
  <c r="BK212" i="1"/>
  <c r="BK211" i="1"/>
  <c r="BK210" i="1"/>
  <c r="BK209" i="1"/>
  <c r="BK208" i="1"/>
  <c r="BK207" i="1"/>
  <c r="BK206" i="1"/>
  <c r="BK205" i="1"/>
  <c r="BK204" i="1"/>
  <c r="BK203" i="1"/>
  <c r="BK202" i="1"/>
  <c r="BK201" i="1"/>
  <c r="BK200" i="1"/>
  <c r="BK199" i="1"/>
  <c r="BK198" i="1"/>
  <c r="BK197" i="1"/>
  <c r="BK196" i="1"/>
  <c r="BK195" i="1"/>
  <c r="BK194" i="1"/>
  <c r="BK193" i="1"/>
  <c r="BK192" i="1"/>
  <c r="BK191" i="1"/>
  <c r="BK190" i="1"/>
  <c r="BK189" i="1"/>
  <c r="BK188" i="1"/>
  <c r="BK187" i="1"/>
  <c r="BK186" i="1"/>
  <c r="BK185" i="1"/>
  <c r="BK184" i="1"/>
  <c r="BK183" i="1"/>
  <c r="BK182" i="1"/>
  <c r="BK181" i="1"/>
  <c r="BK180" i="1"/>
  <c r="BK179" i="1"/>
  <c r="BK178" i="1"/>
  <c r="BK177" i="1"/>
  <c r="BK176" i="1"/>
  <c r="BK175" i="1"/>
  <c r="BK174" i="1"/>
  <c r="BK173" i="1"/>
  <c r="BK172" i="1"/>
  <c r="BK171" i="1"/>
  <c r="BK170" i="1"/>
  <c r="BK169" i="1"/>
  <c r="BK168" i="1"/>
  <c r="BK167" i="1"/>
  <c r="BK166" i="1"/>
  <c r="BK165" i="1"/>
  <c r="BK164" i="1"/>
  <c r="BK163" i="1"/>
  <c r="BK162" i="1"/>
  <c r="BK161" i="1"/>
  <c r="BK160" i="1"/>
  <c r="BK159" i="1"/>
  <c r="BK158" i="1"/>
  <c r="BK157" i="1"/>
  <c r="BK156" i="1"/>
  <c r="BK155" i="1"/>
  <c r="BK154" i="1"/>
  <c r="BK153" i="1"/>
  <c r="BK152" i="1"/>
  <c r="BK151" i="1"/>
  <c r="BK150" i="1"/>
  <c r="BK149" i="1"/>
  <c r="BK148" i="1"/>
  <c r="BK147" i="1"/>
  <c r="BK146" i="1"/>
  <c r="BK145" i="1"/>
  <c r="BK144" i="1"/>
  <c r="BK143" i="1"/>
  <c r="BK142" i="1"/>
  <c r="BK141" i="1"/>
  <c r="BK140" i="1"/>
  <c r="BK139" i="1"/>
  <c r="BK138" i="1"/>
  <c r="BK137" i="1"/>
  <c r="BK136" i="1"/>
  <c r="BK135" i="1"/>
  <c r="BK134" i="1"/>
  <c r="BJ244" i="1"/>
  <c r="BJ243" i="1"/>
  <c r="BJ242" i="1"/>
  <c r="BJ241" i="1"/>
  <c r="BJ240" i="1"/>
  <c r="BJ239" i="1"/>
  <c r="BJ238" i="1"/>
  <c r="BJ237" i="1"/>
  <c r="BJ236" i="1"/>
  <c r="BJ235" i="1"/>
  <c r="BJ234" i="1"/>
  <c r="BJ233" i="1"/>
  <c r="BJ232" i="1"/>
  <c r="BJ231" i="1"/>
  <c r="BJ230" i="1"/>
  <c r="BJ229" i="1"/>
  <c r="BJ228" i="1"/>
  <c r="BJ227" i="1"/>
  <c r="BJ226" i="1"/>
  <c r="BJ225" i="1"/>
  <c r="BJ224" i="1"/>
  <c r="BJ223" i="1"/>
  <c r="BJ222" i="1"/>
  <c r="BJ221" i="1"/>
  <c r="BJ220" i="1"/>
  <c r="BJ219" i="1"/>
  <c r="BJ218" i="1"/>
  <c r="BJ217" i="1"/>
  <c r="BJ216" i="1"/>
  <c r="BJ215" i="1"/>
  <c r="BJ214" i="1"/>
  <c r="BJ213" i="1"/>
  <c r="BJ212" i="1"/>
  <c r="BJ211" i="1"/>
  <c r="BJ210" i="1"/>
  <c r="BJ209" i="1"/>
  <c r="BJ208" i="1"/>
  <c r="BJ207" i="1"/>
  <c r="BJ206" i="1"/>
  <c r="BJ205" i="1"/>
  <c r="BJ204" i="1"/>
  <c r="BJ203" i="1"/>
  <c r="BJ202" i="1"/>
  <c r="BJ201" i="1"/>
  <c r="BJ200" i="1"/>
  <c r="BJ199" i="1"/>
  <c r="BJ198" i="1"/>
  <c r="BJ197" i="1"/>
  <c r="BJ196" i="1"/>
  <c r="BJ195" i="1"/>
  <c r="BJ194" i="1"/>
  <c r="BJ193" i="1"/>
  <c r="BJ192" i="1"/>
  <c r="BJ191" i="1"/>
  <c r="BJ190" i="1"/>
  <c r="BJ189" i="1"/>
  <c r="BJ188" i="1"/>
  <c r="BJ187" i="1"/>
  <c r="BJ186" i="1"/>
  <c r="BJ185" i="1"/>
  <c r="BJ184" i="1"/>
  <c r="BJ183" i="1"/>
  <c r="BJ182" i="1"/>
  <c r="BJ181" i="1"/>
  <c r="BJ180" i="1"/>
  <c r="BJ179" i="1"/>
  <c r="BJ178" i="1"/>
  <c r="BJ177" i="1"/>
  <c r="BJ176" i="1"/>
  <c r="BJ175" i="1"/>
  <c r="BJ174" i="1"/>
  <c r="BJ173" i="1"/>
  <c r="BJ172" i="1"/>
  <c r="BJ171" i="1"/>
  <c r="BJ170" i="1"/>
  <c r="BJ169" i="1"/>
  <c r="BJ168" i="1"/>
  <c r="BJ167" i="1"/>
  <c r="BJ166" i="1"/>
  <c r="BJ165" i="1"/>
  <c r="BJ164" i="1"/>
  <c r="BJ163" i="1"/>
  <c r="BJ162" i="1"/>
  <c r="BJ161" i="1"/>
  <c r="BJ160" i="1"/>
  <c r="BJ159" i="1"/>
  <c r="BJ158" i="1"/>
  <c r="BJ157" i="1"/>
  <c r="BJ156" i="1"/>
  <c r="BJ155" i="1"/>
  <c r="BJ154" i="1"/>
  <c r="BJ153" i="1"/>
  <c r="BJ152" i="1"/>
  <c r="BJ151" i="1"/>
  <c r="BJ150" i="1"/>
  <c r="BJ149" i="1"/>
  <c r="BJ148" i="1"/>
  <c r="BJ147" i="1"/>
  <c r="BJ146" i="1"/>
  <c r="BJ145" i="1"/>
  <c r="BJ144" i="1"/>
  <c r="BJ143" i="1"/>
  <c r="BJ142" i="1"/>
  <c r="BJ141" i="1"/>
  <c r="BJ140" i="1"/>
  <c r="BJ139" i="1"/>
  <c r="BJ138" i="1"/>
  <c r="BJ137" i="1"/>
  <c r="BJ136" i="1"/>
  <c r="BJ135" i="1"/>
  <c r="BJ134" i="1"/>
  <c r="BI244" i="1"/>
  <c r="BI243" i="1"/>
  <c r="BI242" i="1"/>
  <c r="BI241" i="1"/>
  <c r="BI240" i="1"/>
  <c r="BI239" i="1"/>
  <c r="BI238" i="1"/>
  <c r="BI237" i="1"/>
  <c r="BI236" i="1"/>
  <c r="BI235" i="1"/>
  <c r="BI234" i="1"/>
  <c r="BI233" i="1"/>
  <c r="BI232" i="1"/>
  <c r="BI231" i="1"/>
  <c r="BI230" i="1"/>
  <c r="BI229" i="1"/>
  <c r="BI228" i="1"/>
  <c r="BI227" i="1"/>
  <c r="BI226" i="1"/>
  <c r="BI225" i="1"/>
  <c r="BI224" i="1"/>
  <c r="BI223" i="1"/>
  <c r="BI222" i="1"/>
  <c r="BI221" i="1"/>
  <c r="BI220" i="1"/>
  <c r="BI219" i="1"/>
  <c r="BI218" i="1"/>
  <c r="BI217" i="1"/>
  <c r="BI216" i="1"/>
  <c r="BI215" i="1"/>
  <c r="BI214" i="1"/>
  <c r="BI213" i="1"/>
  <c r="BI212" i="1"/>
  <c r="BI211" i="1"/>
  <c r="BI210" i="1"/>
  <c r="BI209" i="1"/>
  <c r="BI208" i="1"/>
  <c r="BI207" i="1"/>
  <c r="BI206" i="1"/>
  <c r="BI205" i="1"/>
  <c r="BI204" i="1"/>
  <c r="BI203" i="1"/>
  <c r="BI202" i="1"/>
  <c r="BI201" i="1"/>
  <c r="BI200" i="1"/>
  <c r="BI199" i="1"/>
  <c r="BI198" i="1"/>
  <c r="BI197" i="1"/>
  <c r="BI196" i="1"/>
  <c r="BI195" i="1"/>
  <c r="BI194" i="1"/>
  <c r="BI193" i="1"/>
  <c r="BI192" i="1"/>
  <c r="BI191" i="1"/>
  <c r="BI190" i="1"/>
  <c r="BI189" i="1"/>
  <c r="BI188" i="1"/>
  <c r="BI187" i="1"/>
  <c r="BI186" i="1"/>
  <c r="BI185" i="1"/>
  <c r="BI184" i="1"/>
  <c r="BI183" i="1"/>
  <c r="BI182" i="1"/>
  <c r="BI181" i="1"/>
  <c r="BI180" i="1"/>
  <c r="BI179" i="1"/>
  <c r="BI178" i="1"/>
  <c r="BI177" i="1"/>
  <c r="BI176" i="1"/>
  <c r="BI175" i="1"/>
  <c r="BI174" i="1"/>
  <c r="BI173" i="1"/>
  <c r="BI172" i="1"/>
  <c r="BI171" i="1"/>
  <c r="BI170" i="1"/>
  <c r="BI169" i="1"/>
  <c r="BI168" i="1"/>
  <c r="BI167" i="1"/>
  <c r="BI166" i="1"/>
  <c r="BI165" i="1"/>
  <c r="BI164" i="1"/>
  <c r="BI163" i="1"/>
  <c r="BI162" i="1"/>
  <c r="BI161" i="1"/>
  <c r="BI160" i="1"/>
  <c r="BI159" i="1"/>
  <c r="BI158" i="1"/>
  <c r="BI157" i="1"/>
  <c r="BI156" i="1"/>
  <c r="BI155" i="1"/>
  <c r="BI154" i="1"/>
  <c r="BI153" i="1"/>
  <c r="BI152" i="1"/>
  <c r="BI151" i="1"/>
  <c r="BI150" i="1"/>
  <c r="BI149" i="1"/>
  <c r="BI148" i="1"/>
  <c r="BI147" i="1"/>
  <c r="BI146" i="1"/>
  <c r="BI145" i="1"/>
  <c r="BI144" i="1"/>
  <c r="BI143" i="1"/>
  <c r="BI142" i="1"/>
  <c r="BI141" i="1"/>
  <c r="BI140" i="1"/>
  <c r="BI139" i="1"/>
  <c r="BI138" i="1"/>
  <c r="BI137" i="1"/>
  <c r="BI136" i="1"/>
  <c r="BI135" i="1"/>
  <c r="BI134" i="1"/>
  <c r="BH244" i="1"/>
  <c r="BH243" i="1"/>
  <c r="BH242" i="1"/>
  <c r="BH241" i="1"/>
  <c r="BH240" i="1"/>
  <c r="BH239" i="1"/>
  <c r="BH238" i="1"/>
  <c r="BH237" i="1"/>
  <c r="BH236" i="1"/>
  <c r="BH235" i="1"/>
  <c r="BH234" i="1"/>
  <c r="BH233" i="1"/>
  <c r="BH232" i="1"/>
  <c r="BH231" i="1"/>
  <c r="BH230" i="1"/>
  <c r="BH229" i="1"/>
  <c r="BH228" i="1"/>
  <c r="BH227" i="1"/>
  <c r="BH226" i="1"/>
  <c r="BH225" i="1"/>
  <c r="BH224" i="1"/>
  <c r="BH223" i="1"/>
  <c r="BH222" i="1"/>
  <c r="BH221" i="1"/>
  <c r="BH220" i="1"/>
  <c r="BH219" i="1"/>
  <c r="BH218" i="1"/>
  <c r="BH217" i="1"/>
  <c r="BH216" i="1"/>
  <c r="BH215" i="1"/>
  <c r="BH214" i="1"/>
  <c r="BH213" i="1"/>
  <c r="BH212" i="1"/>
  <c r="BH211" i="1"/>
  <c r="BH210" i="1"/>
  <c r="BH209" i="1"/>
  <c r="BH208" i="1"/>
  <c r="BH207" i="1"/>
  <c r="BH206" i="1"/>
  <c r="BH205" i="1"/>
  <c r="BH204" i="1"/>
  <c r="BH203" i="1"/>
  <c r="BH202" i="1"/>
  <c r="BH201" i="1"/>
  <c r="BH200" i="1"/>
  <c r="BH199" i="1"/>
  <c r="BH198" i="1"/>
  <c r="BH197" i="1"/>
  <c r="BH196" i="1"/>
  <c r="BH195" i="1"/>
  <c r="BH194" i="1"/>
  <c r="BH193" i="1"/>
  <c r="BH192" i="1"/>
  <c r="BH191" i="1"/>
  <c r="BH190" i="1"/>
  <c r="BH189" i="1"/>
  <c r="BH188" i="1"/>
  <c r="BH187" i="1"/>
  <c r="BH186" i="1"/>
  <c r="BH185" i="1"/>
  <c r="BH184" i="1"/>
  <c r="BH183" i="1"/>
  <c r="BH182" i="1"/>
  <c r="BH181" i="1"/>
  <c r="BH180" i="1"/>
  <c r="BH179" i="1"/>
  <c r="BH178" i="1"/>
  <c r="BH177" i="1"/>
  <c r="BH176" i="1"/>
  <c r="BH175" i="1"/>
  <c r="BH174" i="1"/>
  <c r="BH173" i="1"/>
  <c r="BH172" i="1"/>
  <c r="BH171" i="1"/>
  <c r="BH170" i="1"/>
  <c r="BH169" i="1"/>
  <c r="BH168" i="1"/>
  <c r="BH167" i="1"/>
  <c r="BH166" i="1"/>
  <c r="BH165" i="1"/>
  <c r="BH164" i="1"/>
  <c r="BH163" i="1"/>
  <c r="BH162" i="1"/>
  <c r="BH161" i="1"/>
  <c r="BH160" i="1"/>
  <c r="BH159" i="1"/>
  <c r="BH158" i="1"/>
  <c r="BH157" i="1"/>
  <c r="BH156" i="1"/>
  <c r="BH155" i="1"/>
  <c r="BH154" i="1"/>
  <c r="BH153" i="1"/>
  <c r="BH152" i="1"/>
  <c r="BH151" i="1"/>
  <c r="BH150" i="1"/>
  <c r="BH149" i="1"/>
  <c r="BH148" i="1"/>
  <c r="BH147" i="1"/>
  <c r="BH146" i="1"/>
  <c r="BH145" i="1"/>
  <c r="BH144" i="1"/>
  <c r="BH143" i="1"/>
  <c r="BH142" i="1"/>
  <c r="BH141" i="1"/>
  <c r="BH140" i="1"/>
  <c r="BH139" i="1"/>
  <c r="BH138" i="1"/>
  <c r="BH137" i="1"/>
  <c r="BH136" i="1"/>
  <c r="BH135" i="1"/>
  <c r="BH134" i="1"/>
  <c r="BG244" i="1"/>
  <c r="BG243" i="1"/>
  <c r="BG242" i="1"/>
  <c r="BG241" i="1"/>
  <c r="BG240" i="1"/>
  <c r="BG239" i="1"/>
  <c r="BG238" i="1"/>
  <c r="BG237" i="1"/>
  <c r="BG236" i="1"/>
  <c r="BG235" i="1"/>
  <c r="BG234" i="1"/>
  <c r="BG233" i="1"/>
  <c r="BG232" i="1"/>
  <c r="BG231" i="1"/>
  <c r="BG230" i="1"/>
  <c r="BG229" i="1"/>
  <c r="BG228" i="1"/>
  <c r="BG227" i="1"/>
  <c r="BG226" i="1"/>
  <c r="BG225" i="1"/>
  <c r="BG224" i="1"/>
  <c r="BG223" i="1"/>
  <c r="BG222" i="1"/>
  <c r="BG221" i="1"/>
  <c r="BG220" i="1"/>
  <c r="BG219" i="1"/>
  <c r="BG218" i="1"/>
  <c r="BG217" i="1"/>
  <c r="BG216" i="1"/>
  <c r="BG215" i="1"/>
  <c r="BG214" i="1"/>
  <c r="BG213" i="1"/>
  <c r="BG212" i="1"/>
  <c r="BG211" i="1"/>
  <c r="BG210" i="1"/>
  <c r="BG209" i="1"/>
  <c r="BG208" i="1"/>
  <c r="BG207" i="1"/>
  <c r="BG206" i="1"/>
  <c r="BG205" i="1"/>
  <c r="BG204" i="1"/>
  <c r="BG203" i="1"/>
  <c r="BG202" i="1"/>
  <c r="BG201" i="1"/>
  <c r="BG200" i="1"/>
  <c r="BG199" i="1"/>
  <c r="BG198" i="1"/>
  <c r="BG197" i="1"/>
  <c r="BG196" i="1"/>
  <c r="BG195" i="1"/>
  <c r="BG194" i="1"/>
  <c r="BG193" i="1"/>
  <c r="BG192" i="1"/>
  <c r="BG191" i="1"/>
  <c r="BG190" i="1"/>
  <c r="BG189" i="1"/>
  <c r="BG188" i="1"/>
  <c r="BG187" i="1"/>
  <c r="BG186" i="1"/>
  <c r="BG185" i="1"/>
  <c r="BG184" i="1"/>
  <c r="BG183" i="1"/>
  <c r="BG182" i="1"/>
  <c r="BG181" i="1"/>
  <c r="BG180" i="1"/>
  <c r="BG179" i="1"/>
  <c r="BG178" i="1"/>
  <c r="BG177" i="1"/>
  <c r="BG176" i="1"/>
  <c r="BG175" i="1"/>
  <c r="BG174" i="1"/>
  <c r="BG173" i="1"/>
  <c r="BG172" i="1"/>
  <c r="BG171" i="1"/>
  <c r="BG170" i="1"/>
  <c r="BG169" i="1"/>
  <c r="BG168" i="1"/>
  <c r="BG167" i="1"/>
  <c r="BG166" i="1"/>
  <c r="BG165" i="1"/>
  <c r="BG164" i="1"/>
  <c r="BG163" i="1"/>
  <c r="BG162" i="1"/>
  <c r="BG161" i="1"/>
  <c r="BG160" i="1"/>
  <c r="BG159" i="1"/>
  <c r="BG158" i="1"/>
  <c r="BG157" i="1"/>
  <c r="BG156" i="1"/>
  <c r="BG155" i="1"/>
  <c r="BG154" i="1"/>
  <c r="BG153" i="1"/>
  <c r="BG152" i="1"/>
  <c r="BG151" i="1"/>
  <c r="BG150" i="1"/>
  <c r="BG149" i="1"/>
  <c r="BG148" i="1"/>
  <c r="BG147" i="1"/>
  <c r="BG146" i="1"/>
  <c r="BG145" i="1"/>
  <c r="BG144" i="1"/>
  <c r="BG143" i="1"/>
  <c r="BG142" i="1"/>
  <c r="BG141" i="1"/>
  <c r="BG140" i="1"/>
  <c r="BG139" i="1"/>
  <c r="BG138" i="1"/>
  <c r="BG137" i="1"/>
  <c r="BG136" i="1"/>
  <c r="BG135" i="1"/>
  <c r="BG134" i="1"/>
  <c r="BF244" i="1"/>
  <c r="BF243" i="1"/>
  <c r="BF242" i="1"/>
  <c r="BF241" i="1"/>
  <c r="BF240" i="1"/>
  <c r="BF239" i="1"/>
  <c r="BF238" i="1"/>
  <c r="BF237" i="1"/>
  <c r="BF236" i="1"/>
  <c r="BF235" i="1"/>
  <c r="BF234" i="1"/>
  <c r="BF233" i="1"/>
  <c r="BF232" i="1"/>
  <c r="BF231" i="1"/>
  <c r="BF230" i="1"/>
  <c r="BF229" i="1"/>
  <c r="BF228" i="1"/>
  <c r="BF227" i="1"/>
  <c r="BF226" i="1"/>
  <c r="BF225" i="1"/>
  <c r="BF224" i="1"/>
  <c r="BF223" i="1"/>
  <c r="BF222" i="1"/>
  <c r="BF221" i="1"/>
  <c r="BF220" i="1"/>
  <c r="BF219" i="1"/>
  <c r="BF218" i="1"/>
  <c r="BF217" i="1"/>
  <c r="BF216" i="1"/>
  <c r="BF215" i="1"/>
  <c r="BF214" i="1"/>
  <c r="BF213" i="1"/>
  <c r="BF212" i="1"/>
  <c r="BF211" i="1"/>
  <c r="BF210" i="1"/>
  <c r="BF209" i="1"/>
  <c r="BF208" i="1"/>
  <c r="BF207" i="1"/>
  <c r="BF206" i="1"/>
  <c r="BF205" i="1"/>
  <c r="BF204" i="1"/>
  <c r="BF203" i="1"/>
  <c r="BF202" i="1"/>
  <c r="BF201" i="1"/>
  <c r="BF200" i="1"/>
  <c r="BF199" i="1"/>
  <c r="BF198" i="1"/>
  <c r="BF197" i="1"/>
  <c r="BF196" i="1"/>
  <c r="BF195" i="1"/>
  <c r="BF194" i="1"/>
  <c r="BF193" i="1"/>
  <c r="BF192" i="1"/>
  <c r="BF191" i="1"/>
  <c r="BF190" i="1"/>
  <c r="BF189" i="1"/>
  <c r="BF188" i="1"/>
  <c r="BF187" i="1"/>
  <c r="BF186" i="1"/>
  <c r="BF185" i="1"/>
  <c r="BF184" i="1"/>
  <c r="BF183" i="1"/>
  <c r="BF182" i="1"/>
  <c r="BF181" i="1"/>
  <c r="BF180" i="1"/>
  <c r="BF179" i="1"/>
  <c r="BF178" i="1"/>
  <c r="BF177" i="1"/>
  <c r="BF176" i="1"/>
  <c r="BF175" i="1"/>
  <c r="BF174" i="1"/>
  <c r="BF173" i="1"/>
  <c r="BF172" i="1"/>
  <c r="BF171" i="1"/>
  <c r="BF170" i="1"/>
  <c r="BF169" i="1"/>
  <c r="BF168" i="1"/>
  <c r="BF167" i="1"/>
  <c r="BF166" i="1"/>
  <c r="BF165" i="1"/>
  <c r="BF164" i="1"/>
  <c r="BF163" i="1"/>
  <c r="BF162" i="1"/>
  <c r="BF161" i="1"/>
  <c r="BF160" i="1"/>
  <c r="BF159" i="1"/>
  <c r="BF158" i="1"/>
  <c r="BF157" i="1"/>
  <c r="BF156" i="1"/>
  <c r="BF155" i="1"/>
  <c r="BF154" i="1"/>
  <c r="BF153" i="1"/>
  <c r="BF152" i="1"/>
  <c r="BF151" i="1"/>
  <c r="BF150" i="1"/>
  <c r="BF149" i="1"/>
  <c r="BF148" i="1"/>
  <c r="BF147" i="1"/>
  <c r="BF146" i="1"/>
  <c r="BF145" i="1"/>
  <c r="BF144" i="1"/>
  <c r="BF143" i="1"/>
  <c r="BF142" i="1"/>
  <c r="BF141" i="1"/>
  <c r="BF140" i="1"/>
  <c r="BF139" i="1"/>
  <c r="BF138" i="1"/>
  <c r="BF137" i="1"/>
  <c r="BF136" i="1"/>
  <c r="BF135" i="1"/>
  <c r="BF134" i="1"/>
  <c r="BE244" i="1"/>
  <c r="BE243" i="1"/>
  <c r="BE242" i="1"/>
  <c r="BE241" i="1"/>
  <c r="BE240" i="1"/>
  <c r="BE239" i="1"/>
  <c r="BE238" i="1"/>
  <c r="BE237" i="1"/>
  <c r="BE236" i="1"/>
  <c r="BE235" i="1"/>
  <c r="BE234" i="1"/>
  <c r="BE233" i="1"/>
  <c r="BE232" i="1"/>
  <c r="BE231" i="1"/>
  <c r="BE230" i="1"/>
  <c r="BE229" i="1"/>
  <c r="BE228" i="1"/>
  <c r="BE227" i="1"/>
  <c r="BE226" i="1"/>
  <c r="BE225" i="1"/>
  <c r="BE224" i="1"/>
  <c r="BE223" i="1"/>
  <c r="BE222" i="1"/>
  <c r="BE221" i="1"/>
  <c r="BE220" i="1"/>
  <c r="BE219" i="1"/>
  <c r="BE218" i="1"/>
  <c r="BE217" i="1"/>
  <c r="BE216" i="1"/>
  <c r="BE215" i="1"/>
  <c r="BE214" i="1"/>
  <c r="BE213" i="1"/>
  <c r="BE212" i="1"/>
  <c r="BE211" i="1"/>
  <c r="BE210" i="1"/>
  <c r="BE209" i="1"/>
  <c r="BE208" i="1"/>
  <c r="BE207" i="1"/>
  <c r="BE206" i="1"/>
  <c r="BE205" i="1"/>
  <c r="BE204" i="1"/>
  <c r="BE203" i="1"/>
  <c r="BE202" i="1"/>
  <c r="BE201" i="1"/>
  <c r="BE200" i="1"/>
  <c r="BE199" i="1"/>
  <c r="BE198" i="1"/>
  <c r="BE197" i="1"/>
  <c r="BE196" i="1"/>
  <c r="BE195" i="1"/>
  <c r="BE194" i="1"/>
  <c r="BE193" i="1"/>
  <c r="BE192" i="1"/>
  <c r="BE191" i="1"/>
  <c r="BE190" i="1"/>
  <c r="BE189" i="1"/>
  <c r="BE188" i="1"/>
  <c r="BE187" i="1"/>
  <c r="BE186" i="1"/>
  <c r="BE185" i="1"/>
  <c r="BE184" i="1"/>
  <c r="BE183" i="1"/>
  <c r="BE182" i="1"/>
  <c r="BE181" i="1"/>
  <c r="BE180" i="1"/>
  <c r="BE179" i="1"/>
  <c r="BE178" i="1"/>
  <c r="BE177" i="1"/>
  <c r="BE176" i="1"/>
  <c r="BE175" i="1"/>
  <c r="BE174" i="1"/>
  <c r="BE173" i="1"/>
  <c r="BE172" i="1"/>
  <c r="BE171" i="1"/>
  <c r="BE170" i="1"/>
  <c r="BE169" i="1"/>
  <c r="BE168" i="1"/>
  <c r="BE167" i="1"/>
  <c r="BE166" i="1"/>
  <c r="BE165" i="1"/>
  <c r="BE164" i="1"/>
  <c r="BE163" i="1"/>
  <c r="BE162" i="1"/>
  <c r="BE161" i="1"/>
  <c r="BE160" i="1"/>
  <c r="BE159" i="1"/>
  <c r="BE158" i="1"/>
  <c r="BE157" i="1"/>
  <c r="BE156" i="1"/>
  <c r="BE155" i="1"/>
  <c r="BE154" i="1"/>
  <c r="BE153" i="1"/>
  <c r="BE152" i="1"/>
  <c r="BE151" i="1"/>
  <c r="BE150" i="1"/>
  <c r="BE149" i="1"/>
  <c r="BE148" i="1"/>
  <c r="BE147" i="1"/>
  <c r="BE146" i="1"/>
  <c r="BE145" i="1"/>
  <c r="BE144" i="1"/>
  <c r="BE143" i="1"/>
  <c r="BE142" i="1"/>
  <c r="BE141" i="1"/>
  <c r="BE140" i="1"/>
  <c r="BE139" i="1"/>
  <c r="BE138" i="1"/>
  <c r="BE137" i="1"/>
  <c r="BE136" i="1"/>
  <c r="BE135" i="1"/>
  <c r="BE134" i="1"/>
  <c r="BD244" i="1"/>
  <c r="BD243" i="1"/>
  <c r="BD242" i="1"/>
  <c r="BD241" i="1"/>
  <c r="BD240" i="1"/>
  <c r="BD239" i="1"/>
  <c r="BD238" i="1"/>
  <c r="BD237" i="1"/>
  <c r="BD236" i="1"/>
  <c r="BD235" i="1"/>
  <c r="BD234" i="1"/>
  <c r="BD233" i="1"/>
  <c r="BD232" i="1"/>
  <c r="BD231" i="1"/>
  <c r="BD230" i="1"/>
  <c r="BD229" i="1"/>
  <c r="BD228" i="1"/>
  <c r="BD227" i="1"/>
  <c r="BD226" i="1"/>
  <c r="BD225" i="1"/>
  <c r="BD224" i="1"/>
  <c r="BD223" i="1"/>
  <c r="BD222" i="1"/>
  <c r="BD221" i="1"/>
  <c r="BD220" i="1"/>
  <c r="BD219" i="1"/>
  <c r="BD218" i="1"/>
  <c r="BD217" i="1"/>
  <c r="BD216" i="1"/>
  <c r="BD215" i="1"/>
  <c r="BD214" i="1"/>
  <c r="BD213" i="1"/>
  <c r="BD212" i="1"/>
  <c r="BD211" i="1"/>
  <c r="BD210" i="1"/>
  <c r="BD209" i="1"/>
  <c r="BD208" i="1"/>
  <c r="BD207" i="1"/>
  <c r="BD206" i="1"/>
  <c r="BD205" i="1"/>
  <c r="BD204" i="1"/>
  <c r="BD203" i="1"/>
  <c r="BD202" i="1"/>
  <c r="BD201" i="1"/>
  <c r="BD200" i="1"/>
  <c r="BD199" i="1"/>
  <c r="BD198" i="1"/>
  <c r="BD197" i="1"/>
  <c r="BD196" i="1"/>
  <c r="BD195" i="1"/>
  <c r="BD194" i="1"/>
  <c r="BD193" i="1"/>
  <c r="BD192" i="1"/>
  <c r="BD191" i="1"/>
  <c r="BD190" i="1"/>
  <c r="BD189" i="1"/>
  <c r="BD188" i="1"/>
  <c r="BD187" i="1"/>
  <c r="BD186" i="1"/>
  <c r="BD185" i="1"/>
  <c r="BD184" i="1"/>
  <c r="BD183" i="1"/>
  <c r="BD182" i="1"/>
  <c r="BD181" i="1"/>
  <c r="BD180" i="1"/>
  <c r="BD179" i="1"/>
  <c r="BD178" i="1"/>
  <c r="BD177" i="1"/>
  <c r="BD176" i="1"/>
  <c r="BD175" i="1"/>
  <c r="BD174" i="1"/>
  <c r="BD173" i="1"/>
  <c r="BD172" i="1"/>
  <c r="BD171" i="1"/>
  <c r="BD170" i="1"/>
  <c r="BD169" i="1"/>
  <c r="BD168" i="1"/>
  <c r="BD167" i="1"/>
  <c r="BD166" i="1"/>
  <c r="BD165" i="1"/>
  <c r="BD164" i="1"/>
  <c r="BD163" i="1"/>
  <c r="BD162" i="1"/>
  <c r="BD161" i="1"/>
  <c r="BD160" i="1"/>
  <c r="BD159" i="1"/>
  <c r="BD158" i="1"/>
  <c r="BD157" i="1"/>
  <c r="BD156" i="1"/>
  <c r="BD155" i="1"/>
  <c r="BD154" i="1"/>
  <c r="BD153" i="1"/>
  <c r="BD152" i="1"/>
  <c r="BD151" i="1"/>
  <c r="BD150" i="1"/>
  <c r="BD149" i="1"/>
  <c r="BD148" i="1"/>
  <c r="BD147" i="1"/>
  <c r="BD146" i="1"/>
  <c r="BD145" i="1"/>
  <c r="BD144" i="1"/>
  <c r="BD143" i="1"/>
  <c r="BD142" i="1"/>
  <c r="BD141" i="1"/>
  <c r="BD140" i="1"/>
  <c r="BD139" i="1"/>
  <c r="BD138" i="1"/>
  <c r="BD137" i="1"/>
  <c r="BD136" i="1"/>
  <c r="BD135" i="1"/>
  <c r="BD134" i="1"/>
  <c r="BC244" i="1"/>
  <c r="BC243" i="1"/>
  <c r="BC242" i="1"/>
  <c r="BC241" i="1"/>
  <c r="BC240" i="1"/>
  <c r="BC239" i="1"/>
  <c r="BC238" i="1"/>
  <c r="BC237" i="1"/>
  <c r="BC236" i="1"/>
  <c r="BC235" i="1"/>
  <c r="BC234" i="1"/>
  <c r="BC233" i="1"/>
  <c r="BC232" i="1"/>
  <c r="BC231" i="1"/>
  <c r="BC230" i="1"/>
  <c r="BC229" i="1"/>
  <c r="BC228" i="1"/>
  <c r="BC227" i="1"/>
  <c r="BC226" i="1"/>
  <c r="BC225" i="1"/>
  <c r="BC224" i="1"/>
  <c r="BC223" i="1"/>
  <c r="BC222" i="1"/>
  <c r="BC221" i="1"/>
  <c r="BC220" i="1"/>
  <c r="BC219" i="1"/>
  <c r="BC218" i="1"/>
  <c r="BC217" i="1"/>
  <c r="BC216" i="1"/>
  <c r="BC215" i="1"/>
  <c r="BC214" i="1"/>
  <c r="BC213" i="1"/>
  <c r="BC212" i="1"/>
  <c r="BC211" i="1"/>
  <c r="BC210" i="1"/>
  <c r="BC209" i="1"/>
  <c r="BC208" i="1"/>
  <c r="BC207" i="1"/>
  <c r="BC206" i="1"/>
  <c r="BC205" i="1"/>
  <c r="BC204" i="1"/>
  <c r="BC203" i="1"/>
  <c r="BC202" i="1"/>
  <c r="BC201" i="1"/>
  <c r="BC200" i="1"/>
  <c r="BC199" i="1"/>
  <c r="BC198" i="1"/>
  <c r="BC197" i="1"/>
  <c r="BC196" i="1"/>
  <c r="BC195" i="1"/>
  <c r="BC194" i="1"/>
  <c r="BC193" i="1"/>
  <c r="BC192" i="1"/>
  <c r="BC191" i="1"/>
  <c r="BC190" i="1"/>
  <c r="BC189" i="1"/>
  <c r="BC188" i="1"/>
  <c r="BC187" i="1"/>
  <c r="BC186" i="1"/>
  <c r="BC185" i="1"/>
  <c r="BC184" i="1"/>
  <c r="BC183" i="1"/>
  <c r="BC182" i="1"/>
  <c r="BC181" i="1"/>
  <c r="BC180" i="1"/>
  <c r="BC179" i="1"/>
  <c r="BC178" i="1"/>
  <c r="BC177" i="1"/>
  <c r="BC176" i="1"/>
  <c r="BC175" i="1"/>
  <c r="BC174" i="1"/>
  <c r="BC173" i="1"/>
  <c r="BC172" i="1"/>
  <c r="BC171" i="1"/>
  <c r="BC170" i="1"/>
  <c r="BC169" i="1"/>
  <c r="BC168" i="1"/>
  <c r="BC167" i="1"/>
  <c r="BC166" i="1"/>
  <c r="BC165" i="1"/>
  <c r="BC164" i="1"/>
  <c r="BC163" i="1"/>
  <c r="BC162" i="1"/>
  <c r="BC161" i="1"/>
  <c r="BC160" i="1"/>
  <c r="BC159" i="1"/>
  <c r="BC158" i="1"/>
  <c r="BC157" i="1"/>
  <c r="BC156" i="1"/>
  <c r="BC155" i="1"/>
  <c r="BC154" i="1"/>
  <c r="BC153" i="1"/>
  <c r="BC152" i="1"/>
  <c r="BC151" i="1"/>
  <c r="BC150" i="1"/>
  <c r="BC149" i="1"/>
  <c r="BC148" i="1"/>
  <c r="BC147" i="1"/>
  <c r="BC146" i="1"/>
  <c r="BC145" i="1"/>
  <c r="BC144" i="1"/>
  <c r="BC143" i="1"/>
  <c r="BC142" i="1"/>
  <c r="BC141" i="1"/>
  <c r="BC140" i="1"/>
  <c r="BC139" i="1"/>
  <c r="BC138" i="1"/>
  <c r="BC137" i="1"/>
  <c r="BC136" i="1"/>
  <c r="BC135" i="1"/>
  <c r="BC134" i="1"/>
  <c r="BB244" i="1"/>
  <c r="BB243" i="1"/>
  <c r="BB242" i="1"/>
  <c r="BB241" i="1"/>
  <c r="BB240" i="1"/>
  <c r="BB239" i="1"/>
  <c r="BB238" i="1"/>
  <c r="BB237" i="1"/>
  <c r="BB236" i="1"/>
  <c r="BB235" i="1"/>
  <c r="BB234" i="1"/>
  <c r="BB233" i="1"/>
  <c r="BB232" i="1"/>
  <c r="BB231" i="1"/>
  <c r="BB230" i="1"/>
  <c r="BB229" i="1"/>
  <c r="BB228" i="1"/>
  <c r="BB227" i="1"/>
  <c r="BB226" i="1"/>
  <c r="BB225" i="1"/>
  <c r="BB224" i="1"/>
  <c r="BB223" i="1"/>
  <c r="BB222" i="1"/>
  <c r="BB221" i="1"/>
  <c r="BB220" i="1"/>
  <c r="BB219" i="1"/>
  <c r="BB218" i="1"/>
  <c r="BB217" i="1"/>
  <c r="BB216" i="1"/>
  <c r="BB215" i="1"/>
  <c r="BB214" i="1"/>
  <c r="BB213" i="1"/>
  <c r="BB212" i="1"/>
  <c r="BB211" i="1"/>
  <c r="BB210" i="1"/>
  <c r="BB209" i="1"/>
  <c r="BB208" i="1"/>
  <c r="BB207" i="1"/>
  <c r="BB206" i="1"/>
  <c r="BB205" i="1"/>
  <c r="BB204" i="1"/>
  <c r="BB203" i="1"/>
  <c r="BB202" i="1"/>
  <c r="BB201" i="1"/>
  <c r="BB200" i="1"/>
  <c r="BB199" i="1"/>
  <c r="BB198" i="1"/>
  <c r="BB197" i="1"/>
  <c r="BB196" i="1"/>
  <c r="BB195" i="1"/>
  <c r="BB194" i="1"/>
  <c r="BB193" i="1"/>
  <c r="BB192" i="1"/>
  <c r="BB191" i="1"/>
  <c r="BB190" i="1"/>
  <c r="BB189" i="1"/>
  <c r="BB188" i="1"/>
  <c r="BB187" i="1"/>
  <c r="BB186" i="1"/>
  <c r="BB185" i="1"/>
  <c r="BB184" i="1"/>
  <c r="BB183" i="1"/>
  <c r="BB182" i="1"/>
  <c r="BB181" i="1"/>
  <c r="BB180" i="1"/>
  <c r="BB179" i="1"/>
  <c r="BB178" i="1"/>
  <c r="BB177" i="1"/>
  <c r="BB176" i="1"/>
  <c r="BB175" i="1"/>
  <c r="BB174" i="1"/>
  <c r="BB173" i="1"/>
  <c r="BB172" i="1"/>
  <c r="BB171" i="1"/>
  <c r="BB170" i="1"/>
  <c r="BB169" i="1"/>
  <c r="BB168" i="1"/>
  <c r="BB167" i="1"/>
  <c r="BB166" i="1"/>
  <c r="BB165" i="1"/>
  <c r="BB164" i="1"/>
  <c r="BB163" i="1"/>
  <c r="BB162" i="1"/>
  <c r="BB161" i="1"/>
  <c r="BB160" i="1"/>
  <c r="BB159" i="1"/>
  <c r="BB158" i="1"/>
  <c r="BB157" i="1"/>
  <c r="BB156" i="1"/>
  <c r="BB155" i="1"/>
  <c r="BB154" i="1"/>
  <c r="BB153" i="1"/>
  <c r="BB152" i="1"/>
  <c r="BB151" i="1"/>
  <c r="BB150" i="1"/>
  <c r="BB149" i="1"/>
  <c r="BB148" i="1"/>
  <c r="BB147" i="1"/>
  <c r="BB146" i="1"/>
  <c r="BB145" i="1"/>
  <c r="BB144" i="1"/>
  <c r="BB143" i="1"/>
  <c r="BB142" i="1"/>
  <c r="BB141" i="1"/>
  <c r="BB140" i="1"/>
  <c r="BB139" i="1"/>
  <c r="BB138" i="1"/>
  <c r="BB137" i="1"/>
  <c r="BB136" i="1"/>
  <c r="BB135" i="1"/>
  <c r="BB134" i="1"/>
  <c r="BA244" i="1"/>
  <c r="BA243" i="1"/>
  <c r="BA242" i="1"/>
  <c r="BA241" i="1"/>
  <c r="BA240" i="1"/>
  <c r="BA239" i="1"/>
  <c r="BA238" i="1"/>
  <c r="BA237" i="1"/>
  <c r="BA236" i="1"/>
  <c r="BA235" i="1"/>
  <c r="BA234" i="1"/>
  <c r="BA233" i="1"/>
  <c r="BA232" i="1"/>
  <c r="BA231" i="1"/>
  <c r="BA230" i="1"/>
  <c r="BA229" i="1"/>
  <c r="BA228" i="1"/>
  <c r="BA227" i="1"/>
  <c r="BA226" i="1"/>
  <c r="BA225" i="1"/>
  <c r="BA224" i="1"/>
  <c r="BA223" i="1"/>
  <c r="BA222" i="1"/>
  <c r="BA221" i="1"/>
  <c r="BA220" i="1"/>
  <c r="BA219" i="1"/>
  <c r="BA218" i="1"/>
  <c r="BA217" i="1"/>
  <c r="BA216" i="1"/>
  <c r="BA215" i="1"/>
  <c r="BA214" i="1"/>
  <c r="BA213" i="1"/>
  <c r="BA212" i="1"/>
  <c r="BA211" i="1"/>
  <c r="BA210" i="1"/>
  <c r="BA209" i="1"/>
  <c r="BA208" i="1"/>
  <c r="BA207" i="1"/>
  <c r="BA206" i="1"/>
  <c r="BA205" i="1"/>
  <c r="BA204" i="1"/>
  <c r="BA203" i="1"/>
  <c r="BA202" i="1"/>
  <c r="BA201" i="1"/>
  <c r="BA200" i="1"/>
  <c r="BA199" i="1"/>
  <c r="BA198" i="1"/>
  <c r="BA197" i="1"/>
  <c r="BA196" i="1"/>
  <c r="BA195" i="1"/>
  <c r="BA194" i="1"/>
  <c r="BA193" i="1"/>
  <c r="BA192" i="1"/>
  <c r="BA191" i="1"/>
  <c r="BA190" i="1"/>
  <c r="BA189" i="1"/>
  <c r="BA188" i="1"/>
  <c r="BA187" i="1"/>
  <c r="BA186" i="1"/>
  <c r="BA185" i="1"/>
  <c r="BA184" i="1"/>
  <c r="BA183" i="1"/>
  <c r="BA182" i="1"/>
  <c r="BA181" i="1"/>
  <c r="BA180" i="1"/>
  <c r="BA179" i="1"/>
  <c r="BA178" i="1"/>
  <c r="BA177" i="1"/>
  <c r="BA176" i="1"/>
  <c r="BA175" i="1"/>
  <c r="BA174" i="1"/>
  <c r="BA173" i="1"/>
  <c r="BA172" i="1"/>
  <c r="BA171" i="1"/>
  <c r="BA170" i="1"/>
  <c r="BA169" i="1"/>
  <c r="BA168" i="1"/>
  <c r="BA167" i="1"/>
  <c r="BA166" i="1"/>
  <c r="BA165" i="1"/>
  <c r="BA164" i="1"/>
  <c r="BA163" i="1"/>
  <c r="BA162" i="1"/>
  <c r="BA161" i="1"/>
  <c r="BA160" i="1"/>
  <c r="BA159" i="1"/>
  <c r="BA158" i="1"/>
  <c r="BA157" i="1"/>
  <c r="BA156" i="1"/>
  <c r="BA155" i="1"/>
  <c r="BA154" i="1"/>
  <c r="BA153" i="1"/>
  <c r="BA152" i="1"/>
  <c r="BA151" i="1"/>
  <c r="BA150" i="1"/>
  <c r="BA149" i="1"/>
  <c r="BA148" i="1"/>
  <c r="BA147" i="1"/>
  <c r="BA146" i="1"/>
  <c r="BA145" i="1"/>
  <c r="BA144" i="1"/>
  <c r="BA143" i="1"/>
  <c r="BA142" i="1"/>
  <c r="BA141" i="1"/>
  <c r="BA140" i="1"/>
  <c r="BA139" i="1"/>
  <c r="BA138" i="1"/>
  <c r="BA137" i="1"/>
  <c r="BA136" i="1"/>
  <c r="BA135" i="1"/>
  <c r="BA134" i="1"/>
  <c r="AZ244" i="1"/>
  <c r="AZ243" i="1"/>
  <c r="AZ242" i="1"/>
  <c r="AZ241" i="1"/>
  <c r="AZ240" i="1"/>
  <c r="AZ239" i="1"/>
  <c r="AZ238" i="1"/>
  <c r="AZ237" i="1"/>
  <c r="AZ236" i="1"/>
  <c r="AZ235" i="1"/>
  <c r="AZ234" i="1"/>
  <c r="AZ233" i="1"/>
  <c r="AZ232" i="1"/>
  <c r="AZ231" i="1"/>
  <c r="AZ230" i="1"/>
  <c r="AZ229" i="1"/>
  <c r="AZ228" i="1"/>
  <c r="AZ227" i="1"/>
  <c r="AZ226" i="1"/>
  <c r="AZ225" i="1"/>
  <c r="AZ224" i="1"/>
  <c r="AZ223" i="1"/>
  <c r="AZ222" i="1"/>
  <c r="AZ221" i="1"/>
  <c r="AZ220" i="1"/>
  <c r="AZ219" i="1"/>
  <c r="AZ218" i="1"/>
  <c r="AZ217" i="1"/>
  <c r="AZ216" i="1"/>
  <c r="AZ215" i="1"/>
  <c r="AZ214" i="1"/>
  <c r="AZ213" i="1"/>
  <c r="AZ212" i="1"/>
  <c r="AZ211" i="1"/>
  <c r="AZ210" i="1"/>
  <c r="AZ209" i="1"/>
  <c r="AZ208" i="1"/>
  <c r="AZ207" i="1"/>
  <c r="AZ206" i="1"/>
  <c r="AZ205" i="1"/>
  <c r="AZ204" i="1"/>
  <c r="AZ203" i="1"/>
  <c r="AZ202" i="1"/>
  <c r="AZ201" i="1"/>
  <c r="AZ200" i="1"/>
  <c r="AZ199" i="1"/>
  <c r="AZ198" i="1"/>
  <c r="AZ197" i="1"/>
  <c r="AZ196" i="1"/>
  <c r="AZ195" i="1"/>
  <c r="AZ194" i="1"/>
  <c r="AZ193" i="1"/>
  <c r="AZ192" i="1"/>
  <c r="AZ191" i="1"/>
  <c r="AZ190" i="1"/>
  <c r="AZ189" i="1"/>
  <c r="AZ188" i="1"/>
  <c r="AZ187" i="1"/>
  <c r="AZ186" i="1"/>
  <c r="AZ185" i="1"/>
  <c r="AZ184" i="1"/>
  <c r="AZ183" i="1"/>
  <c r="AZ182" i="1"/>
  <c r="AZ181" i="1"/>
  <c r="AZ180" i="1"/>
  <c r="AZ179" i="1"/>
  <c r="AZ178" i="1"/>
  <c r="AZ177" i="1"/>
  <c r="AZ176" i="1"/>
  <c r="AZ175" i="1"/>
  <c r="AZ174" i="1"/>
  <c r="AZ173" i="1"/>
  <c r="AZ172" i="1"/>
  <c r="AZ171" i="1"/>
  <c r="AZ170" i="1"/>
  <c r="AZ169" i="1"/>
  <c r="AZ168" i="1"/>
  <c r="AZ167" i="1"/>
  <c r="AZ166" i="1"/>
  <c r="AZ165" i="1"/>
  <c r="AZ164" i="1"/>
  <c r="AZ163" i="1"/>
  <c r="AZ162" i="1"/>
  <c r="AZ161" i="1"/>
  <c r="AZ160" i="1"/>
  <c r="AZ159" i="1"/>
  <c r="AZ158" i="1"/>
  <c r="AZ157" i="1"/>
  <c r="AZ156" i="1"/>
  <c r="AZ155" i="1"/>
  <c r="AZ154" i="1"/>
  <c r="AZ153" i="1"/>
  <c r="AZ152" i="1"/>
  <c r="AZ151" i="1"/>
  <c r="AZ150" i="1"/>
  <c r="AZ149" i="1"/>
  <c r="AZ148" i="1"/>
  <c r="AZ147" i="1"/>
  <c r="AZ146" i="1"/>
  <c r="AZ145" i="1"/>
  <c r="AZ144" i="1"/>
  <c r="AZ143" i="1"/>
  <c r="AZ142" i="1"/>
  <c r="AZ141" i="1"/>
  <c r="AZ140" i="1"/>
  <c r="AZ139" i="1"/>
  <c r="AZ138" i="1"/>
  <c r="AZ137" i="1"/>
  <c r="AZ136" i="1"/>
  <c r="AZ135" i="1"/>
  <c r="AZ134" i="1"/>
  <c r="AY244" i="1"/>
  <c r="AY243" i="1"/>
  <c r="AY242" i="1"/>
  <c r="AY241" i="1"/>
  <c r="AY240" i="1"/>
  <c r="AY239" i="1"/>
  <c r="AY238" i="1"/>
  <c r="AY237" i="1"/>
  <c r="AY236" i="1"/>
  <c r="AY235" i="1"/>
  <c r="AY234" i="1"/>
  <c r="AY233" i="1"/>
  <c r="AY232" i="1"/>
  <c r="AY231" i="1"/>
  <c r="AY230" i="1"/>
  <c r="AY229" i="1"/>
  <c r="AY228" i="1"/>
  <c r="AY227" i="1"/>
  <c r="AY226" i="1"/>
  <c r="AY225" i="1"/>
  <c r="AY224" i="1"/>
  <c r="AY223" i="1"/>
  <c r="AY222" i="1"/>
  <c r="AY221" i="1"/>
  <c r="AY220" i="1"/>
  <c r="AY219" i="1"/>
  <c r="AY218" i="1"/>
  <c r="AY217" i="1"/>
  <c r="AY216" i="1"/>
  <c r="AY215" i="1"/>
  <c r="AY214" i="1"/>
  <c r="AY213" i="1"/>
  <c r="AY212" i="1"/>
  <c r="AY211" i="1"/>
  <c r="AY210" i="1"/>
  <c r="AY209" i="1"/>
  <c r="AY208" i="1"/>
  <c r="AY207" i="1"/>
  <c r="AY206" i="1"/>
  <c r="AY205" i="1"/>
  <c r="AY204" i="1"/>
  <c r="AY203" i="1"/>
  <c r="AY202" i="1"/>
  <c r="AY201" i="1"/>
  <c r="AY200" i="1"/>
  <c r="AY199" i="1"/>
  <c r="AY198" i="1"/>
  <c r="AY197" i="1"/>
  <c r="AY196" i="1"/>
  <c r="AY195" i="1"/>
  <c r="AY194" i="1"/>
  <c r="AY193" i="1"/>
  <c r="AY192" i="1"/>
  <c r="AY191" i="1"/>
  <c r="AY190" i="1"/>
  <c r="AY189" i="1"/>
  <c r="AY188" i="1"/>
  <c r="AY187" i="1"/>
  <c r="AY186" i="1"/>
  <c r="AY185" i="1"/>
  <c r="AY184" i="1"/>
  <c r="AY183" i="1"/>
  <c r="AY182" i="1"/>
  <c r="AY181" i="1"/>
  <c r="AY180" i="1"/>
  <c r="AY179" i="1"/>
  <c r="AY178" i="1"/>
  <c r="AY177" i="1"/>
  <c r="AY176" i="1"/>
  <c r="AY175" i="1"/>
  <c r="AY174" i="1"/>
  <c r="AY173" i="1"/>
  <c r="AY172" i="1"/>
  <c r="AY171" i="1"/>
  <c r="AY170" i="1"/>
  <c r="AY169" i="1"/>
  <c r="AY168" i="1"/>
  <c r="AY167" i="1"/>
  <c r="AY166" i="1"/>
  <c r="AY165" i="1"/>
  <c r="AY164" i="1"/>
  <c r="AY163" i="1"/>
  <c r="AY162" i="1"/>
  <c r="AY161" i="1"/>
  <c r="AY160" i="1"/>
  <c r="AY159" i="1"/>
  <c r="AY158" i="1"/>
  <c r="AY157" i="1"/>
  <c r="AY156" i="1"/>
  <c r="AY155" i="1"/>
  <c r="AY154" i="1"/>
  <c r="AY153" i="1"/>
  <c r="AY152" i="1"/>
  <c r="AY151" i="1"/>
  <c r="AY150" i="1"/>
  <c r="AY149" i="1"/>
  <c r="AY148" i="1"/>
  <c r="AY147" i="1"/>
  <c r="AY146" i="1"/>
  <c r="AY145" i="1"/>
  <c r="AY144" i="1"/>
  <c r="AY143" i="1"/>
  <c r="AY142" i="1"/>
  <c r="AY141" i="1"/>
  <c r="AY140" i="1"/>
  <c r="AY139" i="1"/>
  <c r="AY138" i="1"/>
  <c r="AY137" i="1"/>
  <c r="AY136" i="1"/>
  <c r="AY135" i="1"/>
  <c r="AY134" i="1"/>
  <c r="AX244" i="1"/>
  <c r="AX243" i="1"/>
  <c r="AX242" i="1"/>
  <c r="AX241" i="1"/>
  <c r="AX240" i="1"/>
  <c r="AX239" i="1"/>
  <c r="AX238" i="1"/>
  <c r="AX237" i="1"/>
  <c r="AX236" i="1"/>
  <c r="AX235" i="1"/>
  <c r="AX234" i="1"/>
  <c r="AX233" i="1"/>
  <c r="AX232" i="1"/>
  <c r="AX231" i="1"/>
  <c r="AX230" i="1"/>
  <c r="AX229" i="1"/>
  <c r="AX228" i="1"/>
  <c r="AX227" i="1"/>
  <c r="AX226" i="1"/>
  <c r="AX225" i="1"/>
  <c r="AX224" i="1"/>
  <c r="AX223" i="1"/>
  <c r="AX222" i="1"/>
  <c r="AX221" i="1"/>
  <c r="AX220" i="1"/>
  <c r="AX219" i="1"/>
  <c r="AX218" i="1"/>
  <c r="AX217" i="1"/>
  <c r="AX216" i="1"/>
  <c r="AX215" i="1"/>
  <c r="AX214" i="1"/>
  <c r="AX213" i="1"/>
  <c r="AX212" i="1"/>
  <c r="AX211" i="1"/>
  <c r="AX210" i="1"/>
  <c r="AX209" i="1"/>
  <c r="AX208" i="1"/>
  <c r="AX207" i="1"/>
  <c r="AX206" i="1"/>
  <c r="AX205" i="1"/>
  <c r="AX204" i="1"/>
  <c r="AX203" i="1"/>
  <c r="AX202" i="1"/>
  <c r="AX201" i="1"/>
  <c r="AX200" i="1"/>
  <c r="AX199" i="1"/>
  <c r="AX198" i="1"/>
  <c r="AX197" i="1"/>
  <c r="AX196" i="1"/>
  <c r="AX195" i="1"/>
  <c r="AX194" i="1"/>
  <c r="AX193" i="1"/>
  <c r="AX192" i="1"/>
  <c r="AX191" i="1"/>
  <c r="AX190" i="1"/>
  <c r="AX189" i="1"/>
  <c r="AX188" i="1"/>
  <c r="AX187" i="1"/>
  <c r="AX186" i="1"/>
  <c r="AX185" i="1"/>
  <c r="AX184" i="1"/>
  <c r="AX183" i="1"/>
  <c r="AX182" i="1"/>
  <c r="AX181" i="1"/>
  <c r="AX180" i="1"/>
  <c r="AX179" i="1"/>
  <c r="AX178" i="1"/>
  <c r="AX177" i="1"/>
  <c r="AX176" i="1"/>
  <c r="AX175" i="1"/>
  <c r="AX174" i="1"/>
  <c r="AX173" i="1"/>
  <c r="AX172" i="1"/>
  <c r="AX171" i="1"/>
  <c r="AX170" i="1"/>
  <c r="AX169" i="1"/>
  <c r="AX168" i="1"/>
  <c r="AX167" i="1"/>
  <c r="AX166" i="1"/>
  <c r="AX165" i="1"/>
  <c r="AX164" i="1"/>
  <c r="AX163" i="1"/>
  <c r="AX162" i="1"/>
  <c r="AX161" i="1"/>
  <c r="AX160" i="1"/>
  <c r="AX159" i="1"/>
  <c r="AX158" i="1"/>
  <c r="AX157" i="1"/>
  <c r="AX156" i="1"/>
  <c r="AX155" i="1"/>
  <c r="AX154" i="1"/>
  <c r="AX153" i="1"/>
  <c r="AX152" i="1"/>
  <c r="AX151" i="1"/>
  <c r="AX150" i="1"/>
  <c r="AX149" i="1"/>
  <c r="AX148" i="1"/>
  <c r="AX147" i="1"/>
  <c r="AX146" i="1"/>
  <c r="AX145" i="1"/>
  <c r="AX144" i="1"/>
  <c r="AX143" i="1"/>
  <c r="AX142" i="1"/>
  <c r="AX141" i="1"/>
  <c r="AX140" i="1"/>
  <c r="AX139" i="1"/>
  <c r="AX138" i="1"/>
  <c r="AX137" i="1"/>
  <c r="AX136" i="1"/>
  <c r="AX135" i="1"/>
  <c r="AX134" i="1"/>
  <c r="AW244" i="1"/>
  <c r="AW243" i="1"/>
  <c r="AW242" i="1"/>
  <c r="AW241" i="1"/>
  <c r="AW240" i="1"/>
  <c r="AW239" i="1"/>
  <c r="AW238" i="1"/>
  <c r="AW237" i="1"/>
  <c r="AW236" i="1"/>
  <c r="AW235" i="1"/>
  <c r="AW234" i="1"/>
  <c r="AW233" i="1"/>
  <c r="AW232" i="1"/>
  <c r="AW231" i="1"/>
  <c r="AW230" i="1"/>
  <c r="AW229" i="1"/>
  <c r="AW228" i="1"/>
  <c r="AW227" i="1"/>
  <c r="AW226" i="1"/>
  <c r="AW225" i="1"/>
  <c r="AW224" i="1"/>
  <c r="AW223" i="1"/>
  <c r="AW222" i="1"/>
  <c r="AW221" i="1"/>
  <c r="AW220" i="1"/>
  <c r="AW219" i="1"/>
  <c r="AW218" i="1"/>
  <c r="AW217" i="1"/>
  <c r="AW216" i="1"/>
  <c r="AW215" i="1"/>
  <c r="AW214" i="1"/>
  <c r="AW213" i="1"/>
  <c r="AW212" i="1"/>
  <c r="AW211" i="1"/>
  <c r="AW210" i="1"/>
  <c r="AW209" i="1"/>
  <c r="AW208" i="1"/>
  <c r="AW207" i="1"/>
  <c r="AW206" i="1"/>
  <c r="AW205" i="1"/>
  <c r="AW204" i="1"/>
  <c r="AW203" i="1"/>
  <c r="AW202" i="1"/>
  <c r="AW201" i="1"/>
  <c r="AW200" i="1"/>
  <c r="AW199" i="1"/>
  <c r="AW198" i="1"/>
  <c r="AW197" i="1"/>
  <c r="AW196" i="1"/>
  <c r="AW195" i="1"/>
  <c r="AW194" i="1"/>
  <c r="AW193" i="1"/>
  <c r="AW192" i="1"/>
  <c r="AW191" i="1"/>
  <c r="AW190" i="1"/>
  <c r="AW189" i="1"/>
  <c r="AW188" i="1"/>
  <c r="AW187" i="1"/>
  <c r="AW186" i="1"/>
  <c r="AW185" i="1"/>
  <c r="AW184" i="1"/>
  <c r="AW183" i="1"/>
  <c r="AW182" i="1"/>
  <c r="AW181" i="1"/>
  <c r="AW180" i="1"/>
  <c r="AW179" i="1"/>
  <c r="AW178" i="1"/>
  <c r="AW177" i="1"/>
  <c r="AW176" i="1"/>
  <c r="AW175" i="1"/>
  <c r="AW174" i="1"/>
  <c r="AW173" i="1"/>
  <c r="AW172" i="1"/>
  <c r="AW171" i="1"/>
  <c r="AW170" i="1"/>
  <c r="AW169" i="1"/>
  <c r="AW168" i="1"/>
  <c r="AW167" i="1"/>
  <c r="AW166" i="1"/>
  <c r="AW165" i="1"/>
  <c r="AW164" i="1"/>
  <c r="AW163" i="1"/>
  <c r="AW162" i="1"/>
  <c r="AW161" i="1"/>
  <c r="AW160" i="1"/>
  <c r="AW159" i="1"/>
  <c r="AW158" i="1"/>
  <c r="AW157" i="1"/>
  <c r="AW156" i="1"/>
  <c r="AW155" i="1"/>
  <c r="AW154" i="1"/>
  <c r="AW153" i="1"/>
  <c r="AW152" i="1"/>
  <c r="AW151" i="1"/>
  <c r="AW150" i="1"/>
  <c r="AW149" i="1"/>
  <c r="AW148" i="1"/>
  <c r="AW147" i="1"/>
  <c r="AW146" i="1"/>
  <c r="AW145" i="1"/>
  <c r="AW144" i="1"/>
  <c r="AW143" i="1"/>
  <c r="AW142" i="1"/>
  <c r="AW141" i="1"/>
  <c r="AW140" i="1"/>
  <c r="AW139" i="1"/>
  <c r="AW138" i="1"/>
  <c r="AW137" i="1"/>
  <c r="AW136" i="1"/>
  <c r="AW135" i="1"/>
  <c r="AW134" i="1"/>
  <c r="AV244" i="1"/>
  <c r="AV243" i="1"/>
  <c r="AV242" i="1"/>
  <c r="AV241" i="1"/>
  <c r="AV240" i="1"/>
  <c r="AV239" i="1"/>
  <c r="AV238" i="1"/>
  <c r="AV237" i="1"/>
  <c r="AV236" i="1"/>
  <c r="AV235" i="1"/>
  <c r="AV234" i="1"/>
  <c r="AV233" i="1"/>
  <c r="AV232" i="1"/>
  <c r="AV231" i="1"/>
  <c r="AV230" i="1"/>
  <c r="AV229" i="1"/>
  <c r="AV228" i="1"/>
  <c r="AV227" i="1"/>
  <c r="AV226" i="1"/>
  <c r="AV225" i="1"/>
  <c r="AV224" i="1"/>
  <c r="AV223" i="1"/>
  <c r="AV222" i="1"/>
  <c r="AV221" i="1"/>
  <c r="AV220" i="1"/>
  <c r="AV219" i="1"/>
  <c r="AV218" i="1"/>
  <c r="AV217" i="1"/>
  <c r="AV216" i="1"/>
  <c r="AV215" i="1"/>
  <c r="AV214" i="1"/>
  <c r="AV213" i="1"/>
  <c r="AV212" i="1"/>
  <c r="AV211" i="1"/>
  <c r="AV210" i="1"/>
  <c r="AV209" i="1"/>
  <c r="AV208" i="1"/>
  <c r="AV207" i="1"/>
  <c r="AV206" i="1"/>
  <c r="AV205" i="1"/>
  <c r="AV204" i="1"/>
  <c r="AV203" i="1"/>
  <c r="AV202" i="1"/>
  <c r="AV201" i="1"/>
  <c r="AV200" i="1"/>
  <c r="AV199" i="1"/>
  <c r="AV198" i="1"/>
  <c r="AV197" i="1"/>
  <c r="AV196" i="1"/>
  <c r="AV195" i="1"/>
  <c r="AV194" i="1"/>
  <c r="AV193" i="1"/>
  <c r="AV192" i="1"/>
  <c r="AV191" i="1"/>
  <c r="AV190" i="1"/>
  <c r="AV189" i="1"/>
  <c r="AV188" i="1"/>
  <c r="AV187" i="1"/>
  <c r="AV186" i="1"/>
  <c r="AV185" i="1"/>
  <c r="AV184" i="1"/>
  <c r="AV183" i="1"/>
  <c r="AV182" i="1"/>
  <c r="AV181" i="1"/>
  <c r="AV180" i="1"/>
  <c r="AV179" i="1"/>
  <c r="AV178" i="1"/>
  <c r="AV177" i="1"/>
  <c r="AV176" i="1"/>
  <c r="AV175" i="1"/>
  <c r="AV174" i="1"/>
  <c r="AV173" i="1"/>
  <c r="AV172" i="1"/>
  <c r="AV171" i="1"/>
  <c r="AV170" i="1"/>
  <c r="AV169" i="1"/>
  <c r="AV168" i="1"/>
  <c r="AV167" i="1"/>
  <c r="AV166" i="1"/>
  <c r="AV165" i="1"/>
  <c r="AV164" i="1"/>
  <c r="AV163" i="1"/>
  <c r="AV162" i="1"/>
  <c r="AV161" i="1"/>
  <c r="AV160" i="1"/>
  <c r="AV159" i="1"/>
  <c r="AV158" i="1"/>
  <c r="AV157" i="1"/>
  <c r="AV156" i="1"/>
  <c r="AV155" i="1"/>
  <c r="AV154" i="1"/>
  <c r="AV153" i="1"/>
  <c r="AV152" i="1"/>
  <c r="AV151" i="1"/>
  <c r="AV150" i="1"/>
  <c r="AV149" i="1"/>
  <c r="AV148" i="1"/>
  <c r="AV147" i="1"/>
  <c r="AV146" i="1"/>
  <c r="AV145" i="1"/>
  <c r="AV144" i="1"/>
  <c r="AV143" i="1"/>
  <c r="AV142" i="1"/>
  <c r="AV141" i="1"/>
  <c r="AV140" i="1"/>
  <c r="AV139" i="1"/>
  <c r="AV138" i="1"/>
  <c r="AV137" i="1"/>
  <c r="AV136" i="1"/>
  <c r="AV135" i="1"/>
  <c r="AV134" i="1"/>
  <c r="AU244" i="1"/>
  <c r="AU243" i="1"/>
  <c r="AU242" i="1"/>
  <c r="AU241" i="1"/>
  <c r="AU240" i="1"/>
  <c r="AU239" i="1"/>
  <c r="AU238" i="1"/>
  <c r="AU237" i="1"/>
  <c r="AU236" i="1"/>
  <c r="AU235" i="1"/>
  <c r="AU234" i="1"/>
  <c r="AU233" i="1"/>
  <c r="AU232" i="1"/>
  <c r="AU231" i="1"/>
  <c r="AU230" i="1"/>
  <c r="AU229" i="1"/>
  <c r="AU228" i="1"/>
  <c r="AU227" i="1"/>
  <c r="AU226" i="1"/>
  <c r="AU225" i="1"/>
  <c r="AU224" i="1"/>
  <c r="AU223" i="1"/>
  <c r="AU222" i="1"/>
  <c r="AU221" i="1"/>
  <c r="AU220" i="1"/>
  <c r="AU219" i="1"/>
  <c r="AU218" i="1"/>
  <c r="AU217" i="1"/>
  <c r="AU216" i="1"/>
  <c r="AU215" i="1"/>
  <c r="AU214" i="1"/>
  <c r="AU213" i="1"/>
  <c r="AU212" i="1"/>
  <c r="AU211" i="1"/>
  <c r="AU210" i="1"/>
  <c r="AU209" i="1"/>
  <c r="AU206" i="1"/>
  <c r="AU205" i="1"/>
  <c r="AU204" i="1"/>
  <c r="AU203" i="1"/>
  <c r="AU202" i="1"/>
  <c r="AU201" i="1"/>
  <c r="AU200" i="1"/>
  <c r="AU199" i="1"/>
  <c r="AU198" i="1"/>
  <c r="AU197" i="1"/>
  <c r="AU196" i="1"/>
  <c r="AU195" i="1"/>
  <c r="AU194" i="1"/>
  <c r="AU193" i="1"/>
  <c r="AU192" i="1"/>
  <c r="AU191" i="1"/>
  <c r="AU190" i="1"/>
  <c r="AU189" i="1"/>
  <c r="AU188" i="1"/>
  <c r="AU187" i="1"/>
  <c r="AU186" i="1"/>
  <c r="AU185" i="1"/>
  <c r="AU184" i="1"/>
  <c r="AU183" i="1"/>
  <c r="AU182" i="1"/>
  <c r="AU181" i="1"/>
  <c r="AU180" i="1"/>
  <c r="AU179" i="1"/>
  <c r="AU178" i="1"/>
  <c r="AU177" i="1"/>
  <c r="AU176" i="1"/>
  <c r="AU175" i="1"/>
  <c r="AU174" i="1"/>
  <c r="AU171" i="1"/>
  <c r="AU170" i="1"/>
  <c r="AU169" i="1"/>
  <c r="AU168" i="1"/>
  <c r="AU165" i="1"/>
  <c r="AU164" i="1"/>
  <c r="AU163" i="1"/>
  <c r="AU162" i="1"/>
  <c r="AU161" i="1"/>
  <c r="AU160" i="1"/>
  <c r="AU159" i="1"/>
  <c r="AU158" i="1"/>
  <c r="AU157" i="1"/>
  <c r="AU155" i="1"/>
  <c r="AU153" i="1"/>
  <c r="AU152" i="1"/>
  <c r="AU151" i="1"/>
  <c r="AU150" i="1"/>
  <c r="AU149" i="1"/>
  <c r="AU148" i="1"/>
  <c r="AU147" i="1"/>
  <c r="AU146" i="1"/>
  <c r="AU145" i="1"/>
  <c r="AU144" i="1"/>
  <c r="AU143" i="1"/>
  <c r="AU142" i="1"/>
  <c r="AU141" i="1"/>
  <c r="AU140" i="1"/>
  <c r="AU139" i="1"/>
  <c r="AU138" i="1"/>
  <c r="AU137" i="1"/>
  <c r="AU136" i="1"/>
  <c r="AU135" i="1"/>
  <c r="AU134" i="1"/>
  <c r="AT244" i="1"/>
  <c r="AT243" i="1"/>
  <c r="AT242" i="1"/>
  <c r="AT241" i="1"/>
  <c r="AT240" i="1"/>
  <c r="AT239" i="1"/>
  <c r="AT238" i="1"/>
  <c r="AT237" i="1"/>
  <c r="AT236" i="1"/>
  <c r="AT235" i="1"/>
  <c r="AT234" i="1"/>
  <c r="AT233" i="1"/>
  <c r="AT232" i="1"/>
  <c r="AT231" i="1"/>
  <c r="AT230" i="1"/>
  <c r="AT229" i="1"/>
  <c r="AT228" i="1"/>
  <c r="AT227" i="1"/>
  <c r="AT226" i="1"/>
  <c r="AT225" i="1"/>
  <c r="AT224" i="1"/>
  <c r="AT223" i="1"/>
  <c r="AT222" i="1"/>
  <c r="AT221" i="1"/>
  <c r="AT220" i="1"/>
  <c r="AT219" i="1"/>
  <c r="AT218" i="1"/>
  <c r="AT217" i="1"/>
  <c r="AT216" i="1"/>
  <c r="AT215" i="1"/>
  <c r="AT214" i="1"/>
  <c r="AT213" i="1"/>
  <c r="AT212" i="1"/>
  <c r="AT211" i="1"/>
  <c r="AT210" i="1"/>
  <c r="AT209" i="1"/>
  <c r="AT208" i="1"/>
  <c r="AT207" i="1"/>
  <c r="AT206" i="1"/>
  <c r="AT205" i="1"/>
  <c r="AT204" i="1"/>
  <c r="AT203" i="1"/>
  <c r="AT202" i="1"/>
  <c r="AT201" i="1"/>
  <c r="AT200" i="1"/>
  <c r="AT199" i="1"/>
  <c r="AT198" i="1"/>
  <c r="AT197" i="1"/>
  <c r="AT196" i="1"/>
  <c r="AT195" i="1"/>
  <c r="AT194" i="1"/>
  <c r="AT193" i="1"/>
  <c r="AT192" i="1"/>
  <c r="AT191" i="1"/>
  <c r="AT190" i="1"/>
  <c r="AT189" i="1"/>
  <c r="AT188" i="1"/>
  <c r="AT187" i="1"/>
  <c r="AT186" i="1"/>
  <c r="AT185" i="1"/>
  <c r="AT184" i="1"/>
  <c r="AT183" i="1"/>
  <c r="AT182" i="1"/>
  <c r="AT181" i="1"/>
  <c r="AT180" i="1"/>
  <c r="AT179" i="1"/>
  <c r="AT178" i="1"/>
  <c r="AT177" i="1"/>
  <c r="AT176" i="1"/>
  <c r="AT175" i="1"/>
  <c r="AT174" i="1"/>
  <c r="AT173" i="1"/>
  <c r="AT172" i="1"/>
  <c r="AT171" i="1"/>
  <c r="AT170" i="1"/>
  <c r="AT169" i="1"/>
  <c r="AT168" i="1"/>
  <c r="AT167" i="1"/>
  <c r="AT166" i="1"/>
  <c r="AT165" i="1"/>
  <c r="AT164" i="1"/>
  <c r="AT163" i="1"/>
  <c r="AT162" i="1"/>
  <c r="AT161" i="1"/>
  <c r="AT160" i="1"/>
  <c r="AT159" i="1"/>
  <c r="AT158" i="1"/>
  <c r="AT157" i="1"/>
  <c r="AT156" i="1"/>
  <c r="AT155" i="1"/>
  <c r="AT154" i="1"/>
  <c r="AT153" i="1"/>
  <c r="AT152" i="1"/>
  <c r="AT151" i="1"/>
  <c r="AT150" i="1"/>
  <c r="AT149" i="1"/>
  <c r="AT148" i="1"/>
  <c r="AT147" i="1"/>
  <c r="AT146" i="1"/>
  <c r="AT145" i="1"/>
  <c r="AT144" i="1"/>
  <c r="AT143" i="1"/>
  <c r="AT142" i="1"/>
  <c r="AT141" i="1"/>
  <c r="AT140" i="1"/>
  <c r="AT139" i="1"/>
  <c r="AT138" i="1"/>
  <c r="AT137" i="1"/>
  <c r="AT136" i="1"/>
  <c r="AT135" i="1"/>
  <c r="AT134" i="1"/>
  <c r="AS244" i="1"/>
  <c r="AS243" i="1"/>
  <c r="AS242" i="1"/>
  <c r="AS241" i="1"/>
  <c r="AS240" i="1"/>
  <c r="AS239" i="1"/>
  <c r="AS238" i="1"/>
  <c r="AS237" i="1"/>
  <c r="AS236" i="1"/>
  <c r="AS235" i="1"/>
  <c r="AS234" i="1"/>
  <c r="AS233" i="1"/>
  <c r="AS232" i="1"/>
  <c r="AS231" i="1"/>
  <c r="AS230" i="1"/>
  <c r="AS229" i="1"/>
  <c r="AS228" i="1"/>
  <c r="AS227" i="1"/>
  <c r="AS226" i="1"/>
  <c r="AS225" i="1"/>
  <c r="AS224" i="1"/>
  <c r="AS223" i="1"/>
  <c r="AS222" i="1"/>
  <c r="AS221" i="1"/>
  <c r="AS220" i="1"/>
  <c r="AS219" i="1"/>
  <c r="AS218" i="1"/>
  <c r="AS217" i="1"/>
  <c r="AS216" i="1"/>
  <c r="AS215" i="1"/>
  <c r="AS214" i="1"/>
  <c r="AS213" i="1"/>
  <c r="AS212" i="1"/>
  <c r="AS211" i="1"/>
  <c r="AS210" i="1"/>
  <c r="AS209" i="1"/>
  <c r="AS208" i="1"/>
  <c r="AS207" i="1"/>
  <c r="AS206" i="1"/>
  <c r="AS205" i="1"/>
  <c r="AS204" i="1"/>
  <c r="AS203" i="1"/>
  <c r="AS202" i="1"/>
  <c r="AS201" i="1"/>
  <c r="AS200" i="1"/>
  <c r="AS199" i="1"/>
  <c r="AS198" i="1"/>
  <c r="AS197" i="1"/>
  <c r="AS196" i="1"/>
  <c r="AS195" i="1"/>
  <c r="AS194" i="1"/>
  <c r="AS193" i="1"/>
  <c r="AS192" i="1"/>
  <c r="AS191" i="1"/>
  <c r="AS190" i="1"/>
  <c r="AS189" i="1"/>
  <c r="AS188" i="1"/>
  <c r="AS187" i="1"/>
  <c r="AS186" i="1"/>
  <c r="AS185" i="1"/>
  <c r="AS184" i="1"/>
  <c r="AS183" i="1"/>
  <c r="AS182" i="1"/>
  <c r="AS181" i="1"/>
  <c r="AS180" i="1"/>
  <c r="AS179" i="1"/>
  <c r="AS178" i="1"/>
  <c r="AS177" i="1"/>
  <c r="AS176" i="1"/>
  <c r="AS175" i="1"/>
  <c r="AS174" i="1"/>
  <c r="AS173" i="1"/>
  <c r="AS172" i="1"/>
  <c r="AS171" i="1"/>
  <c r="AS170" i="1"/>
  <c r="AS169" i="1"/>
  <c r="AS168" i="1"/>
  <c r="AS167" i="1"/>
  <c r="AS166" i="1"/>
  <c r="AS165" i="1"/>
  <c r="AS164" i="1"/>
  <c r="AS163" i="1"/>
  <c r="AS162" i="1"/>
  <c r="AS161" i="1"/>
  <c r="AS160" i="1"/>
  <c r="AS159" i="1"/>
  <c r="AS158" i="1"/>
  <c r="AS157" i="1"/>
  <c r="AS156" i="1"/>
  <c r="AS155" i="1"/>
  <c r="AS154" i="1"/>
  <c r="AS153" i="1"/>
  <c r="AS152" i="1"/>
  <c r="AS151" i="1"/>
  <c r="AS150" i="1"/>
  <c r="AS149" i="1"/>
  <c r="AS148" i="1"/>
  <c r="AS147" i="1"/>
  <c r="AS146" i="1"/>
  <c r="AS145" i="1"/>
  <c r="AS144" i="1"/>
  <c r="AS143" i="1"/>
  <c r="AS142" i="1"/>
  <c r="AS141" i="1"/>
  <c r="AS140" i="1"/>
  <c r="AS139" i="1"/>
  <c r="AS138" i="1"/>
  <c r="AS137" i="1"/>
  <c r="AS136" i="1"/>
  <c r="AS135" i="1"/>
  <c r="AS134" i="1"/>
  <c r="AR244" i="1"/>
  <c r="AR243" i="1"/>
  <c r="AR242" i="1"/>
  <c r="AR241" i="1"/>
  <c r="AR240" i="1"/>
  <c r="AR239" i="1"/>
  <c r="AR238" i="1"/>
  <c r="AR237" i="1"/>
  <c r="AR236" i="1"/>
  <c r="AR235" i="1"/>
  <c r="AR234" i="1"/>
  <c r="AR233" i="1"/>
  <c r="AR232" i="1"/>
  <c r="AR231" i="1"/>
  <c r="AR230" i="1"/>
  <c r="AR229" i="1"/>
  <c r="AR228" i="1"/>
  <c r="AR227" i="1"/>
  <c r="AR226" i="1"/>
  <c r="AR225" i="1"/>
  <c r="AR224" i="1"/>
  <c r="AR223" i="1"/>
  <c r="AR222" i="1"/>
  <c r="AR221" i="1"/>
  <c r="AR220" i="1"/>
  <c r="AR219" i="1"/>
  <c r="AR218" i="1"/>
  <c r="AR217" i="1"/>
  <c r="AR216" i="1"/>
  <c r="AR215" i="1"/>
  <c r="AR214" i="1"/>
  <c r="AR213" i="1"/>
  <c r="AR212" i="1"/>
  <c r="AR211" i="1"/>
  <c r="AR210" i="1"/>
  <c r="AR209" i="1"/>
  <c r="AR208" i="1"/>
  <c r="AR207" i="1"/>
  <c r="AR206" i="1"/>
  <c r="AR205" i="1"/>
  <c r="AR204" i="1"/>
  <c r="AR203" i="1"/>
  <c r="AR202" i="1"/>
  <c r="AR201" i="1"/>
  <c r="AR200" i="1"/>
  <c r="AR199" i="1"/>
  <c r="AR198" i="1"/>
  <c r="AR197" i="1"/>
  <c r="AR196" i="1"/>
  <c r="AR195" i="1"/>
  <c r="AR194" i="1"/>
  <c r="AR193" i="1"/>
  <c r="AR192" i="1"/>
  <c r="AR191" i="1"/>
  <c r="AR190" i="1"/>
  <c r="AR189" i="1"/>
  <c r="AR188" i="1"/>
  <c r="AR187" i="1"/>
  <c r="AR186" i="1"/>
  <c r="AR185" i="1"/>
  <c r="AR184" i="1"/>
  <c r="AR183" i="1"/>
  <c r="AR182" i="1"/>
  <c r="AR181" i="1"/>
  <c r="AR180" i="1"/>
  <c r="AR179" i="1"/>
  <c r="AR178" i="1"/>
  <c r="AR177" i="1"/>
  <c r="AR176" i="1"/>
  <c r="AR175" i="1"/>
  <c r="AR174" i="1"/>
  <c r="AR173" i="1"/>
  <c r="AR172" i="1"/>
  <c r="AR171" i="1"/>
  <c r="AR170" i="1"/>
  <c r="AR169" i="1"/>
  <c r="AR168" i="1"/>
  <c r="AR167" i="1"/>
  <c r="AR166" i="1"/>
  <c r="AR165" i="1"/>
  <c r="AR164" i="1"/>
  <c r="AR163" i="1"/>
  <c r="AR162" i="1"/>
  <c r="AR161" i="1"/>
  <c r="AR160" i="1"/>
  <c r="AR159" i="1"/>
  <c r="AR158" i="1"/>
  <c r="AR157" i="1"/>
  <c r="AR156" i="1"/>
  <c r="AR155" i="1"/>
  <c r="AR153" i="1"/>
  <c r="AR152" i="1"/>
  <c r="AR151" i="1"/>
  <c r="AR150" i="1"/>
  <c r="AR149" i="1"/>
  <c r="AR148" i="1"/>
  <c r="AR147" i="1"/>
  <c r="AR146" i="1"/>
  <c r="AR145" i="1"/>
  <c r="AR144" i="1"/>
  <c r="AR143" i="1"/>
  <c r="AR142" i="1"/>
  <c r="AR141" i="1"/>
  <c r="AR140" i="1"/>
  <c r="AR139" i="1"/>
  <c r="AR138" i="1"/>
  <c r="AR137" i="1"/>
  <c r="AR136" i="1"/>
  <c r="AR135" i="1"/>
  <c r="AR134" i="1"/>
  <c r="AQ244" i="1"/>
  <c r="AQ243" i="1"/>
  <c r="AQ242" i="1"/>
  <c r="AQ241" i="1"/>
  <c r="AQ240" i="1"/>
  <c r="AQ239" i="1"/>
  <c r="AQ238" i="1"/>
  <c r="AQ237" i="1"/>
  <c r="AQ236" i="1"/>
  <c r="AQ235" i="1"/>
  <c r="AQ234" i="1"/>
  <c r="AQ233" i="1"/>
  <c r="AQ232" i="1"/>
  <c r="AQ231" i="1"/>
  <c r="AQ230" i="1"/>
  <c r="AQ229" i="1"/>
  <c r="AQ228" i="1"/>
  <c r="AQ227" i="1"/>
  <c r="AQ226" i="1"/>
  <c r="AQ225" i="1"/>
  <c r="AQ224" i="1"/>
  <c r="AQ223" i="1"/>
  <c r="AQ222" i="1"/>
  <c r="AQ221" i="1"/>
  <c r="AQ220" i="1"/>
  <c r="AQ219" i="1"/>
  <c r="AQ218" i="1"/>
  <c r="AQ217" i="1"/>
  <c r="AQ216" i="1"/>
  <c r="AQ215" i="1"/>
  <c r="AQ214" i="1"/>
  <c r="AQ213" i="1"/>
  <c r="AQ212" i="1"/>
  <c r="AQ211" i="1"/>
  <c r="AQ210" i="1"/>
  <c r="AQ209" i="1"/>
  <c r="AQ208" i="1"/>
  <c r="AQ207" i="1"/>
  <c r="AQ206" i="1"/>
  <c r="AQ205" i="1"/>
  <c r="AQ204" i="1"/>
  <c r="AQ203" i="1"/>
  <c r="AQ202" i="1"/>
  <c r="AQ201" i="1"/>
  <c r="AQ200" i="1"/>
  <c r="AQ199" i="1"/>
  <c r="AQ198" i="1"/>
  <c r="AQ197" i="1"/>
  <c r="AQ196" i="1"/>
  <c r="AQ195" i="1"/>
  <c r="AQ194" i="1"/>
  <c r="AQ193" i="1"/>
  <c r="AQ192" i="1"/>
  <c r="AQ191" i="1"/>
  <c r="AQ190" i="1"/>
  <c r="AQ189" i="1"/>
  <c r="AQ188" i="1"/>
  <c r="AQ187" i="1"/>
  <c r="AQ186" i="1"/>
  <c r="AQ185" i="1"/>
  <c r="AQ184" i="1"/>
  <c r="AQ183" i="1"/>
  <c r="AQ182" i="1"/>
  <c r="AQ181" i="1"/>
  <c r="AQ180" i="1"/>
  <c r="AQ179" i="1"/>
  <c r="AQ178" i="1"/>
  <c r="AQ177" i="1"/>
  <c r="AQ176" i="1"/>
  <c r="AQ175" i="1"/>
  <c r="AQ174" i="1"/>
  <c r="AQ173" i="1"/>
  <c r="AQ172" i="1"/>
  <c r="AQ171" i="1"/>
  <c r="AQ170" i="1"/>
  <c r="AQ169" i="1"/>
  <c r="AQ168" i="1"/>
  <c r="AQ167" i="1"/>
  <c r="AQ166" i="1"/>
  <c r="AQ165" i="1"/>
  <c r="AQ164" i="1"/>
  <c r="AQ163" i="1"/>
  <c r="AQ162" i="1"/>
  <c r="AQ161" i="1"/>
  <c r="AQ160" i="1"/>
  <c r="AQ159" i="1"/>
  <c r="AQ158" i="1"/>
  <c r="AQ157" i="1"/>
  <c r="AQ156" i="1"/>
  <c r="AQ155" i="1"/>
  <c r="AQ154" i="1"/>
  <c r="AQ153" i="1"/>
  <c r="AQ152" i="1"/>
  <c r="AQ151" i="1"/>
  <c r="AQ150" i="1"/>
  <c r="AQ149" i="1"/>
  <c r="AQ148" i="1"/>
  <c r="AQ147" i="1"/>
  <c r="AQ146" i="1"/>
  <c r="AQ145" i="1"/>
  <c r="AQ144" i="1"/>
  <c r="AQ143" i="1"/>
  <c r="AQ142" i="1"/>
  <c r="AQ141" i="1"/>
  <c r="AQ140" i="1"/>
  <c r="AQ139" i="1"/>
  <c r="AQ138" i="1"/>
  <c r="AQ137" i="1"/>
  <c r="AQ136" i="1"/>
  <c r="AQ135" i="1"/>
  <c r="AQ134" i="1"/>
  <c r="AP244" i="1"/>
  <c r="AP243" i="1"/>
  <c r="AP242" i="1"/>
  <c r="AP241" i="1"/>
  <c r="AP240" i="1"/>
  <c r="AP239" i="1"/>
  <c r="AP238" i="1"/>
  <c r="AP237" i="1"/>
  <c r="AP236" i="1"/>
  <c r="AP235" i="1"/>
  <c r="AP234" i="1"/>
  <c r="AP233" i="1"/>
  <c r="AP232" i="1"/>
  <c r="AP231" i="1"/>
  <c r="AP230" i="1"/>
  <c r="AP229" i="1"/>
  <c r="AP228" i="1"/>
  <c r="AP227" i="1"/>
  <c r="AP226" i="1"/>
  <c r="AP225" i="1"/>
  <c r="AP224" i="1"/>
  <c r="AP223" i="1"/>
  <c r="AP222" i="1"/>
  <c r="AP221" i="1"/>
  <c r="AP220" i="1"/>
  <c r="AP219" i="1"/>
  <c r="AP218" i="1"/>
  <c r="AP217" i="1"/>
  <c r="AP216" i="1"/>
  <c r="AP215" i="1"/>
  <c r="AP214" i="1"/>
  <c r="AP213" i="1"/>
  <c r="AP212" i="1"/>
  <c r="AP211" i="1"/>
  <c r="AP210" i="1"/>
  <c r="AP209" i="1"/>
  <c r="AP208" i="1"/>
  <c r="AP207" i="1"/>
  <c r="AP206" i="1"/>
  <c r="AP205" i="1"/>
  <c r="AP204" i="1"/>
  <c r="AP203" i="1"/>
  <c r="AP202" i="1"/>
  <c r="AP201" i="1"/>
  <c r="AP200" i="1"/>
  <c r="AP199" i="1"/>
  <c r="AP198" i="1"/>
  <c r="AP197" i="1"/>
  <c r="AP196" i="1"/>
  <c r="AP195" i="1"/>
  <c r="AP194" i="1"/>
  <c r="AP193" i="1"/>
  <c r="AP192" i="1"/>
  <c r="AP191" i="1"/>
  <c r="AP190" i="1"/>
  <c r="AP189" i="1"/>
  <c r="AP188" i="1"/>
  <c r="AP187" i="1"/>
  <c r="AP186" i="1"/>
  <c r="AP185" i="1"/>
  <c r="AP184" i="1"/>
  <c r="AP183" i="1"/>
  <c r="AP182" i="1"/>
  <c r="AP181" i="1"/>
  <c r="AP180" i="1"/>
  <c r="AP179" i="1"/>
  <c r="AP178" i="1"/>
  <c r="AP177" i="1"/>
  <c r="AP176" i="1"/>
  <c r="AP175" i="1"/>
  <c r="AP174" i="1"/>
  <c r="AP173" i="1"/>
  <c r="AP172" i="1"/>
  <c r="AP171" i="1"/>
  <c r="AP170" i="1"/>
  <c r="AP169" i="1"/>
  <c r="AP168" i="1"/>
  <c r="AP167" i="1"/>
  <c r="AP166" i="1"/>
  <c r="AP165" i="1"/>
  <c r="AP164" i="1"/>
  <c r="AP163" i="1"/>
  <c r="AP162" i="1"/>
  <c r="AP161" i="1"/>
  <c r="AP160" i="1"/>
  <c r="AP159" i="1"/>
  <c r="AP158" i="1"/>
  <c r="AP157" i="1"/>
  <c r="AP156" i="1"/>
  <c r="AP155" i="1"/>
  <c r="AP154" i="1"/>
  <c r="AP153" i="1"/>
  <c r="AP152" i="1"/>
  <c r="AP151" i="1"/>
  <c r="AP150" i="1"/>
  <c r="AP149" i="1"/>
  <c r="AP148" i="1"/>
  <c r="AP147" i="1"/>
  <c r="AP146" i="1"/>
  <c r="AP145" i="1"/>
  <c r="AP144" i="1"/>
  <c r="AP143" i="1"/>
  <c r="AP142" i="1"/>
  <c r="AP141" i="1"/>
  <c r="AP140" i="1"/>
  <c r="AP139" i="1"/>
  <c r="AP138" i="1"/>
  <c r="AP137" i="1"/>
  <c r="AP136" i="1"/>
  <c r="AP135" i="1"/>
  <c r="AP134" i="1"/>
  <c r="AO244" i="1"/>
  <c r="AO243" i="1"/>
  <c r="AO242" i="1"/>
  <c r="AO241" i="1"/>
  <c r="AO240" i="1"/>
  <c r="AO239" i="1"/>
  <c r="AO238" i="1"/>
  <c r="AO237" i="1"/>
  <c r="AO236" i="1"/>
  <c r="AO235" i="1"/>
  <c r="AO234" i="1"/>
  <c r="AO233" i="1"/>
  <c r="AO232" i="1"/>
  <c r="AO231" i="1"/>
  <c r="AO230" i="1"/>
  <c r="AO229" i="1"/>
  <c r="AO228" i="1"/>
  <c r="AO227" i="1"/>
  <c r="AO226" i="1"/>
  <c r="AO225" i="1"/>
  <c r="AO224" i="1"/>
  <c r="AO223" i="1"/>
  <c r="AO222" i="1"/>
  <c r="AO221" i="1"/>
  <c r="AO220" i="1"/>
  <c r="AO219" i="1"/>
  <c r="AO218" i="1"/>
  <c r="AO217" i="1"/>
  <c r="AO216" i="1"/>
  <c r="AO215" i="1"/>
  <c r="AO214" i="1"/>
  <c r="AO213" i="1"/>
  <c r="AO212" i="1"/>
  <c r="AO211" i="1"/>
  <c r="AO210" i="1"/>
  <c r="AO209" i="1"/>
  <c r="AO208" i="1"/>
  <c r="AO207" i="1"/>
  <c r="AO206" i="1"/>
  <c r="AO205" i="1"/>
  <c r="AO204" i="1"/>
  <c r="AO203" i="1"/>
  <c r="AO202" i="1"/>
  <c r="AO201" i="1"/>
  <c r="AO200" i="1"/>
  <c r="AO199" i="1"/>
  <c r="AO198" i="1"/>
  <c r="AO197" i="1"/>
  <c r="AO196" i="1"/>
  <c r="AO195" i="1"/>
  <c r="AO194" i="1"/>
  <c r="AO193" i="1"/>
  <c r="AO192" i="1"/>
  <c r="AO191" i="1"/>
  <c r="AO190" i="1"/>
  <c r="AO189" i="1"/>
  <c r="AO188" i="1"/>
  <c r="AO187" i="1"/>
  <c r="AO186" i="1"/>
  <c r="AO185" i="1"/>
  <c r="AO184" i="1"/>
  <c r="AO183" i="1"/>
  <c r="AO182" i="1"/>
  <c r="AO181" i="1"/>
  <c r="AO180" i="1"/>
  <c r="AO179" i="1"/>
  <c r="AO178" i="1"/>
  <c r="AO177" i="1"/>
  <c r="AO176" i="1"/>
  <c r="AO175" i="1"/>
  <c r="AO174" i="1"/>
  <c r="AO173" i="1"/>
  <c r="AO172" i="1"/>
  <c r="AO171" i="1"/>
  <c r="AO170" i="1"/>
  <c r="AO169" i="1"/>
  <c r="AO168" i="1"/>
  <c r="AO167" i="1"/>
  <c r="AO166" i="1"/>
  <c r="AO165" i="1"/>
  <c r="AO164" i="1"/>
  <c r="AO163" i="1"/>
  <c r="AO162" i="1"/>
  <c r="AO161" i="1"/>
  <c r="AO160" i="1"/>
  <c r="AO159" i="1"/>
  <c r="AO158" i="1"/>
  <c r="AO157" i="1"/>
  <c r="AO156" i="1"/>
  <c r="AO155" i="1"/>
  <c r="AO154" i="1"/>
  <c r="AO153" i="1"/>
  <c r="AO152" i="1"/>
  <c r="AO151" i="1"/>
  <c r="AO150" i="1"/>
  <c r="AO149" i="1"/>
  <c r="AO148" i="1"/>
  <c r="AO147" i="1"/>
  <c r="AO146" i="1"/>
  <c r="AO145" i="1"/>
  <c r="AO144" i="1"/>
  <c r="AO143" i="1"/>
  <c r="AO142" i="1"/>
  <c r="AO141" i="1"/>
  <c r="AO140" i="1"/>
  <c r="AO139" i="1"/>
  <c r="AO138" i="1"/>
  <c r="AO137" i="1"/>
  <c r="AO136" i="1"/>
  <c r="AO135" i="1"/>
  <c r="AO134" i="1"/>
  <c r="AN244" i="1"/>
  <c r="AN243" i="1"/>
  <c r="AN242" i="1"/>
  <c r="AN241" i="1"/>
  <c r="AN240" i="1"/>
  <c r="AN239" i="1"/>
  <c r="AN238" i="1"/>
  <c r="AN237" i="1"/>
  <c r="AN236" i="1"/>
  <c r="AN235" i="1"/>
  <c r="AN234" i="1"/>
  <c r="AN233" i="1"/>
  <c r="AN232" i="1"/>
  <c r="AN231" i="1"/>
  <c r="AN230" i="1"/>
  <c r="AN229" i="1"/>
  <c r="AN228" i="1"/>
  <c r="AN227" i="1"/>
  <c r="AN226" i="1"/>
  <c r="AN225" i="1"/>
  <c r="AN224" i="1"/>
  <c r="AN223" i="1"/>
  <c r="AN222" i="1"/>
  <c r="AN221" i="1"/>
  <c r="AN220" i="1"/>
  <c r="AN219" i="1"/>
  <c r="AN218" i="1"/>
  <c r="AN217" i="1"/>
  <c r="AN216" i="1"/>
  <c r="AN215" i="1"/>
  <c r="AN214" i="1"/>
  <c r="AN213" i="1"/>
  <c r="AN212" i="1"/>
  <c r="AN211" i="1"/>
  <c r="AN210" i="1"/>
  <c r="AN209" i="1"/>
  <c r="AN208" i="1"/>
  <c r="AN207" i="1"/>
  <c r="AN206" i="1"/>
  <c r="AN205" i="1"/>
  <c r="AN204" i="1"/>
  <c r="AN203" i="1"/>
  <c r="AN202" i="1"/>
  <c r="AN201" i="1"/>
  <c r="AN200" i="1"/>
  <c r="AN199" i="1"/>
  <c r="AN198" i="1"/>
  <c r="AN197" i="1"/>
  <c r="AN196" i="1"/>
  <c r="AN195" i="1"/>
  <c r="AN194" i="1"/>
  <c r="AN193" i="1"/>
  <c r="AN192" i="1"/>
  <c r="AN191" i="1"/>
  <c r="AN190" i="1"/>
  <c r="AN189" i="1"/>
  <c r="AN188" i="1"/>
  <c r="AN187" i="1"/>
  <c r="AN186" i="1"/>
  <c r="AN185" i="1"/>
  <c r="AN184" i="1"/>
  <c r="AN183" i="1"/>
  <c r="AN182" i="1"/>
  <c r="AN181" i="1"/>
  <c r="AN180" i="1"/>
  <c r="AN179" i="1"/>
  <c r="AN178" i="1"/>
  <c r="AN177" i="1"/>
  <c r="AN176" i="1"/>
  <c r="AN175" i="1"/>
  <c r="AN174" i="1"/>
  <c r="AN173" i="1"/>
  <c r="AN172" i="1"/>
  <c r="AN171" i="1"/>
  <c r="AN170" i="1"/>
  <c r="AN169" i="1"/>
  <c r="AN168" i="1"/>
  <c r="AN167" i="1"/>
  <c r="AN166" i="1"/>
  <c r="AN165" i="1"/>
  <c r="AN164" i="1"/>
  <c r="AN163" i="1"/>
  <c r="AN162" i="1"/>
  <c r="AN161" i="1"/>
  <c r="AN160" i="1"/>
  <c r="AN159" i="1"/>
  <c r="AN158" i="1"/>
  <c r="AN157" i="1"/>
  <c r="AN156" i="1"/>
  <c r="AN155" i="1"/>
  <c r="AN154" i="1"/>
  <c r="AN153" i="1"/>
  <c r="AN152" i="1"/>
  <c r="AN151" i="1"/>
  <c r="AN150" i="1"/>
  <c r="AN149" i="1"/>
  <c r="AN148" i="1"/>
  <c r="AN147" i="1"/>
  <c r="AN146" i="1"/>
  <c r="AN145" i="1"/>
  <c r="AN144" i="1"/>
  <c r="AN143" i="1"/>
  <c r="AN142" i="1"/>
  <c r="AN141" i="1"/>
  <c r="AN140" i="1"/>
  <c r="AN139" i="1"/>
  <c r="AN138" i="1"/>
  <c r="AN137" i="1"/>
  <c r="AN136" i="1"/>
  <c r="AN135" i="1"/>
  <c r="AN134" i="1"/>
  <c r="AM244" i="1"/>
  <c r="AM243" i="1"/>
  <c r="AM242" i="1"/>
  <c r="AM241" i="1"/>
  <c r="AM240" i="1"/>
  <c r="AM239" i="1"/>
  <c r="AM238" i="1"/>
  <c r="AM237" i="1"/>
  <c r="AM236" i="1"/>
  <c r="AM235" i="1"/>
  <c r="AM234" i="1"/>
  <c r="AM233" i="1"/>
  <c r="AM232" i="1"/>
  <c r="AM231" i="1"/>
  <c r="AM230" i="1"/>
  <c r="AM229" i="1"/>
  <c r="AM228" i="1"/>
  <c r="AM227" i="1"/>
  <c r="AM226" i="1"/>
  <c r="AM225" i="1"/>
  <c r="AM224" i="1"/>
  <c r="AM223" i="1"/>
  <c r="AM222" i="1"/>
  <c r="AM221" i="1"/>
  <c r="AM220" i="1"/>
  <c r="AM219" i="1"/>
  <c r="AM218" i="1"/>
  <c r="AM217" i="1"/>
  <c r="AM216" i="1"/>
  <c r="AM215" i="1"/>
  <c r="AM214" i="1"/>
  <c r="AM213" i="1"/>
  <c r="AM212" i="1"/>
  <c r="AM211" i="1"/>
  <c r="AM210" i="1"/>
  <c r="AM209" i="1"/>
  <c r="AM208" i="1"/>
  <c r="AM207" i="1"/>
  <c r="AM206" i="1"/>
  <c r="AM205" i="1"/>
  <c r="AM204" i="1"/>
  <c r="AM203" i="1"/>
  <c r="AM202" i="1"/>
  <c r="AM201" i="1"/>
  <c r="AM200" i="1"/>
  <c r="AM199" i="1"/>
  <c r="AM198" i="1"/>
  <c r="AM197" i="1"/>
  <c r="AM196" i="1"/>
  <c r="AM195" i="1"/>
  <c r="AM194" i="1"/>
  <c r="AM193" i="1"/>
  <c r="AM192" i="1"/>
  <c r="AM191" i="1"/>
  <c r="AM190" i="1"/>
  <c r="AM189" i="1"/>
  <c r="AM188" i="1"/>
  <c r="AM187" i="1"/>
  <c r="AM186" i="1"/>
  <c r="AM185" i="1"/>
  <c r="AM184" i="1"/>
  <c r="AM183" i="1"/>
  <c r="AM182" i="1"/>
  <c r="AM181" i="1"/>
  <c r="AM180" i="1"/>
  <c r="AM179" i="1"/>
  <c r="AM178" i="1"/>
  <c r="AM177" i="1"/>
  <c r="AM176" i="1"/>
  <c r="AM175" i="1"/>
  <c r="AM174" i="1"/>
  <c r="AM173" i="1"/>
  <c r="AM172" i="1"/>
  <c r="AM171" i="1"/>
  <c r="AM170" i="1"/>
  <c r="AM169" i="1"/>
  <c r="AM168" i="1"/>
  <c r="AM167" i="1"/>
  <c r="AM166" i="1"/>
  <c r="AM165" i="1"/>
  <c r="AM164" i="1"/>
  <c r="AM163" i="1"/>
  <c r="AM162" i="1"/>
  <c r="AM161" i="1"/>
  <c r="AM160" i="1"/>
  <c r="AM159" i="1"/>
  <c r="AM158" i="1"/>
  <c r="AM157" i="1"/>
  <c r="AM156" i="1"/>
  <c r="AM155" i="1"/>
  <c r="AM154" i="1"/>
  <c r="AM153" i="1"/>
  <c r="AM152" i="1"/>
  <c r="AM151" i="1"/>
  <c r="AM150" i="1"/>
  <c r="AM149" i="1"/>
  <c r="AM148" i="1"/>
  <c r="AM147" i="1"/>
  <c r="AM146" i="1"/>
  <c r="AM145" i="1"/>
  <c r="AM144" i="1"/>
  <c r="AM143" i="1"/>
  <c r="AM142" i="1"/>
  <c r="AM141" i="1"/>
  <c r="AM140" i="1"/>
  <c r="AM139" i="1"/>
  <c r="AM138" i="1"/>
  <c r="AM137" i="1"/>
  <c r="AM136" i="1"/>
  <c r="AM135" i="1"/>
  <c r="AM134" i="1"/>
  <c r="AL244" i="1"/>
  <c r="AL243" i="1"/>
  <c r="AL242" i="1"/>
  <c r="AL241" i="1"/>
  <c r="AL240" i="1"/>
  <c r="AL239" i="1"/>
  <c r="AL238" i="1"/>
  <c r="AL237" i="1"/>
  <c r="AL236" i="1"/>
  <c r="AL235" i="1"/>
  <c r="AL234" i="1"/>
  <c r="AL233" i="1"/>
  <c r="AL232" i="1"/>
  <c r="AL231" i="1"/>
  <c r="AL230" i="1"/>
  <c r="AL229" i="1"/>
  <c r="AL228" i="1"/>
  <c r="AL227" i="1"/>
  <c r="AL226" i="1"/>
  <c r="AL225" i="1"/>
  <c r="AL224" i="1"/>
  <c r="AL223" i="1"/>
  <c r="AL222" i="1"/>
  <c r="AL221" i="1"/>
  <c r="AL220" i="1"/>
  <c r="AL219" i="1"/>
  <c r="AL218" i="1"/>
  <c r="AL217" i="1"/>
  <c r="AL216" i="1"/>
  <c r="CY216" i="1" s="1"/>
  <c r="AL215" i="1"/>
  <c r="AL214" i="1"/>
  <c r="AL213" i="1"/>
  <c r="AL212" i="1"/>
  <c r="AL211" i="1"/>
  <c r="AL210" i="1"/>
  <c r="AL209" i="1"/>
  <c r="AL206" i="1"/>
  <c r="AL205" i="1"/>
  <c r="AL204" i="1"/>
  <c r="AL203" i="1"/>
  <c r="AL202" i="1"/>
  <c r="AL201" i="1"/>
  <c r="AL200" i="1"/>
  <c r="AL199" i="1"/>
  <c r="AL198" i="1"/>
  <c r="AL197" i="1"/>
  <c r="AL196" i="1"/>
  <c r="AL195" i="1"/>
  <c r="AL194" i="1"/>
  <c r="AL193" i="1"/>
  <c r="AL192" i="1"/>
  <c r="AL191" i="1"/>
  <c r="AL190" i="1"/>
  <c r="AL189" i="1"/>
  <c r="AL188" i="1"/>
  <c r="AL187" i="1"/>
  <c r="AL186" i="1"/>
  <c r="AL185" i="1"/>
  <c r="AL184" i="1"/>
  <c r="AL183" i="1"/>
  <c r="AL182" i="1"/>
  <c r="AL181" i="1"/>
  <c r="AL180" i="1"/>
  <c r="AL179" i="1"/>
  <c r="AL178" i="1"/>
  <c r="AL177" i="1"/>
  <c r="AL176" i="1"/>
  <c r="AL175" i="1"/>
  <c r="AL174" i="1"/>
  <c r="AL173" i="1"/>
  <c r="AL172" i="1"/>
  <c r="AL171" i="1"/>
  <c r="AL170" i="1"/>
  <c r="AL169" i="1"/>
  <c r="AL168" i="1"/>
  <c r="AL167" i="1"/>
  <c r="AL166" i="1"/>
  <c r="AL165" i="1"/>
  <c r="AL164" i="1"/>
  <c r="AL163" i="1"/>
  <c r="AL162" i="1"/>
  <c r="AL161" i="1"/>
  <c r="AL160" i="1"/>
  <c r="AL159" i="1"/>
  <c r="AL158" i="1"/>
  <c r="AL157" i="1"/>
  <c r="AL156" i="1"/>
  <c r="AL155" i="1"/>
  <c r="AL154" i="1"/>
  <c r="AL153" i="1"/>
  <c r="AL152" i="1"/>
  <c r="AL151" i="1"/>
  <c r="AL150" i="1"/>
  <c r="AL149" i="1"/>
  <c r="AL148" i="1"/>
  <c r="AL147" i="1"/>
  <c r="AL146" i="1"/>
  <c r="AL145" i="1"/>
  <c r="AL144" i="1"/>
  <c r="AL143" i="1"/>
  <c r="AL142" i="1"/>
  <c r="AL141" i="1"/>
  <c r="AL140" i="1"/>
  <c r="AL139" i="1"/>
  <c r="AL138" i="1"/>
  <c r="AL137" i="1"/>
  <c r="AL136" i="1"/>
  <c r="AL135" i="1"/>
  <c r="AL134" i="1"/>
  <c r="AK244" i="1"/>
  <c r="AK243" i="1"/>
  <c r="AK242" i="1"/>
  <c r="AK241" i="1"/>
  <c r="AK240" i="1"/>
  <c r="AK239" i="1"/>
  <c r="AK238" i="1"/>
  <c r="AK237" i="1"/>
  <c r="AK236" i="1"/>
  <c r="AK235" i="1"/>
  <c r="AK234" i="1"/>
  <c r="AK233" i="1"/>
  <c r="AK232" i="1"/>
  <c r="AK231" i="1"/>
  <c r="AK230" i="1"/>
  <c r="AK229" i="1"/>
  <c r="AK228" i="1"/>
  <c r="AK227" i="1"/>
  <c r="AK226" i="1"/>
  <c r="AK225" i="1"/>
  <c r="AK224" i="1"/>
  <c r="AK223" i="1"/>
  <c r="AK222" i="1"/>
  <c r="AK221" i="1"/>
  <c r="AK220" i="1"/>
  <c r="AK219" i="1"/>
  <c r="AK218" i="1"/>
  <c r="AK217" i="1"/>
  <c r="AK216" i="1"/>
  <c r="AK215" i="1"/>
  <c r="AK214" i="1"/>
  <c r="AK213" i="1"/>
  <c r="AK212" i="1"/>
  <c r="AK211" i="1"/>
  <c r="AK210" i="1"/>
  <c r="AK209" i="1"/>
  <c r="AK208" i="1"/>
  <c r="AK207" i="1"/>
  <c r="AK206" i="1"/>
  <c r="AK205" i="1"/>
  <c r="AK204" i="1"/>
  <c r="AK203" i="1"/>
  <c r="AK202" i="1"/>
  <c r="AK201" i="1"/>
  <c r="AK200" i="1"/>
  <c r="AK199" i="1"/>
  <c r="AK198" i="1"/>
  <c r="AK197" i="1"/>
  <c r="AK196" i="1"/>
  <c r="AK195" i="1"/>
  <c r="AK194" i="1"/>
  <c r="AK193" i="1"/>
  <c r="AK192" i="1"/>
  <c r="AK191" i="1"/>
  <c r="AK190" i="1"/>
  <c r="AK189" i="1"/>
  <c r="AK188" i="1"/>
  <c r="AK187" i="1"/>
  <c r="AK186" i="1"/>
  <c r="AK185" i="1"/>
  <c r="AK184" i="1"/>
  <c r="AK183" i="1"/>
  <c r="AK182" i="1"/>
  <c r="AK181" i="1"/>
  <c r="AK180" i="1"/>
  <c r="AK179" i="1"/>
  <c r="AK178" i="1"/>
  <c r="AK177" i="1"/>
  <c r="AK176" i="1"/>
  <c r="AK175" i="1"/>
  <c r="AK174" i="1"/>
  <c r="AK173" i="1"/>
  <c r="AK172" i="1"/>
  <c r="AK171" i="1"/>
  <c r="AK170" i="1"/>
  <c r="AK169" i="1"/>
  <c r="AK168" i="1"/>
  <c r="AK167" i="1"/>
  <c r="AK166" i="1"/>
  <c r="AK165" i="1"/>
  <c r="AK164" i="1"/>
  <c r="AK163" i="1"/>
  <c r="AK162" i="1"/>
  <c r="AK161" i="1"/>
  <c r="AK160" i="1"/>
  <c r="AK159" i="1"/>
  <c r="AK158" i="1"/>
  <c r="AK157" i="1"/>
  <c r="AK156" i="1"/>
  <c r="AK155" i="1"/>
  <c r="AK154" i="1"/>
  <c r="AK153" i="1"/>
  <c r="AK152" i="1"/>
  <c r="AK151" i="1"/>
  <c r="AK150" i="1"/>
  <c r="AK149" i="1"/>
  <c r="AK148" i="1"/>
  <c r="AK147" i="1"/>
  <c r="AK146" i="1"/>
  <c r="AK145" i="1"/>
  <c r="AK144" i="1"/>
  <c r="AK143" i="1"/>
  <c r="AK142" i="1"/>
  <c r="AK141" i="1"/>
  <c r="AK140" i="1"/>
  <c r="AK139" i="1"/>
  <c r="AK138" i="1"/>
  <c r="AK137" i="1"/>
  <c r="AK136" i="1"/>
  <c r="AK135" i="1"/>
  <c r="AK134" i="1"/>
  <c r="AJ244" i="1"/>
  <c r="AJ243" i="1"/>
  <c r="AJ242" i="1"/>
  <c r="AJ241" i="1"/>
  <c r="AJ240" i="1"/>
  <c r="AJ239" i="1"/>
  <c r="AJ238" i="1"/>
  <c r="AJ237" i="1"/>
  <c r="AJ236" i="1"/>
  <c r="AJ235" i="1"/>
  <c r="AJ234" i="1"/>
  <c r="AJ233" i="1"/>
  <c r="AJ232" i="1"/>
  <c r="AJ231" i="1"/>
  <c r="AJ230" i="1"/>
  <c r="AJ229" i="1"/>
  <c r="AJ228" i="1"/>
  <c r="AJ227" i="1"/>
  <c r="AJ226" i="1"/>
  <c r="AJ225" i="1"/>
  <c r="AJ224" i="1"/>
  <c r="AJ223" i="1"/>
  <c r="AJ222" i="1"/>
  <c r="AJ221" i="1"/>
  <c r="AJ220" i="1"/>
  <c r="AJ219" i="1"/>
  <c r="AJ218" i="1"/>
  <c r="AJ217" i="1"/>
  <c r="AJ216" i="1"/>
  <c r="AJ215" i="1"/>
  <c r="AJ214" i="1"/>
  <c r="AJ213" i="1"/>
  <c r="AJ212" i="1"/>
  <c r="AJ211" i="1"/>
  <c r="AJ210" i="1"/>
  <c r="AJ209" i="1"/>
  <c r="AJ208" i="1"/>
  <c r="AJ207" i="1"/>
  <c r="AJ206" i="1"/>
  <c r="AJ205" i="1"/>
  <c r="AJ204" i="1"/>
  <c r="AJ203" i="1"/>
  <c r="AJ202" i="1"/>
  <c r="AJ201" i="1"/>
  <c r="AJ200" i="1"/>
  <c r="AJ199" i="1"/>
  <c r="AJ198" i="1"/>
  <c r="AJ197" i="1"/>
  <c r="AJ196" i="1"/>
  <c r="AJ195" i="1"/>
  <c r="AJ194" i="1"/>
  <c r="AJ193" i="1"/>
  <c r="AJ192" i="1"/>
  <c r="AJ191" i="1"/>
  <c r="AJ190" i="1"/>
  <c r="AJ189" i="1"/>
  <c r="AJ188" i="1"/>
  <c r="AJ187" i="1"/>
  <c r="AJ186" i="1"/>
  <c r="AJ185" i="1"/>
  <c r="AJ184" i="1"/>
  <c r="AJ183" i="1"/>
  <c r="AJ182" i="1"/>
  <c r="AJ181" i="1"/>
  <c r="AJ180" i="1"/>
  <c r="AJ179" i="1"/>
  <c r="AJ178" i="1"/>
  <c r="AJ177" i="1"/>
  <c r="AJ176" i="1"/>
  <c r="AJ175" i="1"/>
  <c r="AJ174" i="1"/>
  <c r="AJ173" i="1"/>
  <c r="AJ172" i="1"/>
  <c r="AJ171" i="1"/>
  <c r="AJ170" i="1"/>
  <c r="AJ169" i="1"/>
  <c r="AJ168" i="1"/>
  <c r="AJ167" i="1"/>
  <c r="AJ166" i="1"/>
  <c r="AJ165" i="1"/>
  <c r="AJ164" i="1"/>
  <c r="AJ163" i="1"/>
  <c r="AJ162" i="1"/>
  <c r="AJ161" i="1"/>
  <c r="AJ160" i="1"/>
  <c r="AJ159" i="1"/>
  <c r="AJ158" i="1"/>
  <c r="AJ157" i="1"/>
  <c r="AJ156" i="1"/>
  <c r="AJ155" i="1"/>
  <c r="AJ154" i="1"/>
  <c r="AJ153" i="1"/>
  <c r="AJ152" i="1"/>
  <c r="AJ151" i="1"/>
  <c r="AJ150" i="1"/>
  <c r="AJ149" i="1"/>
  <c r="AJ148" i="1"/>
  <c r="AJ147" i="1"/>
  <c r="AJ146" i="1"/>
  <c r="AJ145" i="1"/>
  <c r="AJ144" i="1"/>
  <c r="AJ143" i="1"/>
  <c r="AJ142" i="1"/>
  <c r="AJ141" i="1"/>
  <c r="AJ140" i="1"/>
  <c r="AJ139" i="1"/>
  <c r="AJ138" i="1"/>
  <c r="AJ137" i="1"/>
  <c r="AJ136" i="1"/>
  <c r="AJ135" i="1"/>
  <c r="AJ134" i="1"/>
  <c r="AI244" i="1"/>
  <c r="AI243" i="1"/>
  <c r="AI242" i="1"/>
  <c r="AI241" i="1"/>
  <c r="AI240" i="1"/>
  <c r="AI239" i="1"/>
  <c r="AI238" i="1"/>
  <c r="AI237" i="1"/>
  <c r="AI236" i="1"/>
  <c r="AI235" i="1"/>
  <c r="AI234" i="1"/>
  <c r="AI233" i="1"/>
  <c r="AI232" i="1"/>
  <c r="AI231" i="1"/>
  <c r="AI230" i="1"/>
  <c r="AI229" i="1"/>
  <c r="AI228" i="1"/>
  <c r="AI227" i="1"/>
  <c r="AI226" i="1"/>
  <c r="AI225" i="1"/>
  <c r="AI224" i="1"/>
  <c r="AI223" i="1"/>
  <c r="AI222" i="1"/>
  <c r="AI221" i="1"/>
  <c r="AI220" i="1"/>
  <c r="AI219" i="1"/>
  <c r="AI218" i="1"/>
  <c r="AI217" i="1"/>
  <c r="AI216" i="1"/>
  <c r="AI215" i="1"/>
  <c r="AI214" i="1"/>
  <c r="AI213" i="1"/>
  <c r="AI212" i="1"/>
  <c r="AI211" i="1"/>
  <c r="AI210" i="1"/>
  <c r="AI209" i="1"/>
  <c r="AI208" i="1"/>
  <c r="AI207" i="1"/>
  <c r="AI206" i="1"/>
  <c r="AI205" i="1"/>
  <c r="AI204" i="1"/>
  <c r="AI203" i="1"/>
  <c r="AI202" i="1"/>
  <c r="AI201" i="1"/>
  <c r="AI200" i="1"/>
  <c r="AI199" i="1"/>
  <c r="AI198" i="1"/>
  <c r="AI197" i="1"/>
  <c r="AI196" i="1"/>
  <c r="AI195" i="1"/>
  <c r="AI194" i="1"/>
  <c r="AI193" i="1"/>
  <c r="AI192" i="1"/>
  <c r="AI191" i="1"/>
  <c r="AI190" i="1"/>
  <c r="AI189" i="1"/>
  <c r="AI188" i="1"/>
  <c r="AI187" i="1"/>
  <c r="AI186" i="1"/>
  <c r="AI185" i="1"/>
  <c r="AI184" i="1"/>
  <c r="AI183" i="1"/>
  <c r="AI182" i="1"/>
  <c r="AI181" i="1"/>
  <c r="AI180" i="1"/>
  <c r="AI179" i="1"/>
  <c r="AI178" i="1"/>
  <c r="AI177" i="1"/>
  <c r="AI176" i="1"/>
  <c r="AI175" i="1"/>
  <c r="AI174" i="1"/>
  <c r="AI173" i="1"/>
  <c r="AI172" i="1"/>
  <c r="AI171" i="1"/>
  <c r="AI170" i="1"/>
  <c r="AI169" i="1"/>
  <c r="AI168" i="1"/>
  <c r="AI167" i="1"/>
  <c r="AI166" i="1"/>
  <c r="AI165" i="1"/>
  <c r="AI164" i="1"/>
  <c r="AI163" i="1"/>
  <c r="AI162" i="1"/>
  <c r="AI161" i="1"/>
  <c r="AI160" i="1"/>
  <c r="AI159" i="1"/>
  <c r="AI158" i="1"/>
  <c r="AI157" i="1"/>
  <c r="AI156" i="1"/>
  <c r="AI155" i="1"/>
  <c r="AI154" i="1"/>
  <c r="AI153" i="1"/>
  <c r="AI152" i="1"/>
  <c r="AI151" i="1"/>
  <c r="AI150" i="1"/>
  <c r="AI149" i="1"/>
  <c r="AI148" i="1"/>
  <c r="AI147" i="1"/>
  <c r="AI146" i="1"/>
  <c r="AI145" i="1"/>
  <c r="AI144" i="1"/>
  <c r="AI143" i="1"/>
  <c r="AI142" i="1"/>
  <c r="AI141" i="1"/>
  <c r="AI140" i="1"/>
  <c r="AI139" i="1"/>
  <c r="AI138" i="1"/>
  <c r="AI137" i="1"/>
  <c r="AI136" i="1"/>
  <c r="AI135" i="1"/>
  <c r="AI134" i="1"/>
  <c r="AH244" i="1"/>
  <c r="AH243" i="1"/>
  <c r="AH242" i="1"/>
  <c r="AH241" i="1"/>
  <c r="AH240" i="1"/>
  <c r="AH239" i="1"/>
  <c r="AH238" i="1"/>
  <c r="AH237" i="1"/>
  <c r="AH236" i="1"/>
  <c r="AH235" i="1"/>
  <c r="AH234" i="1"/>
  <c r="AH233" i="1"/>
  <c r="AH232" i="1"/>
  <c r="AH231" i="1"/>
  <c r="AH230" i="1"/>
  <c r="AH229" i="1"/>
  <c r="AH228" i="1"/>
  <c r="AH227" i="1"/>
  <c r="AH226" i="1"/>
  <c r="AH225" i="1"/>
  <c r="AH224" i="1"/>
  <c r="AH223" i="1"/>
  <c r="AH222" i="1"/>
  <c r="AH221" i="1"/>
  <c r="AH220" i="1"/>
  <c r="AH219" i="1"/>
  <c r="AH218" i="1"/>
  <c r="AH217" i="1"/>
  <c r="AH216" i="1"/>
  <c r="AH215" i="1"/>
  <c r="AH214" i="1"/>
  <c r="AH213" i="1"/>
  <c r="AH212" i="1"/>
  <c r="AH211" i="1"/>
  <c r="AH210" i="1"/>
  <c r="AH209" i="1"/>
  <c r="AH208" i="1"/>
  <c r="AH207" i="1"/>
  <c r="AH206" i="1"/>
  <c r="AH205" i="1"/>
  <c r="AH204" i="1"/>
  <c r="AH203" i="1"/>
  <c r="AH202" i="1"/>
  <c r="AH201" i="1"/>
  <c r="AH200" i="1"/>
  <c r="AH199" i="1"/>
  <c r="AH198" i="1"/>
  <c r="AH197" i="1"/>
  <c r="AH196" i="1"/>
  <c r="AH195" i="1"/>
  <c r="AH194" i="1"/>
  <c r="AH193" i="1"/>
  <c r="AH192" i="1"/>
  <c r="AH191" i="1"/>
  <c r="AH190" i="1"/>
  <c r="AH189" i="1"/>
  <c r="AH188" i="1"/>
  <c r="AH187" i="1"/>
  <c r="AH186" i="1"/>
  <c r="AH185" i="1"/>
  <c r="AH184" i="1"/>
  <c r="AH183" i="1"/>
  <c r="AH182" i="1"/>
  <c r="AH181" i="1"/>
  <c r="AH180" i="1"/>
  <c r="AH179" i="1"/>
  <c r="AH178" i="1"/>
  <c r="AH177" i="1"/>
  <c r="AH176" i="1"/>
  <c r="AH175" i="1"/>
  <c r="AH174" i="1"/>
  <c r="AH173" i="1"/>
  <c r="AH172" i="1"/>
  <c r="AH171" i="1"/>
  <c r="AH170" i="1"/>
  <c r="AH169" i="1"/>
  <c r="AH168" i="1"/>
  <c r="AH167" i="1"/>
  <c r="AH166" i="1"/>
  <c r="AH165" i="1"/>
  <c r="AH164" i="1"/>
  <c r="AH163" i="1"/>
  <c r="AH162" i="1"/>
  <c r="AH161" i="1"/>
  <c r="AH160" i="1"/>
  <c r="AH159" i="1"/>
  <c r="AH158" i="1"/>
  <c r="AH157" i="1"/>
  <c r="AH156" i="1"/>
  <c r="AH155" i="1"/>
  <c r="AH154" i="1"/>
  <c r="AH153" i="1"/>
  <c r="AH152" i="1"/>
  <c r="AH151" i="1"/>
  <c r="AH150" i="1"/>
  <c r="AH149" i="1"/>
  <c r="AH148" i="1"/>
  <c r="AH147" i="1"/>
  <c r="AH146" i="1"/>
  <c r="AH145" i="1"/>
  <c r="AH144" i="1"/>
  <c r="AH143" i="1"/>
  <c r="AH142" i="1"/>
  <c r="AH141" i="1"/>
  <c r="AH140" i="1"/>
  <c r="AH139" i="1"/>
  <c r="AH138" i="1"/>
  <c r="AH137" i="1"/>
  <c r="AH136" i="1"/>
  <c r="AH135" i="1"/>
  <c r="AH134" i="1"/>
  <c r="AG244" i="1"/>
  <c r="AG243" i="1"/>
  <c r="AG242" i="1"/>
  <c r="AG241" i="1"/>
  <c r="AG240" i="1"/>
  <c r="AG239" i="1"/>
  <c r="AG238" i="1"/>
  <c r="AG237" i="1"/>
  <c r="AG236" i="1"/>
  <c r="AG235" i="1"/>
  <c r="AG234" i="1"/>
  <c r="AG233" i="1"/>
  <c r="AG232" i="1"/>
  <c r="AG231" i="1"/>
  <c r="AG230" i="1"/>
  <c r="AG229" i="1"/>
  <c r="AG228" i="1"/>
  <c r="AG227" i="1"/>
  <c r="AG226" i="1"/>
  <c r="AG225" i="1"/>
  <c r="AG224" i="1"/>
  <c r="AG223" i="1"/>
  <c r="AG222" i="1"/>
  <c r="AG221" i="1"/>
  <c r="AG220" i="1"/>
  <c r="AG219" i="1"/>
  <c r="AG218" i="1"/>
  <c r="AG217" i="1"/>
  <c r="AG216" i="1"/>
  <c r="AG215" i="1"/>
  <c r="AG214" i="1"/>
  <c r="AG213" i="1"/>
  <c r="AG212" i="1"/>
  <c r="AG211" i="1"/>
  <c r="AG210" i="1"/>
  <c r="AG209" i="1"/>
  <c r="AG208" i="1"/>
  <c r="AG207" i="1"/>
  <c r="AG206" i="1"/>
  <c r="AG205" i="1"/>
  <c r="AG204" i="1"/>
  <c r="AG203" i="1"/>
  <c r="AG202" i="1"/>
  <c r="AG201" i="1"/>
  <c r="AG200" i="1"/>
  <c r="AG199" i="1"/>
  <c r="AG198" i="1"/>
  <c r="AG197" i="1"/>
  <c r="AG196" i="1"/>
  <c r="AG195" i="1"/>
  <c r="AG194" i="1"/>
  <c r="AG193" i="1"/>
  <c r="AG192" i="1"/>
  <c r="AG191" i="1"/>
  <c r="AG190" i="1"/>
  <c r="AG189" i="1"/>
  <c r="AG188" i="1"/>
  <c r="AG187" i="1"/>
  <c r="AG186" i="1"/>
  <c r="AG185" i="1"/>
  <c r="AG184" i="1"/>
  <c r="AG183" i="1"/>
  <c r="AG182" i="1"/>
  <c r="AG181" i="1"/>
  <c r="AG180" i="1"/>
  <c r="AG179" i="1"/>
  <c r="AG178" i="1"/>
  <c r="AG177" i="1"/>
  <c r="AG176" i="1"/>
  <c r="AG175" i="1"/>
  <c r="AG174" i="1"/>
  <c r="AG173" i="1"/>
  <c r="AG172" i="1"/>
  <c r="AG171" i="1"/>
  <c r="AG170" i="1"/>
  <c r="AG169" i="1"/>
  <c r="AG168" i="1"/>
  <c r="AG167" i="1"/>
  <c r="AG166" i="1"/>
  <c r="AG165" i="1"/>
  <c r="AG164" i="1"/>
  <c r="AG163" i="1"/>
  <c r="AG162" i="1"/>
  <c r="AG161" i="1"/>
  <c r="AG160" i="1"/>
  <c r="AG159" i="1"/>
  <c r="AG158" i="1"/>
  <c r="AG157" i="1"/>
  <c r="AG156" i="1"/>
  <c r="AG154" i="1"/>
  <c r="AG153" i="1"/>
  <c r="AG152" i="1"/>
  <c r="AG151" i="1"/>
  <c r="AG150" i="1"/>
  <c r="AG149" i="1"/>
  <c r="AG148" i="1"/>
  <c r="AG147" i="1"/>
  <c r="AG146" i="1"/>
  <c r="AG145" i="1"/>
  <c r="AG144" i="1"/>
  <c r="AG143" i="1"/>
  <c r="AG142" i="1"/>
  <c r="AG141" i="1"/>
  <c r="AG140" i="1"/>
  <c r="AG139" i="1"/>
  <c r="AG138" i="1"/>
  <c r="AG137" i="1"/>
  <c r="AG136" i="1"/>
  <c r="AG135" i="1"/>
  <c r="AG134" i="1"/>
  <c r="AF244" i="1"/>
  <c r="AF243" i="1"/>
  <c r="AF242" i="1"/>
  <c r="AF241" i="1"/>
  <c r="AF240" i="1"/>
  <c r="AF239" i="1"/>
  <c r="AF238" i="1"/>
  <c r="AF237" i="1"/>
  <c r="AF236" i="1"/>
  <c r="AF235" i="1"/>
  <c r="AF234" i="1"/>
  <c r="AF233" i="1"/>
  <c r="AF232" i="1"/>
  <c r="AF231" i="1"/>
  <c r="AF230" i="1"/>
  <c r="AF229" i="1"/>
  <c r="AF228" i="1"/>
  <c r="AF227" i="1"/>
  <c r="AF226" i="1"/>
  <c r="AF225" i="1"/>
  <c r="AF224" i="1"/>
  <c r="AF223" i="1"/>
  <c r="AF222" i="1"/>
  <c r="AF221" i="1"/>
  <c r="AF220" i="1"/>
  <c r="AF219" i="1"/>
  <c r="AF218" i="1"/>
  <c r="AF217" i="1"/>
  <c r="AF216" i="1"/>
  <c r="AF215" i="1"/>
  <c r="AF214" i="1"/>
  <c r="AF213" i="1"/>
  <c r="AF212" i="1"/>
  <c r="AF211" i="1"/>
  <c r="AF210" i="1"/>
  <c r="AF209" i="1"/>
  <c r="AF208" i="1"/>
  <c r="AF207" i="1"/>
  <c r="AF206" i="1"/>
  <c r="AF205" i="1"/>
  <c r="AF204" i="1"/>
  <c r="AF203" i="1"/>
  <c r="AF202" i="1"/>
  <c r="AF201" i="1"/>
  <c r="AF200" i="1"/>
  <c r="AF199" i="1"/>
  <c r="AF198" i="1"/>
  <c r="AF197" i="1"/>
  <c r="AF196" i="1"/>
  <c r="AF195" i="1"/>
  <c r="AF194" i="1"/>
  <c r="AF193" i="1"/>
  <c r="AF192" i="1"/>
  <c r="AF191" i="1"/>
  <c r="AF190" i="1"/>
  <c r="AF189" i="1"/>
  <c r="AF188" i="1"/>
  <c r="AF187" i="1"/>
  <c r="AF186" i="1"/>
  <c r="AF185" i="1"/>
  <c r="AF184" i="1"/>
  <c r="AF183" i="1"/>
  <c r="AF182" i="1"/>
  <c r="AF181" i="1"/>
  <c r="AF180" i="1"/>
  <c r="AF179" i="1"/>
  <c r="AF178" i="1"/>
  <c r="AF177" i="1"/>
  <c r="AF176" i="1"/>
  <c r="AF175" i="1"/>
  <c r="AF174" i="1"/>
  <c r="AF173" i="1"/>
  <c r="AF172" i="1"/>
  <c r="AF171" i="1"/>
  <c r="AF170" i="1"/>
  <c r="AF169" i="1"/>
  <c r="AF168" i="1"/>
  <c r="AF167" i="1"/>
  <c r="AF166" i="1"/>
  <c r="AF165" i="1"/>
  <c r="AF164" i="1"/>
  <c r="AF163" i="1"/>
  <c r="AF162" i="1"/>
  <c r="AF161" i="1"/>
  <c r="AF160" i="1"/>
  <c r="AF159" i="1"/>
  <c r="AF158" i="1"/>
  <c r="AF157" i="1"/>
  <c r="AF155" i="1"/>
  <c r="AF154" i="1"/>
  <c r="AF153" i="1"/>
  <c r="AF152" i="1"/>
  <c r="AF151" i="1"/>
  <c r="AF150" i="1"/>
  <c r="AF149" i="1"/>
  <c r="AF148" i="1"/>
  <c r="AF147" i="1"/>
  <c r="AF146" i="1"/>
  <c r="AF145" i="1"/>
  <c r="AF144" i="1"/>
  <c r="AF143" i="1"/>
  <c r="AF142" i="1"/>
  <c r="AF141" i="1"/>
  <c r="AF140" i="1"/>
  <c r="AF139" i="1"/>
  <c r="AF138" i="1"/>
  <c r="AF137" i="1"/>
  <c r="AF136" i="1"/>
  <c r="AF135" i="1"/>
  <c r="AF134" i="1"/>
  <c r="AE244" i="1"/>
  <c r="AE243" i="1"/>
  <c r="AE242" i="1"/>
  <c r="AE241" i="1"/>
  <c r="AE240" i="1"/>
  <c r="AE239" i="1"/>
  <c r="AE238" i="1"/>
  <c r="AE237" i="1"/>
  <c r="AE236" i="1"/>
  <c r="AE235" i="1"/>
  <c r="AE234" i="1"/>
  <c r="AE233" i="1"/>
  <c r="AE232" i="1"/>
  <c r="AE231" i="1"/>
  <c r="AE230" i="1"/>
  <c r="AE229" i="1"/>
  <c r="AE228" i="1"/>
  <c r="AE227" i="1"/>
  <c r="AE226" i="1"/>
  <c r="AE225" i="1"/>
  <c r="AE224" i="1"/>
  <c r="AE223" i="1"/>
  <c r="AE222" i="1"/>
  <c r="AE221" i="1"/>
  <c r="AE220" i="1"/>
  <c r="AE219" i="1"/>
  <c r="AE218" i="1"/>
  <c r="AE217" i="1"/>
  <c r="AE216" i="1"/>
  <c r="AE215" i="1"/>
  <c r="AE214" i="1"/>
  <c r="AE213" i="1"/>
  <c r="AE212" i="1"/>
  <c r="AE211" i="1"/>
  <c r="AE210" i="1"/>
  <c r="AE209" i="1"/>
  <c r="AE208" i="1"/>
  <c r="AE207" i="1"/>
  <c r="AE206" i="1"/>
  <c r="AE205" i="1"/>
  <c r="AE204" i="1"/>
  <c r="AE203" i="1"/>
  <c r="AE202" i="1"/>
  <c r="AE201" i="1"/>
  <c r="AE200" i="1"/>
  <c r="AE199" i="1"/>
  <c r="AE198" i="1"/>
  <c r="AE197" i="1"/>
  <c r="AE196" i="1"/>
  <c r="AE195" i="1"/>
  <c r="AE194" i="1"/>
  <c r="AE193" i="1"/>
  <c r="AE192" i="1"/>
  <c r="AE191" i="1"/>
  <c r="AE190" i="1"/>
  <c r="CV190" i="1" s="1"/>
  <c r="AE189" i="1"/>
  <c r="AE188" i="1"/>
  <c r="AE187" i="1"/>
  <c r="AE186" i="1"/>
  <c r="AE185" i="1"/>
  <c r="AE184" i="1"/>
  <c r="AE183" i="1"/>
  <c r="AE182" i="1"/>
  <c r="AE181" i="1"/>
  <c r="AE180" i="1"/>
  <c r="AE179" i="1"/>
  <c r="AE178" i="1"/>
  <c r="AE177" i="1"/>
  <c r="AE176" i="1"/>
  <c r="AE175" i="1"/>
  <c r="AE174" i="1"/>
  <c r="AE173" i="1"/>
  <c r="AE172" i="1"/>
  <c r="AE171" i="1"/>
  <c r="AE170" i="1"/>
  <c r="AE169" i="1"/>
  <c r="AE168" i="1"/>
  <c r="AE167" i="1"/>
  <c r="AE166" i="1"/>
  <c r="AE165" i="1"/>
  <c r="AE164" i="1"/>
  <c r="AE163" i="1"/>
  <c r="AE162" i="1"/>
  <c r="AE161" i="1"/>
  <c r="AE160" i="1"/>
  <c r="AE159" i="1"/>
  <c r="AE158" i="1"/>
  <c r="AE157" i="1"/>
  <c r="AE154" i="1"/>
  <c r="AE153" i="1"/>
  <c r="AE152" i="1"/>
  <c r="AE151" i="1"/>
  <c r="AE150" i="1"/>
  <c r="AE149" i="1"/>
  <c r="AE148" i="1"/>
  <c r="AE147" i="1"/>
  <c r="AE146" i="1"/>
  <c r="AE145" i="1"/>
  <c r="AE144" i="1"/>
  <c r="AE143" i="1"/>
  <c r="AE142" i="1"/>
  <c r="AE141" i="1"/>
  <c r="AE140" i="1"/>
  <c r="AE139" i="1"/>
  <c r="AE138" i="1"/>
  <c r="AE137" i="1"/>
  <c r="AE136" i="1"/>
  <c r="AE135" i="1"/>
  <c r="AE134" i="1"/>
  <c r="AD244" i="1"/>
  <c r="AD243" i="1"/>
  <c r="AD242" i="1"/>
  <c r="AD241" i="1"/>
  <c r="AD240" i="1"/>
  <c r="AD239" i="1"/>
  <c r="AD238" i="1"/>
  <c r="AD237" i="1"/>
  <c r="AD236" i="1"/>
  <c r="AD235" i="1"/>
  <c r="AD234" i="1"/>
  <c r="AD233" i="1"/>
  <c r="AD232" i="1"/>
  <c r="AD231" i="1"/>
  <c r="AD230" i="1"/>
  <c r="AD229" i="1"/>
  <c r="AD228" i="1"/>
  <c r="AD227" i="1"/>
  <c r="AD226" i="1"/>
  <c r="AD225" i="1"/>
  <c r="AD224" i="1"/>
  <c r="AD223" i="1"/>
  <c r="AD222" i="1"/>
  <c r="AD221" i="1"/>
  <c r="AD220" i="1"/>
  <c r="AD219" i="1"/>
  <c r="AD218" i="1"/>
  <c r="AD217" i="1"/>
  <c r="AD216" i="1"/>
  <c r="AD215" i="1"/>
  <c r="AD214" i="1"/>
  <c r="AD213" i="1"/>
  <c r="AD212" i="1"/>
  <c r="AD211" i="1"/>
  <c r="AD210" i="1"/>
  <c r="AD209" i="1"/>
  <c r="AD206" i="1"/>
  <c r="AD205" i="1"/>
  <c r="AD204" i="1"/>
  <c r="AD203" i="1"/>
  <c r="AD202" i="1"/>
  <c r="AD201" i="1"/>
  <c r="AD200" i="1"/>
  <c r="AD199" i="1"/>
  <c r="AD198" i="1"/>
  <c r="AD197" i="1"/>
  <c r="AD196" i="1"/>
  <c r="AD195" i="1"/>
  <c r="AD194" i="1"/>
  <c r="AD193" i="1"/>
  <c r="AD192" i="1"/>
  <c r="AD191" i="1"/>
  <c r="AD190" i="1"/>
  <c r="AD189" i="1"/>
  <c r="AD188" i="1"/>
  <c r="AD187" i="1"/>
  <c r="AD186" i="1"/>
  <c r="AD185" i="1"/>
  <c r="AD184" i="1"/>
  <c r="AD183" i="1"/>
  <c r="AD182" i="1"/>
  <c r="AD181" i="1"/>
  <c r="AD180" i="1"/>
  <c r="AD179" i="1"/>
  <c r="AD178" i="1"/>
  <c r="AD177" i="1"/>
  <c r="AD176" i="1"/>
  <c r="AD175" i="1"/>
  <c r="AD174" i="1"/>
  <c r="AD173" i="1"/>
  <c r="AD172" i="1"/>
  <c r="AD171" i="1"/>
  <c r="AD170" i="1"/>
  <c r="AD169" i="1"/>
  <c r="AD168" i="1"/>
  <c r="AD167" i="1"/>
  <c r="AD166" i="1"/>
  <c r="AD165" i="1"/>
  <c r="AD164" i="1"/>
  <c r="AD163" i="1"/>
  <c r="AD162" i="1"/>
  <c r="AD161" i="1"/>
  <c r="AD160" i="1"/>
  <c r="AD159" i="1"/>
  <c r="AD158" i="1"/>
  <c r="AD157" i="1"/>
  <c r="AD156" i="1"/>
  <c r="AD155" i="1"/>
  <c r="AD154" i="1"/>
  <c r="AD153" i="1"/>
  <c r="AD152" i="1"/>
  <c r="AD151" i="1"/>
  <c r="AD150" i="1"/>
  <c r="AD149" i="1"/>
  <c r="AD148" i="1"/>
  <c r="AD147" i="1"/>
  <c r="AD146" i="1"/>
  <c r="AD145" i="1"/>
  <c r="AD144" i="1"/>
  <c r="AD143" i="1"/>
  <c r="AD142" i="1"/>
  <c r="AD141" i="1"/>
  <c r="AD140" i="1"/>
  <c r="AD139" i="1"/>
  <c r="AD138" i="1"/>
  <c r="AD137" i="1"/>
  <c r="AD136" i="1"/>
  <c r="AD135" i="1"/>
  <c r="AD134" i="1"/>
  <c r="AC244" i="1"/>
  <c r="AC243" i="1"/>
  <c r="AC242" i="1"/>
  <c r="AC241" i="1"/>
  <c r="AC240" i="1"/>
  <c r="AC239" i="1"/>
  <c r="AC238" i="1"/>
  <c r="AC237" i="1"/>
  <c r="AC236" i="1"/>
  <c r="AC235" i="1"/>
  <c r="AC234" i="1"/>
  <c r="AC233" i="1"/>
  <c r="AC232" i="1"/>
  <c r="AC231" i="1"/>
  <c r="AC230" i="1"/>
  <c r="AC229" i="1"/>
  <c r="AC228" i="1"/>
  <c r="AC227" i="1"/>
  <c r="AC226" i="1"/>
  <c r="AC225" i="1"/>
  <c r="AC224" i="1"/>
  <c r="AC223" i="1"/>
  <c r="AC222" i="1"/>
  <c r="AC221" i="1"/>
  <c r="AC220" i="1"/>
  <c r="AC219" i="1"/>
  <c r="AC218" i="1"/>
  <c r="AC217" i="1"/>
  <c r="AC216" i="1"/>
  <c r="AC215" i="1"/>
  <c r="AC214" i="1"/>
  <c r="AC213" i="1"/>
  <c r="AC212" i="1"/>
  <c r="AC211" i="1"/>
  <c r="AC210" i="1"/>
  <c r="AC209" i="1"/>
  <c r="AC208" i="1"/>
  <c r="AC206" i="1"/>
  <c r="AC205" i="1"/>
  <c r="AC204" i="1"/>
  <c r="AC203" i="1"/>
  <c r="AC202" i="1"/>
  <c r="AC201" i="1"/>
  <c r="AC200" i="1"/>
  <c r="AC199" i="1"/>
  <c r="AC198" i="1"/>
  <c r="AC197" i="1"/>
  <c r="AC196" i="1"/>
  <c r="AC195" i="1"/>
  <c r="AC194" i="1"/>
  <c r="AC193" i="1"/>
  <c r="AC192" i="1"/>
  <c r="AC191" i="1"/>
  <c r="AC190" i="1"/>
  <c r="AC189" i="1"/>
  <c r="AC188" i="1"/>
  <c r="AC187" i="1"/>
  <c r="AC186" i="1"/>
  <c r="AC185" i="1"/>
  <c r="AC184" i="1"/>
  <c r="AC183" i="1"/>
  <c r="AC182" i="1"/>
  <c r="AC181" i="1"/>
  <c r="AC180" i="1"/>
  <c r="AC179" i="1"/>
  <c r="AC178" i="1"/>
  <c r="AC177" i="1"/>
  <c r="AC176" i="1"/>
  <c r="AC175" i="1"/>
  <c r="AC174" i="1"/>
  <c r="AC173" i="1"/>
  <c r="AC172" i="1"/>
  <c r="AC171" i="1"/>
  <c r="AC170" i="1"/>
  <c r="AC169" i="1"/>
  <c r="AC168" i="1"/>
  <c r="AC167" i="1"/>
  <c r="AC166" i="1"/>
  <c r="AC165" i="1"/>
  <c r="AC164" i="1"/>
  <c r="AC163" i="1"/>
  <c r="AC162" i="1"/>
  <c r="AC161" i="1"/>
  <c r="AC160" i="1"/>
  <c r="AC159" i="1"/>
  <c r="AC158" i="1"/>
  <c r="AC157" i="1"/>
  <c r="AC156" i="1"/>
  <c r="AC155" i="1"/>
  <c r="AC154" i="1"/>
  <c r="AC153" i="1"/>
  <c r="AC152" i="1"/>
  <c r="AC151" i="1"/>
  <c r="AC150" i="1"/>
  <c r="AC149" i="1"/>
  <c r="AC148" i="1"/>
  <c r="AC147" i="1"/>
  <c r="AC146" i="1"/>
  <c r="AC145" i="1"/>
  <c r="AC144" i="1"/>
  <c r="AC143" i="1"/>
  <c r="AC142" i="1"/>
  <c r="AC141" i="1"/>
  <c r="AC140" i="1"/>
  <c r="AC139" i="1"/>
  <c r="AC138" i="1"/>
  <c r="AC137" i="1"/>
  <c r="AC136" i="1"/>
  <c r="AC135" i="1"/>
  <c r="AC134" i="1"/>
  <c r="AB244" i="1"/>
  <c r="AB243" i="1"/>
  <c r="AB242" i="1"/>
  <c r="AB241" i="1"/>
  <c r="AB240" i="1"/>
  <c r="AB239" i="1"/>
  <c r="AB238" i="1"/>
  <c r="AB237" i="1"/>
  <c r="AB236" i="1"/>
  <c r="AB235" i="1"/>
  <c r="AB234" i="1"/>
  <c r="AB233" i="1"/>
  <c r="AB232" i="1"/>
  <c r="AB231" i="1"/>
  <c r="AB230" i="1"/>
  <c r="AB229" i="1"/>
  <c r="AB228" i="1"/>
  <c r="AB227" i="1"/>
  <c r="AB226" i="1"/>
  <c r="AB225" i="1"/>
  <c r="AB224" i="1"/>
  <c r="AB223" i="1"/>
  <c r="AB222" i="1"/>
  <c r="AB221" i="1"/>
  <c r="AB220" i="1"/>
  <c r="AB219" i="1"/>
  <c r="AB218" i="1"/>
  <c r="AB217" i="1"/>
  <c r="AB216" i="1"/>
  <c r="AB215" i="1"/>
  <c r="AB214" i="1"/>
  <c r="AB213" i="1"/>
  <c r="AB212" i="1"/>
  <c r="AB211" i="1"/>
  <c r="AB210" i="1"/>
  <c r="AB209" i="1"/>
  <c r="AB207" i="1"/>
  <c r="AB206" i="1"/>
  <c r="AB205" i="1"/>
  <c r="AB204" i="1"/>
  <c r="AB203" i="1"/>
  <c r="AB202" i="1"/>
  <c r="AB201" i="1"/>
  <c r="AB200" i="1"/>
  <c r="AB199" i="1"/>
  <c r="AB198" i="1"/>
  <c r="AB197" i="1"/>
  <c r="AB196" i="1"/>
  <c r="AB195" i="1"/>
  <c r="AB194" i="1"/>
  <c r="AB193" i="1"/>
  <c r="AB192" i="1"/>
  <c r="AB191" i="1"/>
  <c r="AB190" i="1"/>
  <c r="AB189" i="1"/>
  <c r="AB188" i="1"/>
  <c r="AB187" i="1"/>
  <c r="AB186" i="1"/>
  <c r="AB185" i="1"/>
  <c r="AB184" i="1"/>
  <c r="AB183" i="1"/>
  <c r="AB182" i="1"/>
  <c r="AB181" i="1"/>
  <c r="AB180" i="1"/>
  <c r="AB179" i="1"/>
  <c r="AB178" i="1"/>
  <c r="AB177" i="1"/>
  <c r="AB176" i="1"/>
  <c r="AB175" i="1"/>
  <c r="AB174" i="1"/>
  <c r="AB173" i="1"/>
  <c r="AB172" i="1"/>
  <c r="AB171" i="1"/>
  <c r="AB170" i="1"/>
  <c r="AB169" i="1"/>
  <c r="AB168" i="1"/>
  <c r="AB167" i="1"/>
  <c r="AB166" i="1"/>
  <c r="AB165" i="1"/>
  <c r="AB164" i="1"/>
  <c r="AB163" i="1"/>
  <c r="AB162" i="1"/>
  <c r="AB161" i="1"/>
  <c r="AB160" i="1"/>
  <c r="AB159" i="1"/>
  <c r="AB158" i="1"/>
  <c r="AB157" i="1"/>
  <c r="AB156" i="1"/>
  <c r="AB155" i="1"/>
  <c r="AB154" i="1"/>
  <c r="AB153" i="1"/>
  <c r="AB152" i="1"/>
  <c r="AB151" i="1"/>
  <c r="AB150" i="1"/>
  <c r="AB149" i="1"/>
  <c r="AB148" i="1"/>
  <c r="AB147" i="1"/>
  <c r="AB146" i="1"/>
  <c r="AB145" i="1"/>
  <c r="AB144" i="1"/>
  <c r="AB143" i="1"/>
  <c r="AB142" i="1"/>
  <c r="AB141" i="1"/>
  <c r="AB140" i="1"/>
  <c r="AB139" i="1"/>
  <c r="AB138" i="1"/>
  <c r="AB137" i="1"/>
  <c r="AB136" i="1"/>
  <c r="AB135" i="1"/>
  <c r="AB134" i="1"/>
  <c r="AA244" i="1"/>
  <c r="AA243" i="1"/>
  <c r="AA242" i="1"/>
  <c r="AA241" i="1"/>
  <c r="AA240" i="1"/>
  <c r="AA239" i="1"/>
  <c r="AA238" i="1"/>
  <c r="AA237" i="1"/>
  <c r="AA236" i="1"/>
  <c r="AA235" i="1"/>
  <c r="AA234" i="1"/>
  <c r="AA233" i="1"/>
  <c r="AA232" i="1"/>
  <c r="AA231" i="1"/>
  <c r="AA230" i="1"/>
  <c r="AA229" i="1"/>
  <c r="AA228" i="1"/>
  <c r="AA227" i="1"/>
  <c r="AA226" i="1"/>
  <c r="AA225" i="1"/>
  <c r="AA224" i="1"/>
  <c r="AA223" i="1"/>
  <c r="AA222" i="1"/>
  <c r="AA221" i="1"/>
  <c r="AA220" i="1"/>
  <c r="AA219" i="1"/>
  <c r="AA218" i="1"/>
  <c r="AA217" i="1"/>
  <c r="AA216" i="1"/>
  <c r="AA215" i="1"/>
  <c r="AA214" i="1"/>
  <c r="AA213" i="1"/>
  <c r="AA212" i="1"/>
  <c r="AA211" i="1"/>
  <c r="AA210" i="1"/>
  <c r="AA209" i="1"/>
  <c r="AA208" i="1"/>
  <c r="AA206" i="1"/>
  <c r="AA205" i="1"/>
  <c r="AA204" i="1"/>
  <c r="AA203" i="1"/>
  <c r="AA202" i="1"/>
  <c r="AA201" i="1"/>
  <c r="AA200" i="1"/>
  <c r="AA199" i="1"/>
  <c r="AA198" i="1"/>
  <c r="AA197" i="1"/>
  <c r="AA196" i="1"/>
  <c r="AA195" i="1"/>
  <c r="AA194" i="1"/>
  <c r="AA193" i="1"/>
  <c r="AA192" i="1"/>
  <c r="AA191" i="1"/>
  <c r="AA190" i="1"/>
  <c r="AA189" i="1"/>
  <c r="AA188" i="1"/>
  <c r="AA187" i="1"/>
  <c r="AA186" i="1"/>
  <c r="AA185" i="1"/>
  <c r="AA184" i="1"/>
  <c r="AA183" i="1"/>
  <c r="AA182" i="1"/>
  <c r="AA181" i="1"/>
  <c r="AA180" i="1"/>
  <c r="AA179" i="1"/>
  <c r="AA178" i="1"/>
  <c r="AA177" i="1"/>
  <c r="AA176" i="1"/>
  <c r="AA175" i="1"/>
  <c r="AA174" i="1"/>
  <c r="AA173" i="1"/>
  <c r="AA172" i="1"/>
  <c r="AA171" i="1"/>
  <c r="AA170" i="1"/>
  <c r="AA169" i="1"/>
  <c r="AA168" i="1"/>
  <c r="AA167" i="1"/>
  <c r="AA166" i="1"/>
  <c r="AA165" i="1"/>
  <c r="AA164" i="1"/>
  <c r="AA163" i="1"/>
  <c r="AA162" i="1"/>
  <c r="AA161" i="1"/>
  <c r="AA160" i="1"/>
  <c r="AA159" i="1"/>
  <c r="AA158" i="1"/>
  <c r="AA157" i="1"/>
  <c r="AA156" i="1"/>
  <c r="AA155" i="1"/>
  <c r="AA154" i="1"/>
  <c r="AA153" i="1"/>
  <c r="AA152" i="1"/>
  <c r="AA151" i="1"/>
  <c r="AA150" i="1"/>
  <c r="AA149" i="1"/>
  <c r="AA148" i="1"/>
  <c r="AA147" i="1"/>
  <c r="AA146" i="1"/>
  <c r="AA145" i="1"/>
  <c r="AA144" i="1"/>
  <c r="AA143" i="1"/>
  <c r="AA142" i="1"/>
  <c r="AA141" i="1"/>
  <c r="AA140" i="1"/>
  <c r="AA139" i="1"/>
  <c r="AA138" i="1"/>
  <c r="AA137" i="1"/>
  <c r="AA136" i="1"/>
  <c r="AA135" i="1"/>
  <c r="AA134" i="1"/>
  <c r="Z244" i="1"/>
  <c r="Z243" i="1"/>
  <c r="Z242" i="1"/>
  <c r="Z241" i="1"/>
  <c r="Z240" i="1"/>
  <c r="Z239" i="1"/>
  <c r="Z238" i="1"/>
  <c r="Z237" i="1"/>
  <c r="Z236" i="1"/>
  <c r="Z235" i="1"/>
  <c r="Z234" i="1"/>
  <c r="Z233" i="1"/>
  <c r="Z232" i="1"/>
  <c r="Z231" i="1"/>
  <c r="Z230" i="1"/>
  <c r="Z229" i="1"/>
  <c r="Z228" i="1"/>
  <c r="Z227" i="1"/>
  <c r="Z226" i="1"/>
  <c r="Z225" i="1"/>
  <c r="Z224" i="1"/>
  <c r="Z223" i="1"/>
  <c r="Z222" i="1"/>
  <c r="Z221" i="1"/>
  <c r="Z220" i="1"/>
  <c r="Z219" i="1"/>
  <c r="Z218" i="1"/>
  <c r="Z217" i="1"/>
  <c r="Z216" i="1"/>
  <c r="Z215" i="1"/>
  <c r="Z214" i="1"/>
  <c r="Z213" i="1"/>
  <c r="Z212" i="1"/>
  <c r="Z211" i="1"/>
  <c r="Z210" i="1"/>
  <c r="Z209" i="1"/>
  <c r="Z208" i="1"/>
  <c r="Z207" i="1"/>
  <c r="Z206" i="1"/>
  <c r="Z205" i="1"/>
  <c r="Z204" i="1"/>
  <c r="Z203" i="1"/>
  <c r="Z202" i="1"/>
  <c r="Z201" i="1"/>
  <c r="Z200" i="1"/>
  <c r="Z199" i="1"/>
  <c r="Z198" i="1"/>
  <c r="Z197" i="1"/>
  <c r="Z196" i="1"/>
  <c r="Z195" i="1"/>
  <c r="Z194" i="1"/>
  <c r="Z193" i="1"/>
  <c r="Z192" i="1"/>
  <c r="Z191" i="1"/>
  <c r="Z190" i="1"/>
  <c r="Z189" i="1"/>
  <c r="Z188" i="1"/>
  <c r="Z187" i="1"/>
  <c r="Z186" i="1"/>
  <c r="Z185" i="1"/>
  <c r="Z184" i="1"/>
  <c r="Z183" i="1"/>
  <c r="Z182" i="1"/>
  <c r="Z181" i="1"/>
  <c r="Z180" i="1"/>
  <c r="Z179" i="1"/>
  <c r="Z178" i="1"/>
  <c r="Z177" i="1"/>
  <c r="Z176" i="1"/>
  <c r="Z175" i="1"/>
  <c r="Z174" i="1"/>
  <c r="Z173" i="1"/>
  <c r="Z172" i="1"/>
  <c r="Z171" i="1"/>
  <c r="Z170" i="1"/>
  <c r="Z169" i="1"/>
  <c r="Z168" i="1"/>
  <c r="Z167" i="1"/>
  <c r="Z166" i="1"/>
  <c r="Z165" i="1"/>
  <c r="Z164" i="1"/>
  <c r="Z163" i="1"/>
  <c r="Z162" i="1"/>
  <c r="Z161" i="1"/>
  <c r="Z160" i="1"/>
  <c r="Z159" i="1"/>
  <c r="Z158" i="1"/>
  <c r="Z157" i="1"/>
  <c r="Z156" i="1"/>
  <c r="Z155" i="1"/>
  <c r="Z154" i="1"/>
  <c r="Z153" i="1"/>
  <c r="Z152" i="1"/>
  <c r="Z151" i="1"/>
  <c r="Z150" i="1"/>
  <c r="Z149" i="1"/>
  <c r="Z148" i="1"/>
  <c r="Z147" i="1"/>
  <c r="Z146" i="1"/>
  <c r="Z145" i="1"/>
  <c r="Z144" i="1"/>
  <c r="Z143" i="1"/>
  <c r="Z142" i="1"/>
  <c r="Z141" i="1"/>
  <c r="Z140" i="1"/>
  <c r="Z139" i="1"/>
  <c r="Z138" i="1"/>
  <c r="Z137" i="1"/>
  <c r="Z136" i="1"/>
  <c r="Z135" i="1"/>
  <c r="Z134" i="1"/>
  <c r="Y244" i="1"/>
  <c r="Y243" i="1"/>
  <c r="Y242" i="1"/>
  <c r="Y241" i="1"/>
  <c r="Y240" i="1"/>
  <c r="Y239" i="1"/>
  <c r="Y238" i="1"/>
  <c r="Y237" i="1"/>
  <c r="Y236" i="1"/>
  <c r="Y235" i="1"/>
  <c r="Y234" i="1"/>
  <c r="Y233" i="1"/>
  <c r="Y232" i="1"/>
  <c r="Y231" i="1"/>
  <c r="Y230" i="1"/>
  <c r="Y229" i="1"/>
  <c r="Y228" i="1"/>
  <c r="Y227" i="1"/>
  <c r="Y226" i="1"/>
  <c r="Y225" i="1"/>
  <c r="Y224" i="1"/>
  <c r="Y223" i="1"/>
  <c r="Y222" i="1"/>
  <c r="Y221" i="1"/>
  <c r="Y220" i="1"/>
  <c r="Y219" i="1"/>
  <c r="Y218" i="1"/>
  <c r="Y217" i="1"/>
  <c r="Y216" i="1"/>
  <c r="Y215" i="1"/>
  <c r="Y214" i="1"/>
  <c r="Y213" i="1"/>
  <c r="Y212" i="1"/>
  <c r="Y211" i="1"/>
  <c r="Y210" i="1"/>
  <c r="Y209" i="1"/>
  <c r="Y208" i="1"/>
  <c r="Y207" i="1"/>
  <c r="Y206" i="1"/>
  <c r="Y205" i="1"/>
  <c r="Y204" i="1"/>
  <c r="Y203" i="1"/>
  <c r="Y202" i="1"/>
  <c r="Y201" i="1"/>
  <c r="Y200" i="1"/>
  <c r="Y199" i="1"/>
  <c r="Y198" i="1"/>
  <c r="Y197" i="1"/>
  <c r="Y196" i="1"/>
  <c r="Y195" i="1"/>
  <c r="Y194" i="1"/>
  <c r="Y193" i="1"/>
  <c r="Y192" i="1"/>
  <c r="Y191" i="1"/>
  <c r="Y190" i="1"/>
  <c r="Y189" i="1"/>
  <c r="Y188" i="1"/>
  <c r="Y187" i="1"/>
  <c r="Y186" i="1"/>
  <c r="Y185" i="1"/>
  <c r="Y184" i="1"/>
  <c r="Y183" i="1"/>
  <c r="Y182" i="1"/>
  <c r="Y181" i="1"/>
  <c r="Y180" i="1"/>
  <c r="Y179" i="1"/>
  <c r="Y178" i="1"/>
  <c r="Y177" i="1"/>
  <c r="Y176" i="1"/>
  <c r="Y175" i="1"/>
  <c r="Y174" i="1"/>
  <c r="Y173" i="1"/>
  <c r="Y172" i="1"/>
  <c r="Y171" i="1"/>
  <c r="Y170" i="1"/>
  <c r="Y169" i="1"/>
  <c r="Y168" i="1"/>
  <c r="Y167" i="1"/>
  <c r="Y166" i="1"/>
  <c r="Y165" i="1"/>
  <c r="Y164" i="1"/>
  <c r="Y163" i="1"/>
  <c r="Y162" i="1"/>
  <c r="Y161" i="1"/>
  <c r="Y160" i="1"/>
  <c r="Y159" i="1"/>
  <c r="Y158" i="1"/>
  <c r="Y157" i="1"/>
  <c r="Y156" i="1"/>
  <c r="Y155" i="1"/>
  <c r="Y154" i="1"/>
  <c r="Y153" i="1"/>
  <c r="Y152" i="1"/>
  <c r="Y151" i="1"/>
  <c r="Y150" i="1"/>
  <c r="Y149" i="1"/>
  <c r="Y148" i="1"/>
  <c r="Y147" i="1"/>
  <c r="Y146" i="1"/>
  <c r="Y145" i="1"/>
  <c r="Y144" i="1"/>
  <c r="Y143" i="1"/>
  <c r="Y142" i="1"/>
  <c r="Y141" i="1"/>
  <c r="Y140" i="1"/>
  <c r="Y139" i="1"/>
  <c r="Y138" i="1"/>
  <c r="Y137" i="1"/>
  <c r="Y136" i="1"/>
  <c r="Y135" i="1"/>
  <c r="Y134" i="1"/>
  <c r="X244" i="1"/>
  <c r="X243" i="1"/>
  <c r="X242" i="1"/>
  <c r="X241" i="1"/>
  <c r="X240" i="1"/>
  <c r="X239" i="1"/>
  <c r="X238" i="1"/>
  <c r="X237" i="1"/>
  <c r="X236" i="1"/>
  <c r="X235" i="1"/>
  <c r="X234" i="1"/>
  <c r="X233" i="1"/>
  <c r="X232" i="1"/>
  <c r="X231" i="1"/>
  <c r="X230" i="1"/>
  <c r="X229" i="1"/>
  <c r="X228" i="1"/>
  <c r="X227" i="1"/>
  <c r="X226" i="1"/>
  <c r="X225" i="1"/>
  <c r="X224" i="1"/>
  <c r="X223" i="1"/>
  <c r="X222" i="1"/>
  <c r="X221" i="1"/>
  <c r="X220" i="1"/>
  <c r="X219" i="1"/>
  <c r="X218" i="1"/>
  <c r="X217" i="1"/>
  <c r="X216" i="1"/>
  <c r="X215" i="1"/>
  <c r="X214" i="1"/>
  <c r="X213" i="1"/>
  <c r="X212" i="1"/>
  <c r="X211" i="1"/>
  <c r="X210" i="1"/>
  <c r="X209" i="1"/>
  <c r="X207" i="1"/>
  <c r="X206" i="1"/>
  <c r="X205" i="1"/>
  <c r="X204" i="1"/>
  <c r="X203" i="1"/>
  <c r="X202" i="1"/>
  <c r="X201" i="1"/>
  <c r="X200" i="1"/>
  <c r="X199" i="1"/>
  <c r="X198" i="1"/>
  <c r="X197" i="1"/>
  <c r="X196" i="1"/>
  <c r="X195" i="1"/>
  <c r="X194" i="1"/>
  <c r="X193" i="1"/>
  <c r="X192" i="1"/>
  <c r="X191" i="1"/>
  <c r="X190" i="1"/>
  <c r="X189" i="1"/>
  <c r="X188" i="1"/>
  <c r="X187" i="1"/>
  <c r="X186" i="1"/>
  <c r="X185" i="1"/>
  <c r="X184" i="1"/>
  <c r="X183" i="1"/>
  <c r="X182" i="1"/>
  <c r="X181" i="1"/>
  <c r="X180" i="1"/>
  <c r="X179" i="1"/>
  <c r="X178" i="1"/>
  <c r="X177" i="1"/>
  <c r="X176" i="1"/>
  <c r="X175" i="1"/>
  <c r="X174" i="1"/>
  <c r="X173" i="1"/>
  <c r="X172" i="1"/>
  <c r="X171" i="1"/>
  <c r="X170" i="1"/>
  <c r="X169" i="1"/>
  <c r="X168" i="1"/>
  <c r="X167" i="1"/>
  <c r="X166" i="1"/>
  <c r="X165" i="1"/>
  <c r="X164" i="1"/>
  <c r="X163" i="1"/>
  <c r="X162" i="1"/>
  <c r="X161" i="1"/>
  <c r="X160" i="1"/>
  <c r="X159" i="1"/>
  <c r="X158" i="1"/>
  <c r="X157" i="1"/>
  <c r="X156" i="1"/>
  <c r="X155" i="1"/>
  <c r="X154" i="1"/>
  <c r="X153" i="1"/>
  <c r="X152" i="1"/>
  <c r="X151" i="1"/>
  <c r="X150" i="1"/>
  <c r="X149" i="1"/>
  <c r="X148" i="1"/>
  <c r="X147" i="1"/>
  <c r="X146" i="1"/>
  <c r="X145" i="1"/>
  <c r="X144" i="1"/>
  <c r="X143" i="1"/>
  <c r="X142" i="1"/>
  <c r="X141" i="1"/>
  <c r="X140" i="1"/>
  <c r="X139" i="1"/>
  <c r="X138" i="1"/>
  <c r="X137" i="1"/>
  <c r="X136" i="1"/>
  <c r="X135" i="1"/>
  <c r="X134" i="1"/>
  <c r="W244" i="1"/>
  <c r="W243" i="1"/>
  <c r="W242" i="1"/>
  <c r="W241" i="1"/>
  <c r="W240" i="1"/>
  <c r="W239" i="1"/>
  <c r="W238" i="1"/>
  <c r="W237" i="1"/>
  <c r="W236" i="1"/>
  <c r="W235" i="1"/>
  <c r="W234" i="1"/>
  <c r="W233" i="1"/>
  <c r="W232" i="1"/>
  <c r="W231" i="1"/>
  <c r="W230" i="1"/>
  <c r="W229" i="1"/>
  <c r="W228" i="1"/>
  <c r="W227" i="1"/>
  <c r="W226" i="1"/>
  <c r="W225" i="1"/>
  <c r="W224" i="1"/>
  <c r="W223" i="1"/>
  <c r="W222" i="1"/>
  <c r="W221" i="1"/>
  <c r="W220" i="1"/>
  <c r="W219" i="1"/>
  <c r="W218" i="1"/>
  <c r="W217" i="1"/>
  <c r="W216" i="1"/>
  <c r="W215" i="1"/>
  <c r="W214" i="1"/>
  <c r="W213" i="1"/>
  <c r="W212" i="1"/>
  <c r="W211" i="1"/>
  <c r="W210" i="1"/>
  <c r="W209" i="1"/>
  <c r="W206" i="1"/>
  <c r="W205" i="1"/>
  <c r="W204" i="1"/>
  <c r="W203" i="1"/>
  <c r="W202" i="1"/>
  <c r="W201" i="1"/>
  <c r="W200" i="1"/>
  <c r="W199" i="1"/>
  <c r="W198" i="1"/>
  <c r="W197" i="1"/>
  <c r="W196" i="1"/>
  <c r="W195" i="1"/>
  <c r="W194" i="1"/>
  <c r="W193" i="1"/>
  <c r="W192" i="1"/>
  <c r="W191" i="1"/>
  <c r="W190" i="1"/>
  <c r="W189" i="1"/>
  <c r="W188" i="1"/>
  <c r="W187" i="1"/>
  <c r="W186" i="1"/>
  <c r="W185" i="1"/>
  <c r="W184" i="1"/>
  <c r="W183" i="1"/>
  <c r="W182" i="1"/>
  <c r="W181" i="1"/>
  <c r="W180" i="1"/>
  <c r="W179" i="1"/>
  <c r="W178" i="1"/>
  <c r="W177" i="1"/>
  <c r="W176" i="1"/>
  <c r="W175" i="1"/>
  <c r="W174" i="1"/>
  <c r="W173" i="1"/>
  <c r="W172" i="1"/>
  <c r="W171" i="1"/>
  <c r="W170" i="1"/>
  <c r="W169" i="1"/>
  <c r="W168" i="1"/>
  <c r="W167" i="1"/>
  <c r="W166" i="1"/>
  <c r="W165" i="1"/>
  <c r="W164" i="1"/>
  <c r="W163" i="1"/>
  <c r="W162" i="1"/>
  <c r="W161" i="1"/>
  <c r="W160" i="1"/>
  <c r="W159" i="1"/>
  <c r="W158" i="1"/>
  <c r="W157" i="1"/>
  <c r="W156" i="1"/>
  <c r="W155" i="1"/>
  <c r="W154" i="1"/>
  <c r="W153" i="1"/>
  <c r="W152" i="1"/>
  <c r="W151" i="1"/>
  <c r="W150" i="1"/>
  <c r="W149" i="1"/>
  <c r="W148" i="1"/>
  <c r="W147" i="1"/>
  <c r="W146" i="1"/>
  <c r="W145" i="1"/>
  <c r="W144" i="1"/>
  <c r="W143" i="1"/>
  <c r="W142" i="1"/>
  <c r="W141" i="1"/>
  <c r="W140" i="1"/>
  <c r="W139" i="1"/>
  <c r="W138" i="1"/>
  <c r="W137" i="1"/>
  <c r="W136" i="1"/>
  <c r="W135" i="1"/>
  <c r="W134" i="1"/>
  <c r="V244" i="1"/>
  <c r="V243" i="1"/>
  <c r="V242" i="1"/>
  <c r="V241" i="1"/>
  <c r="V240" i="1"/>
  <c r="V239" i="1"/>
  <c r="V238" i="1"/>
  <c r="V237" i="1"/>
  <c r="V236" i="1"/>
  <c r="V235" i="1"/>
  <c r="V234" i="1"/>
  <c r="V233" i="1"/>
  <c r="V232" i="1"/>
  <c r="V231" i="1"/>
  <c r="V230" i="1"/>
  <c r="V229" i="1"/>
  <c r="V228" i="1"/>
  <c r="V227" i="1"/>
  <c r="V226" i="1"/>
  <c r="V225" i="1"/>
  <c r="V224" i="1"/>
  <c r="V223" i="1"/>
  <c r="V222" i="1"/>
  <c r="V221" i="1"/>
  <c r="V220" i="1"/>
  <c r="V219" i="1"/>
  <c r="V218" i="1"/>
  <c r="V217" i="1"/>
  <c r="V216" i="1"/>
  <c r="V215" i="1"/>
  <c r="V214" i="1"/>
  <c r="V213" i="1"/>
  <c r="V212" i="1"/>
  <c r="V211" i="1"/>
  <c r="V210" i="1"/>
  <c r="V209" i="1"/>
  <c r="V206" i="1"/>
  <c r="V205" i="1"/>
  <c r="V204" i="1"/>
  <c r="V203" i="1"/>
  <c r="V202" i="1"/>
  <c r="V201" i="1"/>
  <c r="V200" i="1"/>
  <c r="V199" i="1"/>
  <c r="V198" i="1"/>
  <c r="V197" i="1"/>
  <c r="V196" i="1"/>
  <c r="V195" i="1"/>
  <c r="V194" i="1"/>
  <c r="V193" i="1"/>
  <c r="V192" i="1"/>
  <c r="V191" i="1"/>
  <c r="V190" i="1"/>
  <c r="V189" i="1"/>
  <c r="V188" i="1"/>
  <c r="V187" i="1"/>
  <c r="V186" i="1"/>
  <c r="V185" i="1"/>
  <c r="V184" i="1"/>
  <c r="V183" i="1"/>
  <c r="V182" i="1"/>
  <c r="V181" i="1"/>
  <c r="V180" i="1"/>
  <c r="V179" i="1"/>
  <c r="V178" i="1"/>
  <c r="V177" i="1"/>
  <c r="V176" i="1"/>
  <c r="V175" i="1"/>
  <c r="V174" i="1"/>
  <c r="V173" i="1"/>
  <c r="V172" i="1"/>
  <c r="V171" i="1"/>
  <c r="V170" i="1"/>
  <c r="V169" i="1"/>
  <c r="V168" i="1"/>
  <c r="V167" i="1"/>
  <c r="V166" i="1"/>
  <c r="V165" i="1"/>
  <c r="V164" i="1"/>
  <c r="V163" i="1"/>
  <c r="V162" i="1"/>
  <c r="V161" i="1"/>
  <c r="V160" i="1"/>
  <c r="V159" i="1"/>
  <c r="V158" i="1"/>
  <c r="V157" i="1"/>
  <c r="V156" i="1"/>
  <c r="V155" i="1"/>
  <c r="V154" i="1"/>
  <c r="V153" i="1"/>
  <c r="V152" i="1"/>
  <c r="V151" i="1"/>
  <c r="V150" i="1"/>
  <c r="V149" i="1"/>
  <c r="V148" i="1"/>
  <c r="V147" i="1"/>
  <c r="V146" i="1"/>
  <c r="V145" i="1"/>
  <c r="V144" i="1"/>
  <c r="V143" i="1"/>
  <c r="V142" i="1"/>
  <c r="V141" i="1"/>
  <c r="V140" i="1"/>
  <c r="V139" i="1"/>
  <c r="V138" i="1"/>
  <c r="V137" i="1"/>
  <c r="V136" i="1"/>
  <c r="V135" i="1"/>
  <c r="V134" i="1"/>
  <c r="U244" i="1"/>
  <c r="U243" i="1"/>
  <c r="U242" i="1"/>
  <c r="U241" i="1"/>
  <c r="U240" i="1"/>
  <c r="U239" i="1"/>
  <c r="U238" i="1"/>
  <c r="U237" i="1"/>
  <c r="U236" i="1"/>
  <c r="U235" i="1"/>
  <c r="U234" i="1"/>
  <c r="U233" i="1"/>
  <c r="U232" i="1"/>
  <c r="U231" i="1"/>
  <c r="U230" i="1"/>
  <c r="U229" i="1"/>
  <c r="U228" i="1"/>
  <c r="U227" i="1"/>
  <c r="U226" i="1"/>
  <c r="U225" i="1"/>
  <c r="U224" i="1"/>
  <c r="U223" i="1"/>
  <c r="U222" i="1"/>
  <c r="U221" i="1"/>
  <c r="U220" i="1"/>
  <c r="U219" i="1"/>
  <c r="U218" i="1"/>
  <c r="U217" i="1"/>
  <c r="U216" i="1"/>
  <c r="U215" i="1"/>
  <c r="U214" i="1"/>
  <c r="U213" i="1"/>
  <c r="U212" i="1"/>
  <c r="U211" i="1"/>
  <c r="U210" i="1"/>
  <c r="U209" i="1"/>
  <c r="U208" i="1"/>
  <c r="U206" i="1"/>
  <c r="U205" i="1"/>
  <c r="U204" i="1"/>
  <c r="U203" i="1"/>
  <c r="U202" i="1"/>
  <c r="U201" i="1"/>
  <c r="U200" i="1"/>
  <c r="U199" i="1"/>
  <c r="U198" i="1"/>
  <c r="U197" i="1"/>
  <c r="U196" i="1"/>
  <c r="U195" i="1"/>
  <c r="U194" i="1"/>
  <c r="U193" i="1"/>
  <c r="U192" i="1"/>
  <c r="U191" i="1"/>
  <c r="U190" i="1"/>
  <c r="U189" i="1"/>
  <c r="U188" i="1"/>
  <c r="U187" i="1"/>
  <c r="U186" i="1"/>
  <c r="U185" i="1"/>
  <c r="U184" i="1"/>
  <c r="U183" i="1"/>
  <c r="U182" i="1"/>
  <c r="U181" i="1"/>
  <c r="U180" i="1"/>
  <c r="U179" i="1"/>
  <c r="U178" i="1"/>
  <c r="U177" i="1"/>
  <c r="U176" i="1"/>
  <c r="U175" i="1"/>
  <c r="U174" i="1"/>
  <c r="U173" i="1"/>
  <c r="U172" i="1"/>
  <c r="U171" i="1"/>
  <c r="U170" i="1"/>
  <c r="U169" i="1"/>
  <c r="U168" i="1"/>
  <c r="U167" i="1"/>
  <c r="U166" i="1"/>
  <c r="U165" i="1"/>
  <c r="U164" i="1"/>
  <c r="U163" i="1"/>
  <c r="U162" i="1"/>
  <c r="U161" i="1"/>
  <c r="U160" i="1"/>
  <c r="U159" i="1"/>
  <c r="U158" i="1"/>
  <c r="U157" i="1"/>
  <c r="U156" i="1"/>
  <c r="U155" i="1"/>
  <c r="U154" i="1"/>
  <c r="U153" i="1"/>
  <c r="U152" i="1"/>
  <c r="U151" i="1"/>
  <c r="U150" i="1"/>
  <c r="U149" i="1"/>
  <c r="U148" i="1"/>
  <c r="U147" i="1"/>
  <c r="U146" i="1"/>
  <c r="U145" i="1"/>
  <c r="U144" i="1"/>
  <c r="U143" i="1"/>
  <c r="U142" i="1"/>
  <c r="U141" i="1"/>
  <c r="U140" i="1"/>
  <c r="U139" i="1"/>
  <c r="U138" i="1"/>
  <c r="U137" i="1"/>
  <c r="U136" i="1"/>
  <c r="U135" i="1"/>
  <c r="U134" i="1"/>
  <c r="T244" i="1"/>
  <c r="T243" i="1"/>
  <c r="T242" i="1"/>
  <c r="T241" i="1"/>
  <c r="T240" i="1"/>
  <c r="T239" i="1"/>
  <c r="T238" i="1"/>
  <c r="T237" i="1"/>
  <c r="T236" i="1"/>
  <c r="T235" i="1"/>
  <c r="T234" i="1"/>
  <c r="T233" i="1"/>
  <c r="T232" i="1"/>
  <c r="T231" i="1"/>
  <c r="T230" i="1"/>
  <c r="T229" i="1"/>
  <c r="T228" i="1"/>
  <c r="T227" i="1"/>
  <c r="T226" i="1"/>
  <c r="T225" i="1"/>
  <c r="T224" i="1"/>
  <c r="T223" i="1"/>
  <c r="T222" i="1"/>
  <c r="T221" i="1"/>
  <c r="T220" i="1"/>
  <c r="T219" i="1"/>
  <c r="T218" i="1"/>
  <c r="T217" i="1"/>
  <c r="T216" i="1"/>
  <c r="T215" i="1"/>
  <c r="T214" i="1"/>
  <c r="T213" i="1"/>
  <c r="T212" i="1"/>
  <c r="T211" i="1"/>
  <c r="T210" i="1"/>
  <c r="T209" i="1"/>
  <c r="T207" i="1"/>
  <c r="T206" i="1"/>
  <c r="T205" i="1"/>
  <c r="T204" i="1"/>
  <c r="T203" i="1"/>
  <c r="T202" i="1"/>
  <c r="T201" i="1"/>
  <c r="T200" i="1"/>
  <c r="T199" i="1"/>
  <c r="T198" i="1"/>
  <c r="T197" i="1"/>
  <c r="T196" i="1"/>
  <c r="T195" i="1"/>
  <c r="T194" i="1"/>
  <c r="T193" i="1"/>
  <c r="T192" i="1"/>
  <c r="T191" i="1"/>
  <c r="T190" i="1"/>
  <c r="T189" i="1"/>
  <c r="T188" i="1"/>
  <c r="T187" i="1"/>
  <c r="T186" i="1"/>
  <c r="T185" i="1"/>
  <c r="T184" i="1"/>
  <c r="T183" i="1"/>
  <c r="T182" i="1"/>
  <c r="T181" i="1"/>
  <c r="T180" i="1"/>
  <c r="T179" i="1"/>
  <c r="T178" i="1"/>
  <c r="T177" i="1"/>
  <c r="T176" i="1"/>
  <c r="T175" i="1"/>
  <c r="T174" i="1"/>
  <c r="T173" i="1"/>
  <c r="T172" i="1"/>
  <c r="T171" i="1"/>
  <c r="T170" i="1"/>
  <c r="T169" i="1"/>
  <c r="T168" i="1"/>
  <c r="T167" i="1"/>
  <c r="T166" i="1"/>
  <c r="T165" i="1"/>
  <c r="T164" i="1"/>
  <c r="T163" i="1"/>
  <c r="T162" i="1"/>
  <c r="T161" i="1"/>
  <c r="T160" i="1"/>
  <c r="T159" i="1"/>
  <c r="T158" i="1"/>
  <c r="T157" i="1"/>
  <c r="T156" i="1"/>
  <c r="T155" i="1"/>
  <c r="T154" i="1"/>
  <c r="T153" i="1"/>
  <c r="T152" i="1"/>
  <c r="T151" i="1"/>
  <c r="T150" i="1"/>
  <c r="T149" i="1"/>
  <c r="T148" i="1"/>
  <c r="T147" i="1"/>
  <c r="T146" i="1"/>
  <c r="T145" i="1"/>
  <c r="T144" i="1"/>
  <c r="T143" i="1"/>
  <c r="T142" i="1"/>
  <c r="T141" i="1"/>
  <c r="T140" i="1"/>
  <c r="T139" i="1"/>
  <c r="T138" i="1"/>
  <c r="T137" i="1"/>
  <c r="T136" i="1"/>
  <c r="T135" i="1"/>
  <c r="T134" i="1"/>
  <c r="S244" i="1"/>
  <c r="S243" i="1"/>
  <c r="S242" i="1"/>
  <c r="S241" i="1"/>
  <c r="S240" i="1"/>
  <c r="S239" i="1"/>
  <c r="S238" i="1"/>
  <c r="S237" i="1"/>
  <c r="S236" i="1"/>
  <c r="S235" i="1"/>
  <c r="S234" i="1"/>
  <c r="S233" i="1"/>
  <c r="S232" i="1"/>
  <c r="S231" i="1"/>
  <c r="S230" i="1"/>
  <c r="S229" i="1"/>
  <c r="S228" i="1"/>
  <c r="S227" i="1"/>
  <c r="S226" i="1"/>
  <c r="S225" i="1"/>
  <c r="S224" i="1"/>
  <c r="S223" i="1"/>
  <c r="S222" i="1"/>
  <c r="S221" i="1"/>
  <c r="S220" i="1"/>
  <c r="S219" i="1"/>
  <c r="S218" i="1"/>
  <c r="S217" i="1"/>
  <c r="S216" i="1"/>
  <c r="S215" i="1"/>
  <c r="S214" i="1"/>
  <c r="S213" i="1"/>
  <c r="S212" i="1"/>
  <c r="S211" i="1"/>
  <c r="S210" i="1"/>
  <c r="S209" i="1"/>
  <c r="S208" i="1"/>
  <c r="S207" i="1"/>
  <c r="S206" i="1"/>
  <c r="S205" i="1"/>
  <c r="S204" i="1"/>
  <c r="S203" i="1"/>
  <c r="S202" i="1"/>
  <c r="S201" i="1"/>
  <c r="S200" i="1"/>
  <c r="S199" i="1"/>
  <c r="S198" i="1"/>
  <c r="S197" i="1"/>
  <c r="S196" i="1"/>
  <c r="S195" i="1"/>
  <c r="S194" i="1"/>
  <c r="S193" i="1"/>
  <c r="S192" i="1"/>
  <c r="S191" i="1"/>
  <c r="S190" i="1"/>
  <c r="S189" i="1"/>
  <c r="S188" i="1"/>
  <c r="S187" i="1"/>
  <c r="S186" i="1"/>
  <c r="S185" i="1"/>
  <c r="S184" i="1"/>
  <c r="S183" i="1"/>
  <c r="S182" i="1"/>
  <c r="S181" i="1"/>
  <c r="S180" i="1"/>
  <c r="S179" i="1"/>
  <c r="S178" i="1"/>
  <c r="S177" i="1"/>
  <c r="S176" i="1"/>
  <c r="S175" i="1"/>
  <c r="S174" i="1"/>
  <c r="S173" i="1"/>
  <c r="S172" i="1"/>
  <c r="S171" i="1"/>
  <c r="S170" i="1"/>
  <c r="S169" i="1"/>
  <c r="S168" i="1"/>
  <c r="S167" i="1"/>
  <c r="S166" i="1"/>
  <c r="S165" i="1"/>
  <c r="S164" i="1"/>
  <c r="S163" i="1"/>
  <c r="S162" i="1"/>
  <c r="S161" i="1"/>
  <c r="S160" i="1"/>
  <c r="S159" i="1"/>
  <c r="S158" i="1"/>
  <c r="S157" i="1"/>
  <c r="S156" i="1"/>
  <c r="S155" i="1"/>
  <c r="S154" i="1"/>
  <c r="S153" i="1"/>
  <c r="S152" i="1"/>
  <c r="S151" i="1"/>
  <c r="S150" i="1"/>
  <c r="S149" i="1"/>
  <c r="S148" i="1"/>
  <c r="S147" i="1"/>
  <c r="S146" i="1"/>
  <c r="S145" i="1"/>
  <c r="S144" i="1"/>
  <c r="S143" i="1"/>
  <c r="S142" i="1"/>
  <c r="S141" i="1"/>
  <c r="S140" i="1"/>
  <c r="S139" i="1"/>
  <c r="S138" i="1"/>
  <c r="S137" i="1"/>
  <c r="S136" i="1"/>
  <c r="S135" i="1"/>
  <c r="S134" i="1"/>
  <c r="R244" i="1"/>
  <c r="R243" i="1"/>
  <c r="R242" i="1"/>
  <c r="R241" i="1"/>
  <c r="R240" i="1"/>
  <c r="R239" i="1"/>
  <c r="R238" i="1"/>
  <c r="R237" i="1"/>
  <c r="R236" i="1"/>
  <c r="R235" i="1"/>
  <c r="R234" i="1"/>
  <c r="R233" i="1"/>
  <c r="R232" i="1"/>
  <c r="R231" i="1"/>
  <c r="R230" i="1"/>
  <c r="R229" i="1"/>
  <c r="R228" i="1"/>
  <c r="R227" i="1"/>
  <c r="R226" i="1"/>
  <c r="R225" i="1"/>
  <c r="R224" i="1"/>
  <c r="R223" i="1"/>
  <c r="R222" i="1"/>
  <c r="R221" i="1"/>
  <c r="R220" i="1"/>
  <c r="R219" i="1"/>
  <c r="R218" i="1"/>
  <c r="R217" i="1"/>
  <c r="R216" i="1"/>
  <c r="R215" i="1"/>
  <c r="R214" i="1"/>
  <c r="R213" i="1"/>
  <c r="R212" i="1"/>
  <c r="R211" i="1"/>
  <c r="R210" i="1"/>
  <c r="R209" i="1"/>
  <c r="R208" i="1"/>
  <c r="R207" i="1"/>
  <c r="R206" i="1"/>
  <c r="R205" i="1"/>
  <c r="R204" i="1"/>
  <c r="R203" i="1"/>
  <c r="R202" i="1"/>
  <c r="R201" i="1"/>
  <c r="R200" i="1"/>
  <c r="R199" i="1"/>
  <c r="R198" i="1"/>
  <c r="R197" i="1"/>
  <c r="R196" i="1"/>
  <c r="R195" i="1"/>
  <c r="R194" i="1"/>
  <c r="R193" i="1"/>
  <c r="R192" i="1"/>
  <c r="R191" i="1"/>
  <c r="R190" i="1"/>
  <c r="R189" i="1"/>
  <c r="R188" i="1"/>
  <c r="R187" i="1"/>
  <c r="R186" i="1"/>
  <c r="R185" i="1"/>
  <c r="R184" i="1"/>
  <c r="R183" i="1"/>
  <c r="R182" i="1"/>
  <c r="R181" i="1"/>
  <c r="R180" i="1"/>
  <c r="R179" i="1"/>
  <c r="R178" i="1"/>
  <c r="R177" i="1"/>
  <c r="R176" i="1"/>
  <c r="R175" i="1"/>
  <c r="R174" i="1"/>
  <c r="R173" i="1"/>
  <c r="R172" i="1"/>
  <c r="R171" i="1"/>
  <c r="R170" i="1"/>
  <c r="R169" i="1"/>
  <c r="R168" i="1"/>
  <c r="R167" i="1"/>
  <c r="R166" i="1"/>
  <c r="R165" i="1"/>
  <c r="R164" i="1"/>
  <c r="R163" i="1"/>
  <c r="R162" i="1"/>
  <c r="R161" i="1"/>
  <c r="R160" i="1"/>
  <c r="R159" i="1"/>
  <c r="R158" i="1"/>
  <c r="R157" i="1"/>
  <c r="R156" i="1"/>
  <c r="R155" i="1"/>
  <c r="R154" i="1"/>
  <c r="R153" i="1"/>
  <c r="R152" i="1"/>
  <c r="R151" i="1"/>
  <c r="R150" i="1"/>
  <c r="R149" i="1"/>
  <c r="R148" i="1"/>
  <c r="R147" i="1"/>
  <c r="R146" i="1"/>
  <c r="R145" i="1"/>
  <c r="R144" i="1"/>
  <c r="R143" i="1"/>
  <c r="R142" i="1"/>
  <c r="R141" i="1"/>
  <c r="R140" i="1"/>
  <c r="R139" i="1"/>
  <c r="R138" i="1"/>
  <c r="R137" i="1"/>
  <c r="R136" i="1"/>
  <c r="R135" i="1"/>
  <c r="R134" i="1"/>
  <c r="Q244" i="1"/>
  <c r="Q243" i="1"/>
  <c r="Q242" i="1"/>
  <c r="Q241" i="1"/>
  <c r="Q240" i="1"/>
  <c r="Q239" i="1"/>
  <c r="Q238" i="1"/>
  <c r="Q237" i="1"/>
  <c r="Q236" i="1"/>
  <c r="Q235" i="1"/>
  <c r="Q234" i="1"/>
  <c r="Q233" i="1"/>
  <c r="Q232" i="1"/>
  <c r="Q231" i="1"/>
  <c r="Q230" i="1"/>
  <c r="Q229" i="1"/>
  <c r="Q228" i="1"/>
  <c r="Q227" i="1"/>
  <c r="Q226" i="1"/>
  <c r="Q225" i="1"/>
  <c r="Q224" i="1"/>
  <c r="Q223" i="1"/>
  <c r="Q222" i="1"/>
  <c r="Q221" i="1"/>
  <c r="Q220" i="1"/>
  <c r="Q219" i="1"/>
  <c r="Q218" i="1"/>
  <c r="Q217" i="1"/>
  <c r="Q216" i="1"/>
  <c r="Q215" i="1"/>
  <c r="Q214" i="1"/>
  <c r="Q213" i="1"/>
  <c r="Q212" i="1"/>
  <c r="Q211" i="1"/>
  <c r="Q210" i="1"/>
  <c r="Q209" i="1"/>
  <c r="Q208" i="1"/>
  <c r="Q207" i="1"/>
  <c r="Q206" i="1"/>
  <c r="Q205" i="1"/>
  <c r="Q204" i="1"/>
  <c r="Q203" i="1"/>
  <c r="Q202" i="1"/>
  <c r="Q201" i="1"/>
  <c r="Q200" i="1"/>
  <c r="Q199" i="1"/>
  <c r="Q198" i="1"/>
  <c r="Q197" i="1"/>
  <c r="Q196" i="1"/>
  <c r="Q195" i="1"/>
  <c r="Q194" i="1"/>
  <c r="Q193" i="1"/>
  <c r="Q192" i="1"/>
  <c r="Q191" i="1"/>
  <c r="Q190" i="1"/>
  <c r="Q189" i="1"/>
  <c r="Q188" i="1"/>
  <c r="Q187" i="1"/>
  <c r="Q186" i="1"/>
  <c r="Q185" i="1"/>
  <c r="Q184" i="1"/>
  <c r="Q183" i="1"/>
  <c r="Q182" i="1"/>
  <c r="Q181" i="1"/>
  <c r="Q180" i="1"/>
  <c r="Q179" i="1"/>
  <c r="Q178" i="1"/>
  <c r="Q177" i="1"/>
  <c r="Q176" i="1"/>
  <c r="Q175" i="1"/>
  <c r="Q174" i="1"/>
  <c r="Q173" i="1"/>
  <c r="Q172" i="1"/>
  <c r="Q171" i="1"/>
  <c r="Q170" i="1"/>
  <c r="Q169" i="1"/>
  <c r="Q168" i="1"/>
  <c r="Q167" i="1"/>
  <c r="Q165" i="1"/>
  <c r="Q164" i="1"/>
  <c r="Q163" i="1"/>
  <c r="Q162" i="1"/>
  <c r="Q161" i="1"/>
  <c r="Q160" i="1"/>
  <c r="Q159" i="1"/>
  <c r="Q158" i="1"/>
  <c r="Q157" i="1"/>
  <c r="Q153" i="1"/>
  <c r="Q152" i="1"/>
  <c r="Q151" i="1"/>
  <c r="Q150" i="1"/>
  <c r="Q149" i="1"/>
  <c r="Q148" i="1"/>
  <c r="Q147" i="1"/>
  <c r="Q146" i="1"/>
  <c r="Q145" i="1"/>
  <c r="Q144" i="1"/>
  <c r="Q143" i="1"/>
  <c r="Q142" i="1"/>
  <c r="Q141" i="1"/>
  <c r="Q140" i="1"/>
  <c r="Q139" i="1"/>
  <c r="Q138" i="1"/>
  <c r="Q137" i="1"/>
  <c r="Q136" i="1"/>
  <c r="Q135" i="1"/>
  <c r="Q134" i="1"/>
  <c r="P244" i="1"/>
  <c r="P243" i="1"/>
  <c r="P242" i="1"/>
  <c r="P241" i="1"/>
  <c r="P240" i="1"/>
  <c r="P239" i="1"/>
  <c r="P238" i="1"/>
  <c r="P237" i="1"/>
  <c r="P236" i="1"/>
  <c r="P235" i="1"/>
  <c r="P234" i="1"/>
  <c r="P233" i="1"/>
  <c r="P232" i="1"/>
  <c r="P231" i="1"/>
  <c r="P230" i="1"/>
  <c r="P229" i="1"/>
  <c r="P228" i="1"/>
  <c r="P227" i="1"/>
  <c r="P226" i="1"/>
  <c r="P225" i="1"/>
  <c r="P224" i="1"/>
  <c r="P223" i="1"/>
  <c r="P222" i="1"/>
  <c r="P221" i="1"/>
  <c r="P220" i="1"/>
  <c r="P219" i="1"/>
  <c r="P218" i="1"/>
  <c r="P217" i="1"/>
  <c r="P216" i="1"/>
  <c r="P215" i="1"/>
  <c r="P214" i="1"/>
  <c r="P213" i="1"/>
  <c r="P212" i="1"/>
  <c r="P211" i="1"/>
  <c r="P210" i="1"/>
  <c r="P209" i="1"/>
  <c r="P208" i="1"/>
  <c r="P207" i="1"/>
  <c r="P206" i="1"/>
  <c r="P205" i="1"/>
  <c r="P204" i="1"/>
  <c r="P203" i="1"/>
  <c r="P202" i="1"/>
  <c r="P201" i="1"/>
  <c r="P200" i="1"/>
  <c r="P199" i="1"/>
  <c r="P198" i="1"/>
  <c r="P197" i="1"/>
  <c r="P196" i="1"/>
  <c r="P195" i="1"/>
  <c r="P194" i="1"/>
  <c r="P193" i="1"/>
  <c r="P192" i="1"/>
  <c r="P191" i="1"/>
  <c r="P190" i="1"/>
  <c r="P189" i="1"/>
  <c r="P188" i="1"/>
  <c r="P187" i="1"/>
  <c r="P186" i="1"/>
  <c r="P185" i="1"/>
  <c r="P184" i="1"/>
  <c r="P183" i="1"/>
  <c r="P182" i="1"/>
  <c r="P181" i="1"/>
  <c r="P180" i="1"/>
  <c r="P179" i="1"/>
  <c r="P178" i="1"/>
  <c r="P177" i="1"/>
  <c r="P176" i="1"/>
  <c r="P175" i="1"/>
  <c r="P174" i="1"/>
  <c r="P173" i="1"/>
  <c r="P172" i="1"/>
  <c r="P171" i="1"/>
  <c r="P170" i="1"/>
  <c r="P169" i="1"/>
  <c r="P168" i="1"/>
  <c r="P166" i="1"/>
  <c r="P164" i="1"/>
  <c r="P163" i="1"/>
  <c r="P162" i="1"/>
  <c r="P161" i="1"/>
  <c r="P160" i="1"/>
  <c r="P159" i="1"/>
  <c r="P158" i="1"/>
  <c r="P157" i="1"/>
  <c r="P153" i="1"/>
  <c r="P152" i="1"/>
  <c r="P151" i="1"/>
  <c r="P150" i="1"/>
  <c r="P149" i="1"/>
  <c r="P148" i="1"/>
  <c r="P147" i="1"/>
  <c r="P146" i="1"/>
  <c r="P145" i="1"/>
  <c r="P144" i="1"/>
  <c r="P143" i="1"/>
  <c r="P142" i="1"/>
  <c r="P141" i="1"/>
  <c r="P140" i="1"/>
  <c r="P139" i="1"/>
  <c r="P138" i="1"/>
  <c r="P137" i="1"/>
  <c r="P136" i="1"/>
  <c r="P135" i="1"/>
  <c r="P134" i="1"/>
  <c r="O244" i="1"/>
  <c r="O243" i="1"/>
  <c r="O242" i="1"/>
  <c r="O241" i="1"/>
  <c r="O240" i="1"/>
  <c r="O239" i="1"/>
  <c r="O238" i="1"/>
  <c r="O237" i="1"/>
  <c r="O236" i="1"/>
  <c r="O235" i="1"/>
  <c r="O234" i="1"/>
  <c r="O233" i="1"/>
  <c r="O232" i="1"/>
  <c r="O231" i="1"/>
  <c r="O230" i="1"/>
  <c r="O229" i="1"/>
  <c r="O228" i="1"/>
  <c r="O227" i="1"/>
  <c r="O226" i="1"/>
  <c r="O225" i="1"/>
  <c r="O224" i="1"/>
  <c r="O223" i="1"/>
  <c r="O222" i="1"/>
  <c r="O221" i="1"/>
  <c r="O220" i="1"/>
  <c r="O219" i="1"/>
  <c r="O218" i="1"/>
  <c r="O217" i="1"/>
  <c r="O216" i="1"/>
  <c r="O215" i="1"/>
  <c r="O214" i="1"/>
  <c r="O213" i="1"/>
  <c r="O212" i="1"/>
  <c r="O211" i="1"/>
  <c r="O210" i="1"/>
  <c r="O209" i="1"/>
  <c r="O208" i="1"/>
  <c r="O207" i="1"/>
  <c r="O206" i="1"/>
  <c r="O205" i="1"/>
  <c r="O204" i="1"/>
  <c r="O203" i="1"/>
  <c r="O202" i="1"/>
  <c r="O201" i="1"/>
  <c r="O200" i="1"/>
  <c r="O199" i="1"/>
  <c r="O198" i="1"/>
  <c r="O197" i="1"/>
  <c r="O196" i="1"/>
  <c r="O195" i="1"/>
  <c r="O194" i="1"/>
  <c r="O193" i="1"/>
  <c r="O192" i="1"/>
  <c r="O191" i="1"/>
  <c r="O190" i="1"/>
  <c r="O189" i="1"/>
  <c r="O188" i="1"/>
  <c r="O187" i="1"/>
  <c r="O186" i="1"/>
  <c r="O185" i="1"/>
  <c r="O184" i="1"/>
  <c r="O183" i="1"/>
  <c r="O182" i="1"/>
  <c r="O181" i="1"/>
  <c r="O180" i="1"/>
  <c r="O179" i="1"/>
  <c r="O178" i="1"/>
  <c r="O177" i="1"/>
  <c r="O176" i="1"/>
  <c r="O175" i="1"/>
  <c r="O174" i="1"/>
  <c r="O173" i="1"/>
  <c r="O172" i="1"/>
  <c r="O171" i="1"/>
  <c r="O170" i="1"/>
  <c r="O169" i="1"/>
  <c r="O168" i="1"/>
  <c r="O167" i="1"/>
  <c r="O166" i="1"/>
  <c r="O165" i="1"/>
  <c r="O164" i="1"/>
  <c r="O163" i="1"/>
  <c r="O162" i="1"/>
  <c r="O161" i="1"/>
  <c r="O160" i="1"/>
  <c r="O159" i="1"/>
  <c r="O158" i="1"/>
  <c r="O157" i="1"/>
  <c r="O156" i="1"/>
  <c r="O155" i="1"/>
  <c r="O154" i="1"/>
  <c r="O153" i="1"/>
  <c r="O152" i="1"/>
  <c r="O151" i="1"/>
  <c r="O150" i="1"/>
  <c r="O149" i="1"/>
  <c r="O148" i="1"/>
  <c r="O147" i="1"/>
  <c r="O146" i="1"/>
  <c r="O145" i="1"/>
  <c r="O144" i="1"/>
  <c r="O143" i="1"/>
  <c r="O142" i="1"/>
  <c r="O141" i="1"/>
  <c r="O140" i="1"/>
  <c r="O139" i="1"/>
  <c r="O138" i="1"/>
  <c r="O137" i="1"/>
  <c r="O136" i="1"/>
  <c r="O135" i="1"/>
  <c r="O134" i="1"/>
  <c r="N244" i="1"/>
  <c r="N243" i="1"/>
  <c r="N242" i="1"/>
  <c r="N241" i="1"/>
  <c r="N240" i="1"/>
  <c r="N239" i="1"/>
  <c r="N238" i="1"/>
  <c r="N237" i="1"/>
  <c r="N236" i="1"/>
  <c r="N235" i="1"/>
  <c r="N234" i="1"/>
  <c r="N233" i="1"/>
  <c r="N232" i="1"/>
  <c r="N231" i="1"/>
  <c r="N230" i="1"/>
  <c r="N229" i="1"/>
  <c r="N228" i="1"/>
  <c r="N227" i="1"/>
  <c r="N226" i="1"/>
  <c r="N225" i="1"/>
  <c r="N224" i="1"/>
  <c r="N223" i="1"/>
  <c r="N222" i="1"/>
  <c r="N221" i="1"/>
  <c r="N220" i="1"/>
  <c r="N219" i="1"/>
  <c r="N218" i="1"/>
  <c r="N217" i="1"/>
  <c r="N216" i="1"/>
  <c r="N215" i="1"/>
  <c r="N214" i="1"/>
  <c r="N213" i="1"/>
  <c r="N212" i="1"/>
  <c r="N211" i="1"/>
  <c r="N210" i="1"/>
  <c r="N209" i="1"/>
  <c r="N208" i="1"/>
  <c r="N207" i="1"/>
  <c r="N206" i="1"/>
  <c r="N205" i="1"/>
  <c r="N204" i="1"/>
  <c r="N203" i="1"/>
  <c r="N202" i="1"/>
  <c r="N201" i="1"/>
  <c r="N200" i="1"/>
  <c r="N199" i="1"/>
  <c r="N198" i="1"/>
  <c r="N197" i="1"/>
  <c r="N196" i="1"/>
  <c r="N195" i="1"/>
  <c r="N194" i="1"/>
  <c r="N193" i="1"/>
  <c r="N192" i="1"/>
  <c r="N191" i="1"/>
  <c r="N190" i="1"/>
  <c r="N189" i="1"/>
  <c r="N188" i="1"/>
  <c r="N187" i="1"/>
  <c r="N186" i="1"/>
  <c r="N185" i="1"/>
  <c r="N184" i="1"/>
  <c r="N183" i="1"/>
  <c r="N182" i="1"/>
  <c r="N181" i="1"/>
  <c r="N180" i="1"/>
  <c r="N179" i="1"/>
  <c r="N178" i="1"/>
  <c r="N177" i="1"/>
  <c r="N176" i="1"/>
  <c r="N175" i="1"/>
  <c r="N174" i="1"/>
  <c r="N173" i="1"/>
  <c r="N172" i="1"/>
  <c r="N171" i="1"/>
  <c r="N170" i="1"/>
  <c r="N169" i="1"/>
  <c r="N168" i="1"/>
  <c r="N167" i="1"/>
  <c r="N166" i="1"/>
  <c r="N165" i="1"/>
  <c r="N164" i="1"/>
  <c r="N163" i="1"/>
  <c r="N162" i="1"/>
  <c r="N161" i="1"/>
  <c r="N160" i="1"/>
  <c r="N159" i="1"/>
  <c r="N158" i="1"/>
  <c r="N157" i="1"/>
  <c r="N156" i="1"/>
  <c r="N155" i="1"/>
  <c r="N154" i="1"/>
  <c r="N153" i="1"/>
  <c r="N152" i="1"/>
  <c r="N151" i="1"/>
  <c r="N150" i="1"/>
  <c r="N149" i="1"/>
  <c r="N148" i="1"/>
  <c r="N147" i="1"/>
  <c r="N146" i="1"/>
  <c r="N145" i="1"/>
  <c r="N144" i="1"/>
  <c r="N143" i="1"/>
  <c r="N142" i="1"/>
  <c r="N141" i="1"/>
  <c r="N140" i="1"/>
  <c r="N139" i="1"/>
  <c r="N138" i="1"/>
  <c r="N137" i="1"/>
  <c r="N136" i="1"/>
  <c r="N135" i="1"/>
  <c r="N134" i="1"/>
  <c r="M244" i="1"/>
  <c r="M243" i="1"/>
  <c r="M242" i="1"/>
  <c r="M241" i="1"/>
  <c r="M240" i="1"/>
  <c r="M239" i="1"/>
  <c r="M238" i="1"/>
  <c r="M237" i="1"/>
  <c r="M236" i="1"/>
  <c r="M235" i="1"/>
  <c r="M234" i="1"/>
  <c r="M233" i="1"/>
  <c r="M232" i="1"/>
  <c r="M231" i="1"/>
  <c r="M230" i="1"/>
  <c r="M229" i="1"/>
  <c r="M228" i="1"/>
  <c r="M227" i="1"/>
  <c r="M226" i="1"/>
  <c r="M225" i="1"/>
  <c r="M224" i="1"/>
  <c r="M223" i="1"/>
  <c r="M222" i="1"/>
  <c r="M221" i="1"/>
  <c r="M220" i="1"/>
  <c r="M219" i="1"/>
  <c r="M218" i="1"/>
  <c r="M217" i="1"/>
  <c r="M216" i="1"/>
  <c r="M215" i="1"/>
  <c r="M214" i="1"/>
  <c r="M213" i="1"/>
  <c r="M212" i="1"/>
  <c r="M211" i="1"/>
  <c r="M210" i="1"/>
  <c r="M209" i="1"/>
  <c r="M208" i="1"/>
  <c r="M207" i="1"/>
  <c r="M206" i="1"/>
  <c r="M205" i="1"/>
  <c r="M204" i="1"/>
  <c r="M203" i="1"/>
  <c r="M202" i="1"/>
  <c r="M201" i="1"/>
  <c r="M200" i="1"/>
  <c r="M199" i="1"/>
  <c r="M198" i="1"/>
  <c r="M197" i="1"/>
  <c r="M196" i="1"/>
  <c r="M195" i="1"/>
  <c r="M194" i="1"/>
  <c r="M193" i="1"/>
  <c r="M192" i="1"/>
  <c r="M191" i="1"/>
  <c r="M190" i="1"/>
  <c r="M189" i="1"/>
  <c r="M188" i="1"/>
  <c r="M187" i="1"/>
  <c r="M186" i="1"/>
  <c r="M185" i="1"/>
  <c r="M184" i="1"/>
  <c r="M183" i="1"/>
  <c r="M182" i="1"/>
  <c r="M181" i="1"/>
  <c r="M180" i="1"/>
  <c r="M179" i="1"/>
  <c r="M178" i="1"/>
  <c r="M177" i="1"/>
  <c r="M176" i="1"/>
  <c r="M175" i="1"/>
  <c r="M174" i="1"/>
  <c r="M173" i="1"/>
  <c r="M172" i="1"/>
  <c r="M171" i="1"/>
  <c r="M170" i="1"/>
  <c r="M169" i="1"/>
  <c r="M168" i="1"/>
  <c r="M167" i="1"/>
  <c r="M166" i="1"/>
  <c r="M165" i="1"/>
  <c r="M164" i="1"/>
  <c r="M163" i="1"/>
  <c r="M162" i="1"/>
  <c r="M161" i="1"/>
  <c r="M160" i="1"/>
  <c r="M159" i="1"/>
  <c r="M158" i="1"/>
  <c r="M157" i="1"/>
  <c r="M156" i="1"/>
  <c r="M155" i="1"/>
  <c r="M154" i="1"/>
  <c r="M153" i="1"/>
  <c r="M152" i="1"/>
  <c r="M151" i="1"/>
  <c r="M150" i="1"/>
  <c r="M149" i="1"/>
  <c r="M148" i="1"/>
  <c r="M147" i="1"/>
  <c r="M146" i="1"/>
  <c r="M145" i="1"/>
  <c r="M144" i="1"/>
  <c r="M143" i="1"/>
  <c r="M142" i="1"/>
  <c r="M141" i="1"/>
  <c r="M140" i="1"/>
  <c r="M139" i="1"/>
  <c r="M138" i="1"/>
  <c r="M137" i="1"/>
  <c r="M136" i="1"/>
  <c r="M135" i="1"/>
  <c r="M134" i="1"/>
  <c r="L244" i="1"/>
  <c r="L243" i="1"/>
  <c r="L242" i="1"/>
  <c r="L241" i="1"/>
  <c r="L240" i="1"/>
  <c r="L239" i="1"/>
  <c r="L238" i="1"/>
  <c r="L237" i="1"/>
  <c r="L236" i="1"/>
  <c r="L235" i="1"/>
  <c r="L234" i="1"/>
  <c r="L233" i="1"/>
  <c r="L232" i="1"/>
  <c r="L231" i="1"/>
  <c r="L230" i="1"/>
  <c r="L229" i="1"/>
  <c r="L228" i="1"/>
  <c r="L227" i="1"/>
  <c r="L226" i="1"/>
  <c r="L225" i="1"/>
  <c r="L224" i="1"/>
  <c r="L223" i="1"/>
  <c r="L222" i="1"/>
  <c r="L221" i="1"/>
  <c r="L220" i="1"/>
  <c r="L219" i="1"/>
  <c r="L218" i="1"/>
  <c r="L217" i="1"/>
  <c r="L216" i="1"/>
  <c r="L215" i="1"/>
  <c r="L214" i="1"/>
  <c r="L213" i="1"/>
  <c r="L212" i="1"/>
  <c r="L211" i="1"/>
  <c r="L210" i="1"/>
  <c r="L209" i="1"/>
  <c r="L208" i="1"/>
  <c r="L207" i="1"/>
  <c r="L206" i="1"/>
  <c r="L205" i="1"/>
  <c r="L204" i="1"/>
  <c r="L203" i="1"/>
  <c r="L202" i="1"/>
  <c r="L201" i="1"/>
  <c r="L200" i="1"/>
  <c r="L199" i="1"/>
  <c r="L198" i="1"/>
  <c r="L197" i="1"/>
  <c r="L196" i="1"/>
  <c r="L195" i="1"/>
  <c r="L194" i="1"/>
  <c r="L193" i="1"/>
  <c r="L192" i="1"/>
  <c r="L191" i="1"/>
  <c r="L190" i="1"/>
  <c r="L189" i="1"/>
  <c r="L188" i="1"/>
  <c r="L187" i="1"/>
  <c r="L186" i="1"/>
  <c r="L185" i="1"/>
  <c r="L184" i="1"/>
  <c r="L183" i="1"/>
  <c r="L182" i="1"/>
  <c r="L181" i="1"/>
  <c r="L180" i="1"/>
  <c r="L179" i="1"/>
  <c r="L178" i="1"/>
  <c r="L177" i="1"/>
  <c r="L176" i="1"/>
  <c r="L175" i="1"/>
  <c r="L174" i="1"/>
  <c r="L173" i="1"/>
  <c r="L172" i="1"/>
  <c r="L171" i="1"/>
  <c r="L170" i="1"/>
  <c r="L169" i="1"/>
  <c r="L168" i="1"/>
  <c r="L167" i="1"/>
  <c r="L166" i="1"/>
  <c r="L165" i="1"/>
  <c r="L164" i="1"/>
  <c r="L163" i="1"/>
  <c r="L162" i="1"/>
  <c r="L161" i="1"/>
  <c r="L160" i="1"/>
  <c r="L159" i="1"/>
  <c r="L158" i="1"/>
  <c r="L157" i="1"/>
  <c r="L156" i="1"/>
  <c r="L155" i="1"/>
  <c r="L154" i="1"/>
  <c r="L153" i="1"/>
  <c r="L152" i="1"/>
  <c r="L151" i="1"/>
  <c r="L150" i="1"/>
  <c r="L149" i="1"/>
  <c r="L148" i="1"/>
  <c r="L147" i="1"/>
  <c r="L146" i="1"/>
  <c r="L145" i="1"/>
  <c r="L144" i="1"/>
  <c r="L143" i="1"/>
  <c r="L142" i="1"/>
  <c r="L141" i="1"/>
  <c r="L140" i="1"/>
  <c r="L139" i="1"/>
  <c r="L138" i="1"/>
  <c r="L137" i="1"/>
  <c r="L136" i="1"/>
  <c r="L135" i="1"/>
  <c r="L134" i="1"/>
  <c r="K244" i="1"/>
  <c r="K243" i="1"/>
  <c r="K242" i="1"/>
  <c r="K241" i="1"/>
  <c r="K240" i="1"/>
  <c r="K239" i="1"/>
  <c r="K238" i="1"/>
  <c r="K237" i="1"/>
  <c r="K236" i="1"/>
  <c r="K235" i="1"/>
  <c r="K234" i="1"/>
  <c r="K233" i="1"/>
  <c r="K232" i="1"/>
  <c r="K231" i="1"/>
  <c r="K230" i="1"/>
  <c r="K229" i="1"/>
  <c r="K228" i="1"/>
  <c r="K227" i="1"/>
  <c r="K226" i="1"/>
  <c r="K225" i="1"/>
  <c r="K224" i="1"/>
  <c r="K223" i="1"/>
  <c r="K222" i="1"/>
  <c r="K221" i="1"/>
  <c r="K220" i="1"/>
  <c r="K219" i="1"/>
  <c r="K218" i="1"/>
  <c r="K217" i="1"/>
  <c r="K216" i="1"/>
  <c r="K215" i="1"/>
  <c r="K214" i="1"/>
  <c r="K213" i="1"/>
  <c r="K212" i="1"/>
  <c r="K211" i="1"/>
  <c r="K210" i="1"/>
  <c r="K209" i="1"/>
  <c r="K208" i="1"/>
  <c r="K207" i="1"/>
  <c r="K206" i="1"/>
  <c r="K205" i="1"/>
  <c r="K204" i="1"/>
  <c r="K203" i="1"/>
  <c r="K202" i="1"/>
  <c r="K201" i="1"/>
  <c r="K200" i="1"/>
  <c r="K199" i="1"/>
  <c r="K198" i="1"/>
  <c r="K197" i="1"/>
  <c r="K196" i="1"/>
  <c r="K195" i="1"/>
  <c r="K194" i="1"/>
  <c r="K193" i="1"/>
  <c r="K192" i="1"/>
  <c r="K191" i="1"/>
  <c r="K190" i="1"/>
  <c r="K189" i="1"/>
  <c r="K188" i="1"/>
  <c r="K187" i="1"/>
  <c r="K186" i="1"/>
  <c r="K185" i="1"/>
  <c r="K184" i="1"/>
  <c r="K183" i="1"/>
  <c r="K182" i="1"/>
  <c r="K181" i="1"/>
  <c r="K180" i="1"/>
  <c r="K179" i="1"/>
  <c r="K178" i="1"/>
  <c r="K177" i="1"/>
  <c r="K176" i="1"/>
  <c r="K175" i="1"/>
  <c r="K174" i="1"/>
  <c r="K173" i="1"/>
  <c r="K172" i="1"/>
  <c r="K171" i="1"/>
  <c r="K170" i="1"/>
  <c r="K169" i="1"/>
  <c r="K168" i="1"/>
  <c r="K167" i="1"/>
  <c r="K166" i="1"/>
  <c r="K165" i="1"/>
  <c r="K164" i="1"/>
  <c r="K163" i="1"/>
  <c r="K162" i="1"/>
  <c r="K161" i="1"/>
  <c r="K160" i="1"/>
  <c r="K159" i="1"/>
  <c r="K158" i="1"/>
  <c r="K157" i="1"/>
  <c r="K156" i="1"/>
  <c r="K155" i="1"/>
  <c r="K154" i="1"/>
  <c r="K153" i="1"/>
  <c r="K152" i="1"/>
  <c r="K151" i="1"/>
  <c r="K150" i="1"/>
  <c r="K149" i="1"/>
  <c r="K148" i="1"/>
  <c r="K147" i="1"/>
  <c r="K146" i="1"/>
  <c r="K145" i="1"/>
  <c r="K144" i="1"/>
  <c r="K143" i="1"/>
  <c r="K142" i="1"/>
  <c r="K141" i="1"/>
  <c r="K140" i="1"/>
  <c r="K139" i="1"/>
  <c r="K138" i="1"/>
  <c r="K137" i="1"/>
  <c r="K136" i="1"/>
  <c r="K135" i="1"/>
  <c r="K134" i="1"/>
  <c r="J244" i="1"/>
  <c r="J243" i="1"/>
  <c r="J242" i="1"/>
  <c r="J241" i="1"/>
  <c r="J240" i="1"/>
  <c r="J239" i="1"/>
  <c r="J238" i="1"/>
  <c r="J237" i="1"/>
  <c r="J236" i="1"/>
  <c r="J235" i="1"/>
  <c r="J234" i="1"/>
  <c r="J233" i="1"/>
  <c r="J232" i="1"/>
  <c r="J231" i="1"/>
  <c r="J230" i="1"/>
  <c r="J229" i="1"/>
  <c r="J228" i="1"/>
  <c r="J227" i="1"/>
  <c r="J226" i="1"/>
  <c r="J225" i="1"/>
  <c r="J224" i="1"/>
  <c r="J223" i="1"/>
  <c r="J222" i="1"/>
  <c r="J221" i="1"/>
  <c r="J220" i="1"/>
  <c r="J219" i="1"/>
  <c r="J218" i="1"/>
  <c r="J217" i="1"/>
  <c r="J216" i="1"/>
  <c r="J215" i="1"/>
  <c r="J214" i="1"/>
  <c r="J213" i="1"/>
  <c r="J212" i="1"/>
  <c r="J211" i="1"/>
  <c r="J210" i="1"/>
  <c r="J209" i="1"/>
  <c r="J208" i="1"/>
  <c r="J207" i="1"/>
  <c r="J206" i="1"/>
  <c r="J205" i="1"/>
  <c r="J204" i="1"/>
  <c r="J203" i="1"/>
  <c r="J202" i="1"/>
  <c r="J201" i="1"/>
  <c r="J200" i="1"/>
  <c r="J199" i="1"/>
  <c r="J198" i="1"/>
  <c r="J197" i="1"/>
  <c r="J196" i="1"/>
  <c r="J195" i="1"/>
  <c r="J194" i="1"/>
  <c r="J193" i="1"/>
  <c r="J192" i="1"/>
  <c r="J191" i="1"/>
  <c r="J190" i="1"/>
  <c r="J189" i="1"/>
  <c r="J188" i="1"/>
  <c r="J187" i="1"/>
  <c r="J186" i="1"/>
  <c r="J185" i="1"/>
  <c r="J184" i="1"/>
  <c r="J183" i="1"/>
  <c r="J182" i="1"/>
  <c r="J181" i="1"/>
  <c r="J180" i="1"/>
  <c r="J179" i="1"/>
  <c r="J178" i="1"/>
  <c r="J177" i="1"/>
  <c r="J176" i="1"/>
  <c r="J175" i="1"/>
  <c r="J174" i="1"/>
  <c r="J173" i="1"/>
  <c r="J172" i="1"/>
  <c r="J171" i="1"/>
  <c r="J170" i="1"/>
  <c r="J169" i="1"/>
  <c r="J168" i="1"/>
  <c r="J167" i="1"/>
  <c r="J166" i="1"/>
  <c r="J165" i="1"/>
  <c r="J164" i="1"/>
  <c r="J163" i="1"/>
  <c r="J162" i="1"/>
  <c r="J161" i="1"/>
  <c r="J160" i="1"/>
  <c r="J159" i="1"/>
  <c r="J158" i="1"/>
  <c r="J157" i="1"/>
  <c r="J156" i="1"/>
  <c r="J155" i="1"/>
  <c r="J154" i="1"/>
  <c r="J153" i="1"/>
  <c r="J152" i="1"/>
  <c r="J151" i="1"/>
  <c r="J150" i="1"/>
  <c r="J149" i="1"/>
  <c r="J148" i="1"/>
  <c r="J147" i="1"/>
  <c r="J146" i="1"/>
  <c r="J145" i="1"/>
  <c r="J144" i="1"/>
  <c r="J143" i="1"/>
  <c r="J142" i="1"/>
  <c r="J141" i="1"/>
  <c r="J140" i="1"/>
  <c r="J139" i="1"/>
  <c r="J138" i="1"/>
  <c r="J137" i="1"/>
  <c r="J136" i="1"/>
  <c r="J135" i="1"/>
  <c r="J134" i="1"/>
  <c r="I244" i="1"/>
  <c r="I243" i="1"/>
  <c r="I242" i="1"/>
  <c r="I241" i="1"/>
  <c r="I240" i="1"/>
  <c r="I239" i="1"/>
  <c r="I238" i="1"/>
  <c r="I237" i="1"/>
  <c r="I236" i="1"/>
  <c r="I235" i="1"/>
  <c r="I234" i="1"/>
  <c r="I233" i="1"/>
  <c r="I232" i="1"/>
  <c r="I231" i="1"/>
  <c r="I230" i="1"/>
  <c r="I229" i="1"/>
  <c r="I228" i="1"/>
  <c r="I227" i="1"/>
  <c r="I226" i="1"/>
  <c r="I225" i="1"/>
  <c r="I224" i="1"/>
  <c r="I223" i="1"/>
  <c r="I222" i="1"/>
  <c r="I221" i="1"/>
  <c r="I220" i="1"/>
  <c r="I219" i="1"/>
  <c r="I218" i="1"/>
  <c r="I217" i="1"/>
  <c r="I216" i="1"/>
  <c r="I215" i="1"/>
  <c r="I214" i="1"/>
  <c r="I213" i="1"/>
  <c r="I212" i="1"/>
  <c r="I211" i="1"/>
  <c r="I210" i="1"/>
  <c r="I209" i="1"/>
  <c r="I208" i="1"/>
  <c r="I207" i="1"/>
  <c r="I206" i="1"/>
  <c r="I205" i="1"/>
  <c r="I204" i="1"/>
  <c r="I203" i="1"/>
  <c r="I202" i="1"/>
  <c r="I201" i="1"/>
  <c r="I200" i="1"/>
  <c r="I199" i="1"/>
  <c r="I198" i="1"/>
  <c r="I197" i="1"/>
  <c r="I196" i="1"/>
  <c r="I195" i="1"/>
  <c r="I194" i="1"/>
  <c r="I193" i="1"/>
  <c r="I192" i="1"/>
  <c r="I191" i="1"/>
  <c r="I190" i="1"/>
  <c r="I189" i="1"/>
  <c r="I188" i="1"/>
  <c r="I187" i="1"/>
  <c r="I186" i="1"/>
  <c r="I185" i="1"/>
  <c r="I184" i="1"/>
  <c r="I183" i="1"/>
  <c r="I182" i="1"/>
  <c r="I181" i="1"/>
  <c r="I180" i="1"/>
  <c r="I179" i="1"/>
  <c r="I178" i="1"/>
  <c r="I177" i="1"/>
  <c r="I176" i="1"/>
  <c r="I175" i="1"/>
  <c r="I174" i="1"/>
  <c r="I173" i="1"/>
  <c r="I172" i="1"/>
  <c r="I171" i="1"/>
  <c r="I170" i="1"/>
  <c r="I169" i="1"/>
  <c r="I168" i="1"/>
  <c r="I167" i="1"/>
  <c r="I166" i="1"/>
  <c r="I165" i="1"/>
  <c r="I164" i="1"/>
  <c r="I163" i="1"/>
  <c r="I162" i="1"/>
  <c r="I161" i="1"/>
  <c r="I160" i="1"/>
  <c r="I159" i="1"/>
  <c r="I158" i="1"/>
  <c r="I157" i="1"/>
  <c r="I156" i="1"/>
  <c r="I155" i="1"/>
  <c r="I154" i="1"/>
  <c r="I153" i="1"/>
  <c r="I152" i="1"/>
  <c r="I151" i="1"/>
  <c r="I150" i="1"/>
  <c r="I149" i="1"/>
  <c r="I148" i="1"/>
  <c r="I147" i="1"/>
  <c r="I146" i="1"/>
  <c r="I145" i="1"/>
  <c r="I144" i="1"/>
  <c r="I143" i="1"/>
  <c r="I142" i="1"/>
  <c r="I141" i="1"/>
  <c r="I140" i="1"/>
  <c r="I139" i="1"/>
  <c r="I138" i="1"/>
  <c r="I137" i="1"/>
  <c r="I136" i="1"/>
  <c r="I135" i="1"/>
  <c r="I134" i="1"/>
  <c r="H244" i="1"/>
  <c r="H243" i="1"/>
  <c r="H242" i="1"/>
  <c r="H241" i="1"/>
  <c r="H240" i="1"/>
  <c r="H239" i="1"/>
  <c r="H238" i="1"/>
  <c r="H237" i="1"/>
  <c r="H236" i="1"/>
  <c r="H235" i="1"/>
  <c r="H234" i="1"/>
  <c r="H233" i="1"/>
  <c r="H232" i="1"/>
  <c r="H231" i="1"/>
  <c r="H230" i="1"/>
  <c r="H229" i="1"/>
  <c r="H228" i="1"/>
  <c r="H227" i="1"/>
  <c r="H226" i="1"/>
  <c r="H225" i="1"/>
  <c r="H224" i="1"/>
  <c r="H223" i="1"/>
  <c r="H222" i="1"/>
  <c r="H221" i="1"/>
  <c r="H220" i="1"/>
  <c r="H219" i="1"/>
  <c r="H218" i="1"/>
  <c r="H217" i="1"/>
  <c r="H216" i="1"/>
  <c r="H215" i="1"/>
  <c r="H214" i="1"/>
  <c r="H213" i="1"/>
  <c r="H212" i="1"/>
  <c r="H211" i="1"/>
  <c r="H210" i="1"/>
  <c r="H209" i="1"/>
  <c r="H208" i="1"/>
  <c r="H207" i="1"/>
  <c r="H206" i="1"/>
  <c r="H205" i="1"/>
  <c r="H204" i="1"/>
  <c r="H203" i="1"/>
  <c r="H202" i="1"/>
  <c r="H201" i="1"/>
  <c r="H200" i="1"/>
  <c r="H199" i="1"/>
  <c r="H198" i="1"/>
  <c r="H197" i="1"/>
  <c r="H196" i="1"/>
  <c r="H195" i="1"/>
  <c r="H194" i="1"/>
  <c r="H193" i="1"/>
  <c r="H192" i="1"/>
  <c r="H191" i="1"/>
  <c r="H190" i="1"/>
  <c r="H189" i="1"/>
  <c r="H188" i="1"/>
  <c r="H187" i="1"/>
  <c r="H186" i="1"/>
  <c r="H185" i="1"/>
  <c r="H184" i="1"/>
  <c r="H183" i="1"/>
  <c r="H182" i="1"/>
  <c r="H181" i="1"/>
  <c r="H180" i="1"/>
  <c r="H179" i="1"/>
  <c r="H178" i="1"/>
  <c r="H177" i="1"/>
  <c r="H176" i="1"/>
  <c r="H175" i="1"/>
  <c r="H174" i="1"/>
  <c r="H173" i="1"/>
  <c r="H172" i="1"/>
  <c r="H171" i="1"/>
  <c r="H170" i="1"/>
  <c r="H169" i="1"/>
  <c r="H168" i="1"/>
  <c r="H167" i="1"/>
  <c r="H166" i="1"/>
  <c r="H165" i="1"/>
  <c r="H164" i="1"/>
  <c r="H163" i="1"/>
  <c r="H162" i="1"/>
  <c r="H161" i="1"/>
  <c r="H160" i="1"/>
  <c r="H159" i="1"/>
  <c r="H158" i="1"/>
  <c r="H157" i="1"/>
  <c r="H156" i="1"/>
  <c r="H155" i="1"/>
  <c r="H154" i="1"/>
  <c r="H153" i="1"/>
  <c r="H152" i="1"/>
  <c r="H151" i="1"/>
  <c r="H150" i="1"/>
  <c r="H149" i="1"/>
  <c r="H148" i="1"/>
  <c r="H147" i="1"/>
  <c r="H146" i="1"/>
  <c r="H145" i="1"/>
  <c r="H144" i="1"/>
  <c r="H143" i="1"/>
  <c r="H142" i="1"/>
  <c r="H141" i="1"/>
  <c r="H140" i="1"/>
  <c r="H139" i="1"/>
  <c r="H138" i="1"/>
  <c r="H137" i="1"/>
  <c r="H136" i="1"/>
  <c r="H135" i="1"/>
  <c r="H134" i="1"/>
  <c r="G244" i="1"/>
  <c r="G243" i="1"/>
  <c r="G242" i="1"/>
  <c r="G241" i="1"/>
  <c r="G240" i="1"/>
  <c r="G239" i="1"/>
  <c r="G238" i="1"/>
  <c r="G237" i="1"/>
  <c r="G236" i="1"/>
  <c r="G235" i="1"/>
  <c r="G234" i="1"/>
  <c r="G233" i="1"/>
  <c r="G232" i="1"/>
  <c r="G231" i="1"/>
  <c r="G230" i="1"/>
  <c r="G229" i="1"/>
  <c r="G228" i="1"/>
  <c r="G227" i="1"/>
  <c r="G226" i="1"/>
  <c r="G225" i="1"/>
  <c r="G224" i="1"/>
  <c r="G223" i="1"/>
  <c r="G222" i="1"/>
  <c r="G221" i="1"/>
  <c r="G220" i="1"/>
  <c r="G219" i="1"/>
  <c r="G218" i="1"/>
  <c r="G217" i="1"/>
  <c r="G216" i="1"/>
  <c r="G215" i="1"/>
  <c r="G214" i="1"/>
  <c r="G213" i="1"/>
  <c r="G212" i="1"/>
  <c r="G211" i="1"/>
  <c r="G210" i="1"/>
  <c r="G209" i="1"/>
  <c r="G208" i="1"/>
  <c r="G207" i="1"/>
  <c r="G206" i="1"/>
  <c r="G205" i="1"/>
  <c r="G204" i="1"/>
  <c r="G203" i="1"/>
  <c r="G202" i="1"/>
  <c r="G201" i="1"/>
  <c r="G200" i="1"/>
  <c r="G199" i="1"/>
  <c r="G198" i="1"/>
  <c r="G197" i="1"/>
  <c r="G196" i="1"/>
  <c r="G195" i="1"/>
  <c r="G194" i="1"/>
  <c r="G193" i="1"/>
  <c r="G192" i="1"/>
  <c r="G191" i="1"/>
  <c r="G190" i="1"/>
  <c r="G189" i="1"/>
  <c r="G188" i="1"/>
  <c r="G187" i="1"/>
  <c r="G186" i="1"/>
  <c r="G185" i="1"/>
  <c r="G184" i="1"/>
  <c r="G183" i="1"/>
  <c r="G182" i="1"/>
  <c r="G181" i="1"/>
  <c r="G180" i="1"/>
  <c r="G179" i="1"/>
  <c r="G178" i="1"/>
  <c r="G177" i="1"/>
  <c r="G176" i="1"/>
  <c r="G175" i="1"/>
  <c r="G174" i="1"/>
  <c r="G173" i="1"/>
  <c r="G172" i="1"/>
  <c r="G171" i="1"/>
  <c r="G170" i="1"/>
  <c r="G169" i="1"/>
  <c r="G168" i="1"/>
  <c r="G167" i="1"/>
  <c r="G166" i="1"/>
  <c r="G165" i="1"/>
  <c r="G164" i="1"/>
  <c r="G163" i="1"/>
  <c r="G162" i="1"/>
  <c r="G161" i="1"/>
  <c r="G160" i="1"/>
  <c r="G159" i="1"/>
  <c r="G158" i="1"/>
  <c r="G157" i="1"/>
  <c r="G156" i="1"/>
  <c r="G155" i="1"/>
  <c r="G154" i="1"/>
  <c r="G153" i="1"/>
  <c r="G152" i="1"/>
  <c r="G151" i="1"/>
  <c r="G150" i="1"/>
  <c r="G149" i="1"/>
  <c r="G148" i="1"/>
  <c r="G147" i="1"/>
  <c r="G146" i="1"/>
  <c r="G145" i="1"/>
  <c r="G144" i="1"/>
  <c r="G143" i="1"/>
  <c r="G142" i="1"/>
  <c r="G141" i="1"/>
  <c r="G140" i="1"/>
  <c r="G139" i="1"/>
  <c r="G138" i="1"/>
  <c r="G137" i="1"/>
  <c r="G136" i="1"/>
  <c r="G135" i="1"/>
  <c r="G134" i="1"/>
  <c r="F244" i="1"/>
  <c r="F243" i="1"/>
  <c r="F242" i="1"/>
  <c r="F241" i="1"/>
  <c r="F240" i="1"/>
  <c r="F239" i="1"/>
  <c r="F238" i="1"/>
  <c r="F237" i="1"/>
  <c r="F236" i="1"/>
  <c r="F235" i="1"/>
  <c r="F234" i="1"/>
  <c r="F233" i="1"/>
  <c r="F232" i="1"/>
  <c r="F231" i="1"/>
  <c r="F230" i="1"/>
  <c r="F229" i="1"/>
  <c r="F228" i="1"/>
  <c r="F227" i="1"/>
  <c r="F226" i="1"/>
  <c r="F225" i="1"/>
  <c r="F224" i="1"/>
  <c r="F223" i="1"/>
  <c r="F222" i="1"/>
  <c r="F221" i="1"/>
  <c r="F220" i="1"/>
  <c r="F219" i="1"/>
  <c r="F218" i="1"/>
  <c r="F217" i="1"/>
  <c r="F216" i="1"/>
  <c r="F215" i="1"/>
  <c r="F214" i="1"/>
  <c r="F213" i="1"/>
  <c r="F212" i="1"/>
  <c r="F211" i="1"/>
  <c r="F210" i="1"/>
  <c r="F209" i="1"/>
  <c r="F208" i="1"/>
  <c r="F207" i="1"/>
  <c r="F206" i="1"/>
  <c r="F205" i="1"/>
  <c r="F204" i="1"/>
  <c r="F203" i="1"/>
  <c r="F202" i="1"/>
  <c r="F201" i="1"/>
  <c r="F200" i="1"/>
  <c r="F199" i="1"/>
  <c r="F198" i="1"/>
  <c r="F197" i="1"/>
  <c r="F196" i="1"/>
  <c r="F195" i="1"/>
  <c r="F194" i="1"/>
  <c r="F193" i="1"/>
  <c r="F192" i="1"/>
  <c r="F191" i="1"/>
  <c r="F190" i="1"/>
  <c r="F189" i="1"/>
  <c r="F188" i="1"/>
  <c r="F187" i="1"/>
  <c r="F186" i="1"/>
  <c r="F185" i="1"/>
  <c r="F184" i="1"/>
  <c r="F183" i="1"/>
  <c r="F182" i="1"/>
  <c r="F181" i="1"/>
  <c r="F180" i="1"/>
  <c r="F179" i="1"/>
  <c r="F178" i="1"/>
  <c r="F177" i="1"/>
  <c r="F176" i="1"/>
  <c r="F175" i="1"/>
  <c r="F174" i="1"/>
  <c r="F173" i="1"/>
  <c r="F172" i="1"/>
  <c r="F171" i="1"/>
  <c r="F170" i="1"/>
  <c r="F169" i="1"/>
  <c r="F168" i="1"/>
  <c r="F167" i="1"/>
  <c r="F166" i="1"/>
  <c r="F165" i="1"/>
  <c r="F164" i="1"/>
  <c r="F163" i="1"/>
  <c r="F162" i="1"/>
  <c r="F161" i="1"/>
  <c r="F160" i="1"/>
  <c r="F159" i="1"/>
  <c r="F158" i="1"/>
  <c r="F157" i="1"/>
  <c r="F156" i="1"/>
  <c r="F155" i="1"/>
  <c r="F154" i="1"/>
  <c r="F153" i="1"/>
  <c r="F152" i="1"/>
  <c r="F151" i="1"/>
  <c r="F150" i="1"/>
  <c r="F149" i="1"/>
  <c r="F148" i="1"/>
  <c r="F147" i="1"/>
  <c r="F146" i="1"/>
  <c r="F145" i="1"/>
  <c r="F144" i="1"/>
  <c r="F143" i="1"/>
  <c r="F142" i="1"/>
  <c r="F141" i="1"/>
  <c r="F140" i="1"/>
  <c r="F139" i="1"/>
  <c r="F138" i="1"/>
  <c r="F137" i="1"/>
  <c r="F136" i="1"/>
  <c r="F135" i="1"/>
  <c r="F134" i="1"/>
  <c r="E244" i="1"/>
  <c r="E243" i="1"/>
  <c r="E242" i="1"/>
  <c r="E241" i="1"/>
  <c r="E240" i="1"/>
  <c r="E239" i="1"/>
  <c r="E238" i="1"/>
  <c r="E237" i="1"/>
  <c r="E236" i="1"/>
  <c r="E235" i="1"/>
  <c r="E234" i="1"/>
  <c r="E233" i="1"/>
  <c r="E232" i="1"/>
  <c r="E231" i="1"/>
  <c r="E230" i="1"/>
  <c r="E229" i="1"/>
  <c r="E228" i="1"/>
  <c r="E227" i="1"/>
  <c r="E226" i="1"/>
  <c r="E225" i="1"/>
  <c r="E224" i="1"/>
  <c r="E223" i="1"/>
  <c r="E222" i="1"/>
  <c r="E221" i="1"/>
  <c r="E220" i="1"/>
  <c r="E219" i="1"/>
  <c r="E218" i="1"/>
  <c r="E217" i="1"/>
  <c r="E216" i="1"/>
  <c r="E215" i="1"/>
  <c r="E214" i="1"/>
  <c r="E213" i="1"/>
  <c r="E212" i="1"/>
  <c r="E211" i="1"/>
  <c r="E210" i="1"/>
  <c r="E209" i="1"/>
  <c r="E208" i="1"/>
  <c r="E207" i="1"/>
  <c r="E206" i="1"/>
  <c r="E205" i="1"/>
  <c r="E204" i="1"/>
  <c r="E203" i="1"/>
  <c r="E202" i="1"/>
  <c r="E201" i="1"/>
  <c r="E200" i="1"/>
  <c r="E199" i="1"/>
  <c r="E198" i="1"/>
  <c r="E197" i="1"/>
  <c r="E196" i="1"/>
  <c r="E195" i="1"/>
  <c r="E194" i="1"/>
  <c r="E193" i="1"/>
  <c r="E192" i="1"/>
  <c r="E191" i="1"/>
  <c r="E190" i="1"/>
  <c r="E189" i="1"/>
  <c r="E188" i="1"/>
  <c r="E187" i="1"/>
  <c r="E186" i="1"/>
  <c r="E185" i="1"/>
  <c r="E184" i="1"/>
  <c r="E183" i="1"/>
  <c r="E182" i="1"/>
  <c r="E181" i="1"/>
  <c r="E180" i="1"/>
  <c r="E179" i="1"/>
  <c r="E178" i="1"/>
  <c r="E177" i="1"/>
  <c r="E176" i="1"/>
  <c r="E175" i="1"/>
  <c r="E174" i="1"/>
  <c r="E173" i="1"/>
  <c r="E171" i="1"/>
  <c r="E170" i="1"/>
  <c r="E169" i="1"/>
  <c r="E168" i="1"/>
  <c r="E167" i="1"/>
  <c r="E166" i="1"/>
  <c r="E165" i="1"/>
  <c r="E164" i="1"/>
  <c r="E163" i="1"/>
  <c r="E162" i="1"/>
  <c r="E161" i="1"/>
  <c r="E160" i="1"/>
  <c r="E159" i="1"/>
  <c r="E158" i="1"/>
  <c r="E157" i="1"/>
  <c r="E156" i="1"/>
  <c r="E155" i="1"/>
  <c r="E154" i="1"/>
  <c r="E153" i="1"/>
  <c r="E152" i="1"/>
  <c r="E151" i="1"/>
  <c r="E150" i="1"/>
  <c r="E149" i="1"/>
  <c r="E148" i="1"/>
  <c r="E147" i="1"/>
  <c r="E146" i="1"/>
  <c r="E145" i="1"/>
  <c r="E144" i="1"/>
  <c r="E143" i="1"/>
  <c r="E142" i="1"/>
  <c r="E141" i="1"/>
  <c r="E140" i="1"/>
  <c r="E139" i="1"/>
  <c r="E138" i="1"/>
  <c r="E137" i="1"/>
  <c r="E136" i="1"/>
  <c r="E135" i="1"/>
  <c r="E134" i="1"/>
  <c r="Y46" i="4"/>
  <c r="Y45" i="4"/>
  <c r="D25" i="20"/>
  <c r="Y40" i="4"/>
  <c r="Y39" i="4"/>
  <c r="Y38" i="4"/>
  <c r="Y37" i="4"/>
  <c r="Y36" i="4"/>
  <c r="Y35" i="4"/>
  <c r="Y34" i="4"/>
  <c r="Y33" i="4"/>
  <c r="Y32" i="4"/>
  <c r="Y31" i="4"/>
  <c r="Y30" i="4"/>
  <c r="Y29" i="4"/>
  <c r="Y28" i="4"/>
  <c r="X46" i="4"/>
  <c r="X45" i="4"/>
  <c r="D24" i="20"/>
  <c r="X40" i="4"/>
  <c r="X39" i="4"/>
  <c r="X38" i="4"/>
  <c r="X37" i="4"/>
  <c r="X36" i="4"/>
  <c r="X35" i="4"/>
  <c r="X34" i="4"/>
  <c r="X33" i="4"/>
  <c r="X32" i="4"/>
  <c r="X31" i="4"/>
  <c r="X30" i="4"/>
  <c r="X29" i="4"/>
  <c r="X28" i="4"/>
  <c r="W46" i="4"/>
  <c r="W45" i="4"/>
  <c r="D23" i="20"/>
  <c r="W40" i="4"/>
  <c r="W39" i="4"/>
  <c r="W38" i="4"/>
  <c r="W37" i="4"/>
  <c r="W36" i="4"/>
  <c r="W35" i="4"/>
  <c r="W34" i="4"/>
  <c r="W33" i="4"/>
  <c r="W32" i="4"/>
  <c r="W31" i="4"/>
  <c r="W30" i="4"/>
  <c r="W29" i="4"/>
  <c r="W28" i="4"/>
  <c r="V46" i="4"/>
  <c r="V45" i="4"/>
  <c r="D22" i="20"/>
  <c r="V40" i="4"/>
  <c r="V39" i="4"/>
  <c r="V38" i="4"/>
  <c r="V37" i="4"/>
  <c r="V36" i="4"/>
  <c r="V35" i="4"/>
  <c r="V34" i="4"/>
  <c r="V33" i="4"/>
  <c r="V32" i="4"/>
  <c r="V31" i="4"/>
  <c r="V30" i="4"/>
  <c r="V29" i="4"/>
  <c r="V28" i="4"/>
  <c r="U46" i="4"/>
  <c r="U45" i="4"/>
  <c r="D21" i="20"/>
  <c r="U40" i="4"/>
  <c r="U39" i="4"/>
  <c r="U38" i="4"/>
  <c r="U37" i="4"/>
  <c r="U36" i="4"/>
  <c r="U35" i="4"/>
  <c r="U34" i="4"/>
  <c r="U33" i="4"/>
  <c r="U32" i="4"/>
  <c r="U31" i="4"/>
  <c r="U30" i="4"/>
  <c r="U29" i="4"/>
  <c r="U28" i="4"/>
  <c r="T46" i="4"/>
  <c r="T45" i="4"/>
  <c r="D20" i="20"/>
  <c r="T40" i="4"/>
  <c r="T39" i="4"/>
  <c r="T38" i="4"/>
  <c r="T37" i="4"/>
  <c r="T36" i="4"/>
  <c r="T35" i="4"/>
  <c r="T34" i="4"/>
  <c r="T33" i="4"/>
  <c r="T32" i="4"/>
  <c r="T31" i="4"/>
  <c r="T30" i="4"/>
  <c r="T29" i="4"/>
  <c r="T28" i="4"/>
  <c r="S40" i="4"/>
  <c r="S39" i="4"/>
  <c r="S38" i="4"/>
  <c r="S37" i="4"/>
  <c r="S36" i="4"/>
  <c r="S35" i="4"/>
  <c r="S33" i="4"/>
  <c r="S32" i="4"/>
  <c r="S31" i="4"/>
  <c r="S30" i="4"/>
  <c r="S29" i="4"/>
  <c r="S28" i="4"/>
  <c r="R40" i="4"/>
  <c r="R39" i="4"/>
  <c r="R38" i="4"/>
  <c r="R37" i="4"/>
  <c r="R36" i="4"/>
  <c r="R35" i="4"/>
  <c r="R33" i="4"/>
  <c r="R32" i="4"/>
  <c r="R31" i="4"/>
  <c r="R30" i="4"/>
  <c r="R29" i="4"/>
  <c r="R28" i="4"/>
  <c r="Q40" i="4"/>
  <c r="Q39" i="4"/>
  <c r="Q38" i="4"/>
  <c r="Q37" i="4"/>
  <c r="Q36" i="4"/>
  <c r="Q35" i="4"/>
  <c r="Q34" i="4"/>
  <c r="Q32" i="4"/>
  <c r="Q31" i="4"/>
  <c r="Q30" i="4"/>
  <c r="Q29" i="4"/>
  <c r="Q28" i="4"/>
  <c r="P40" i="4"/>
  <c r="P39" i="4"/>
  <c r="P38" i="4"/>
  <c r="P37" i="4"/>
  <c r="P36" i="4"/>
  <c r="P35" i="4"/>
  <c r="P34" i="4"/>
  <c r="P32" i="4"/>
  <c r="P31" i="4"/>
  <c r="P30" i="4"/>
  <c r="P29" i="4"/>
  <c r="P28" i="4"/>
  <c r="O40" i="4"/>
  <c r="O39" i="4"/>
  <c r="O38" i="4"/>
  <c r="O37" i="4"/>
  <c r="O36" i="4"/>
  <c r="O35" i="4"/>
  <c r="O34" i="4"/>
  <c r="O32" i="4"/>
  <c r="O31" i="4"/>
  <c r="O30" i="4"/>
  <c r="O29" i="4"/>
  <c r="O28" i="4"/>
  <c r="N40" i="4"/>
  <c r="N39" i="4"/>
  <c r="N38" i="4"/>
  <c r="N37" i="4"/>
  <c r="N36" i="4"/>
  <c r="N35" i="4"/>
  <c r="N34" i="4"/>
  <c r="N32" i="4"/>
  <c r="N31" i="4"/>
  <c r="N30" i="4"/>
  <c r="N29" i="4"/>
  <c r="N28" i="4"/>
  <c r="M40" i="4"/>
  <c r="M39" i="4"/>
  <c r="M38" i="4"/>
  <c r="M37" i="4"/>
  <c r="M36" i="4"/>
  <c r="M35" i="4"/>
  <c r="M34" i="4"/>
  <c r="M33" i="4"/>
  <c r="M31" i="4"/>
  <c r="M30" i="4"/>
  <c r="M29" i="4"/>
  <c r="M28" i="4"/>
  <c r="L40" i="4"/>
  <c r="L39" i="4"/>
  <c r="L38" i="4"/>
  <c r="L37" i="4"/>
  <c r="L36" i="4"/>
  <c r="L35" i="4"/>
  <c r="L34" i="4"/>
  <c r="L33" i="4"/>
  <c r="L31" i="4"/>
  <c r="L30" i="4"/>
  <c r="L29" i="4"/>
  <c r="L28" i="4"/>
  <c r="K40" i="4"/>
  <c r="K39" i="4"/>
  <c r="K38" i="4"/>
  <c r="K37" i="4"/>
  <c r="K36" i="4"/>
  <c r="K35" i="4"/>
  <c r="K34" i="4"/>
  <c r="K33" i="4"/>
  <c r="K31" i="4"/>
  <c r="K30" i="4"/>
  <c r="K29" i="4"/>
  <c r="K28" i="4"/>
  <c r="J46" i="4"/>
  <c r="J45" i="4"/>
  <c r="D10" i="20"/>
  <c r="J40" i="4"/>
  <c r="J39" i="4"/>
  <c r="J38" i="4"/>
  <c r="J37" i="4"/>
  <c r="J36" i="4"/>
  <c r="J35" i="4"/>
  <c r="J34" i="4"/>
  <c r="J33" i="4"/>
  <c r="J32" i="4"/>
  <c r="J31" i="4"/>
  <c r="J30" i="4"/>
  <c r="J29" i="4"/>
  <c r="J28" i="4"/>
  <c r="I40" i="4"/>
  <c r="I39" i="4"/>
  <c r="I38" i="4"/>
  <c r="I37" i="4"/>
  <c r="I36" i="4"/>
  <c r="I35" i="4"/>
  <c r="I34" i="4"/>
  <c r="I33" i="4"/>
  <c r="I32" i="4"/>
  <c r="I31" i="4"/>
  <c r="I29" i="4"/>
  <c r="I28" i="4"/>
  <c r="H40" i="4"/>
  <c r="H39" i="4"/>
  <c r="H38" i="4"/>
  <c r="H37" i="4"/>
  <c r="H36" i="4"/>
  <c r="H35" i="4"/>
  <c r="H34" i="4"/>
  <c r="H33" i="4"/>
  <c r="H32" i="4"/>
  <c r="H31" i="4"/>
  <c r="H29" i="4"/>
  <c r="H28" i="4"/>
  <c r="G40" i="4"/>
  <c r="G39" i="4"/>
  <c r="G38" i="4"/>
  <c r="G37" i="4"/>
  <c r="G36" i="4"/>
  <c r="G35" i="4"/>
  <c r="G34" i="4"/>
  <c r="G33" i="4"/>
  <c r="G32" i="4"/>
  <c r="G31" i="4"/>
  <c r="G30" i="4"/>
  <c r="G28" i="4"/>
  <c r="F40" i="4"/>
  <c r="F39" i="4"/>
  <c r="F38" i="4"/>
  <c r="F37" i="4"/>
  <c r="F36" i="4"/>
  <c r="F35" i="4"/>
  <c r="F34" i="4"/>
  <c r="F33" i="4"/>
  <c r="F32" i="4"/>
  <c r="F31" i="4"/>
  <c r="F30" i="4"/>
  <c r="F28" i="4"/>
  <c r="E40" i="4"/>
  <c r="E39" i="4"/>
  <c r="E38" i="4"/>
  <c r="E37" i="4"/>
  <c r="E36" i="4"/>
  <c r="E35" i="4"/>
  <c r="E34" i="4"/>
  <c r="E33" i="4"/>
  <c r="E32" i="4"/>
  <c r="E31" i="4"/>
  <c r="E30" i="4"/>
  <c r="E29" i="4"/>
  <c r="D46" i="4"/>
  <c r="D45" i="4"/>
  <c r="D4" i="20"/>
  <c r="D40" i="4"/>
  <c r="D39" i="4"/>
  <c r="D38" i="4"/>
  <c r="D37" i="4"/>
  <c r="D36" i="4"/>
  <c r="D35" i="4"/>
  <c r="D34" i="4"/>
  <c r="D33" i="4"/>
  <c r="D32" i="4"/>
  <c r="D31" i="4"/>
  <c r="D30" i="4"/>
  <c r="D29" i="4"/>
  <c r="D28" i="4"/>
  <c r="Z46" i="4"/>
  <c r="Z45" i="4"/>
  <c r="CO224" i="1"/>
  <c r="CO215" i="1"/>
  <c r="CO199" i="1"/>
  <c r="CO189" i="1"/>
  <c r="CO185" i="1"/>
  <c r="CO179" i="1"/>
  <c r="CO177" i="1"/>
  <c r="CO148" i="1"/>
  <c r="AU154" i="1"/>
  <c r="P156" i="1"/>
  <c r="AR154" i="1"/>
  <c r="Q166" i="1"/>
  <c r="E561" i="5" l="1"/>
  <c r="E562" i="5"/>
  <c r="E560" i="5"/>
  <c r="E568" i="5"/>
  <c r="E580" i="5" s="1"/>
  <c r="E567" i="5"/>
  <c r="E546" i="5"/>
  <c r="E566" i="5"/>
  <c r="E564" i="5"/>
  <c r="E565" i="5"/>
  <c r="E563" i="5"/>
  <c r="E547" i="5"/>
  <c r="E545" i="5"/>
  <c r="E554" i="5" s="1"/>
  <c r="CO205" i="1"/>
  <c r="CO220" i="1"/>
  <c r="CO213" i="1"/>
  <c r="E66" i="5"/>
  <c r="E67" i="5" s="1"/>
  <c r="E65" i="5"/>
  <c r="CO187" i="1"/>
  <c r="CO147" i="1"/>
  <c r="CO188" i="1"/>
  <c r="CO151" i="1"/>
  <c r="CO152" i="1"/>
  <c r="CO153" i="1"/>
  <c r="CO150" i="1"/>
  <c r="CO145" i="1"/>
  <c r="CO149" i="1"/>
  <c r="CO140" i="1"/>
  <c r="CO141" i="1"/>
  <c r="CO136" i="1"/>
  <c r="CO142" i="1"/>
  <c r="CO200" i="1"/>
  <c r="CO143" i="1"/>
  <c r="CO144" i="1"/>
  <c r="CO198" i="1"/>
  <c r="CO206" i="1"/>
  <c r="CO217" i="1"/>
  <c r="CO139" i="1"/>
  <c r="CO134" i="1"/>
  <c r="CO135" i="1"/>
  <c r="CO146" i="1"/>
  <c r="CO137" i="1"/>
  <c r="CO138" i="1"/>
  <c r="CO182" i="1"/>
  <c r="CO180" i="1"/>
  <c r="CO176" i="1"/>
  <c r="E79" i="5"/>
  <c r="E77" i="5"/>
  <c r="CO164" i="1" s="1"/>
  <c r="AU173" i="1"/>
  <c r="CX173" i="1" s="1"/>
  <c r="CO172" i="1"/>
  <c r="CO158" i="1"/>
  <c r="CO169" i="1"/>
  <c r="CO162" i="1"/>
  <c r="AG155" i="1"/>
  <c r="E172" i="1"/>
  <c r="P167" i="1"/>
  <c r="AU156" i="1"/>
  <c r="AU172" i="1"/>
  <c r="CQ173" i="1"/>
  <c r="CY173" i="1"/>
  <c r="Q154" i="1"/>
  <c r="AE156" i="1"/>
  <c r="AU166" i="1"/>
  <c r="CX166" i="1" s="1"/>
  <c r="DA173" i="1"/>
  <c r="AE155" i="1"/>
  <c r="AF156" i="1"/>
  <c r="CR173" i="1"/>
  <c r="CZ173" i="1"/>
  <c r="CO168" i="1"/>
  <c r="P154" i="1"/>
  <c r="Q155" i="1"/>
  <c r="AU167" i="1"/>
  <c r="CT173" i="1"/>
  <c r="P155" i="1"/>
  <c r="Q156" i="1"/>
  <c r="CU173" i="1"/>
  <c r="CV173" i="1"/>
  <c r="P165" i="1"/>
  <c r="CW173" i="1"/>
  <c r="E44" i="5"/>
  <c r="CV216" i="1"/>
  <c r="E10" i="5"/>
  <c r="E19" i="5"/>
  <c r="E21" i="5"/>
  <c r="CR216" i="1"/>
  <c r="CZ216" i="1"/>
  <c r="CS216" i="1"/>
  <c r="DA216" i="1"/>
  <c r="CT216" i="1"/>
  <c r="CU216" i="1"/>
  <c r="CW216" i="1"/>
  <c r="CX216" i="1"/>
  <c r="CQ216" i="1"/>
  <c r="CW190" i="1"/>
  <c r="CO186" i="1"/>
  <c r="CX190" i="1"/>
  <c r="CR190" i="1"/>
  <c r="CZ190" i="1"/>
  <c r="CS190" i="1"/>
  <c r="DA190" i="1"/>
  <c r="CT190" i="1"/>
  <c r="CU190" i="1"/>
  <c r="CO204" i="1"/>
  <c r="W207" i="1"/>
  <c r="X208" i="1"/>
  <c r="AU207" i="1"/>
  <c r="CR207" i="1" s="1"/>
  <c r="CV207" i="1"/>
  <c r="V207" i="1"/>
  <c r="W208" i="1"/>
  <c r="AD207" i="1"/>
  <c r="AL207" i="1"/>
  <c r="AU208" i="1"/>
  <c r="CO207" i="1"/>
  <c r="CW207" i="1"/>
  <c r="U207" i="1"/>
  <c r="V208" i="1"/>
  <c r="AC207" i="1"/>
  <c r="AD208" i="1"/>
  <c r="AL208" i="1"/>
  <c r="CO208" i="1"/>
  <c r="CX207" i="1"/>
  <c r="CQ207" i="1"/>
  <c r="T208" i="1"/>
  <c r="AA207" i="1"/>
  <c r="CS207" i="1"/>
  <c r="E575" i="5" l="1"/>
  <c r="E578" i="5"/>
  <c r="E594" i="5" s="1"/>
  <c r="E579" i="5"/>
  <c r="E595" i="5" s="1"/>
  <c r="E572" i="5"/>
  <c r="E573" i="5"/>
  <c r="E556" i="5"/>
  <c r="E555" i="5"/>
  <c r="E553" i="5"/>
  <c r="E550" i="5" s="1"/>
  <c r="E552" i="5"/>
  <c r="E549" i="5" s="1"/>
  <c r="E551" i="5"/>
  <c r="E548" i="5" s="1"/>
  <c r="G29" i="4"/>
  <c r="D7" i="20" s="1"/>
  <c r="F29" i="4"/>
  <c r="D6" i="20" s="1"/>
  <c r="CO171" i="1"/>
  <c r="CO170" i="1"/>
  <c r="CS173" i="1"/>
  <c r="DA156" i="1"/>
  <c r="CO159" i="1"/>
  <c r="CO173" i="1"/>
  <c r="CW156" i="1"/>
  <c r="CO160" i="1"/>
  <c r="CO161" i="1"/>
  <c r="DA166" i="1"/>
  <c r="CZ167" i="1"/>
  <c r="CR167" i="1"/>
  <c r="CY167" i="1"/>
  <c r="CQ167" i="1"/>
  <c r="CX167" i="1"/>
  <c r="CW167" i="1"/>
  <c r="CV167" i="1"/>
  <c r="CT167" i="1"/>
  <c r="CU167" i="1"/>
  <c r="DA167" i="1"/>
  <c r="CS167" i="1"/>
  <c r="CS166" i="1"/>
  <c r="CW166" i="1"/>
  <c r="DA172" i="1"/>
  <c r="CS172" i="1"/>
  <c r="CZ172" i="1"/>
  <c r="CR172" i="1"/>
  <c r="CY172" i="1"/>
  <c r="CQ172" i="1"/>
  <c r="CX172" i="1"/>
  <c r="CW172" i="1"/>
  <c r="CU172" i="1"/>
  <c r="CV172" i="1"/>
  <c r="CT172" i="1"/>
  <c r="CQ156" i="1"/>
  <c r="CV155" i="1"/>
  <c r="CU155" i="1"/>
  <c r="CT155" i="1"/>
  <c r="DA155" i="1"/>
  <c r="CS155" i="1"/>
  <c r="CZ155" i="1"/>
  <c r="CR155" i="1"/>
  <c r="CX155" i="1"/>
  <c r="CY155" i="1"/>
  <c r="CQ155" i="1"/>
  <c r="CW155" i="1"/>
  <c r="CX156" i="1"/>
  <c r="CY166" i="1"/>
  <c r="CQ166" i="1"/>
  <c r="CO157" i="1"/>
  <c r="CY156" i="1"/>
  <c r="CR156" i="1"/>
  <c r="CZ166" i="1"/>
  <c r="CT156" i="1"/>
  <c r="CZ156" i="1"/>
  <c r="CT166" i="1"/>
  <c r="CX165" i="1"/>
  <c r="CW165" i="1"/>
  <c r="CV165" i="1"/>
  <c r="CU165" i="1"/>
  <c r="CT165" i="1"/>
  <c r="CZ165" i="1"/>
  <c r="CR165" i="1"/>
  <c r="DA165" i="1"/>
  <c r="CS165" i="1"/>
  <c r="CY165" i="1"/>
  <c r="CQ165" i="1"/>
  <c r="CR166" i="1"/>
  <c r="CQ154" i="1"/>
  <c r="CX154" i="1"/>
  <c r="CW154" i="1"/>
  <c r="CV154" i="1"/>
  <c r="CU154" i="1"/>
  <c r="DA154" i="1"/>
  <c r="CS154" i="1"/>
  <c r="CT154" i="1"/>
  <c r="CZ154" i="1"/>
  <c r="CR154" i="1"/>
  <c r="CY154" i="1"/>
  <c r="CV166" i="1"/>
  <c r="CU166" i="1"/>
  <c r="CO163" i="1"/>
  <c r="CV156" i="1"/>
  <c r="CS156" i="1"/>
  <c r="CO155" i="1"/>
  <c r="CO154" i="1"/>
  <c r="CO167" i="1"/>
  <c r="CO165" i="1"/>
  <c r="CO166" i="1"/>
  <c r="CO156" i="1"/>
  <c r="CU156" i="1"/>
  <c r="E11" i="5"/>
  <c r="E58" i="5"/>
  <c r="E55" i="5"/>
  <c r="CO194" i="1"/>
  <c r="E23" i="5"/>
  <c r="E24" i="5" s="1"/>
  <c r="CZ207" i="1"/>
  <c r="CX208" i="1"/>
  <c r="CW208" i="1"/>
  <c r="CV208" i="1"/>
  <c r="CU208" i="1"/>
  <c r="CY208" i="1"/>
  <c r="CQ208" i="1"/>
  <c r="CT208" i="1"/>
  <c r="DA208" i="1"/>
  <c r="CS208" i="1"/>
  <c r="CZ208" i="1"/>
  <c r="CR208" i="1"/>
  <c r="CY207" i="1"/>
  <c r="CT207" i="1"/>
  <c r="CO195" i="1"/>
  <c r="CU207" i="1"/>
  <c r="CO232" i="1"/>
  <c r="CO231" i="1"/>
  <c r="CO230" i="1"/>
  <c r="DA207" i="1"/>
  <c r="E577" i="5" l="1"/>
  <c r="E731" i="5"/>
  <c r="E729" i="5"/>
  <c r="CO237" i="1" s="1"/>
  <c r="E586" i="5"/>
  <c r="E576" i="5"/>
  <c r="E587" i="5"/>
  <c r="E588" i="5"/>
  <c r="E584" i="5"/>
  <c r="E574" i="5"/>
  <c r="M32" i="4" s="1"/>
  <c r="D13" i="20" s="1"/>
  <c r="E585" i="5"/>
  <c r="E350" i="5"/>
  <c r="F46" i="4"/>
  <c r="F45" i="4"/>
  <c r="E354" i="5"/>
  <c r="CO184" i="1" s="1"/>
  <c r="E142" i="5" s="1"/>
  <c r="G46" i="4"/>
  <c r="G45" i="4"/>
  <c r="K32" i="4"/>
  <c r="D11" i="20" s="1"/>
  <c r="E28" i="4"/>
  <c r="D5" i="20" s="1"/>
  <c r="E131" i="5"/>
  <c r="E133" i="5"/>
  <c r="E139" i="5"/>
  <c r="CO243" i="1"/>
  <c r="E730" i="5" l="1"/>
  <c r="E728" i="5"/>
  <c r="E592" i="5"/>
  <c r="E593" i="5"/>
  <c r="L32" i="4"/>
  <c r="D12" i="20" s="1"/>
  <c r="E349" i="5" s="1"/>
  <c r="P33" i="4"/>
  <c r="D16" i="20" s="1"/>
  <c r="P46" i="4" s="1"/>
  <c r="I30" i="4"/>
  <c r="D9" i="20" s="1"/>
  <c r="H30" i="4"/>
  <c r="D8" i="20" s="1"/>
  <c r="M45" i="4"/>
  <c r="E119" i="5"/>
  <c r="E122" i="5" s="1"/>
  <c r="CO225" i="1" s="1"/>
  <c r="M46" i="4"/>
  <c r="R34" i="4"/>
  <c r="D18" i="20" s="1"/>
  <c r="S34" i="4"/>
  <c r="D19" i="20" s="1"/>
  <c r="Q33" i="4"/>
  <c r="D17" i="20" s="1"/>
  <c r="O33" i="4"/>
  <c r="D15" i="20" s="1"/>
  <c r="N33" i="4"/>
  <c r="D14" i="20" s="1"/>
  <c r="K46" i="4"/>
  <c r="K45" i="4"/>
  <c r="E45" i="4"/>
  <c r="E46" i="4"/>
  <c r="E143" i="5"/>
  <c r="E88" i="5" s="1"/>
  <c r="E89" i="5" s="1"/>
  <c r="E90" i="5" s="1"/>
  <c r="E99" i="5" s="1"/>
  <c r="CO216" i="1" s="1"/>
  <c r="E141" i="5" s="1"/>
  <c r="CO191" i="1"/>
  <c r="CO190" i="1"/>
  <c r="E235" i="5"/>
  <c r="E204" i="5"/>
  <c r="E347" i="5"/>
  <c r="E345" i="5"/>
  <c r="E596" i="5" l="1"/>
  <c r="L46" i="4"/>
  <c r="L45" i="4"/>
  <c r="E351" i="5"/>
  <c r="E352" i="5"/>
  <c r="E115" i="5"/>
  <c r="E118" i="5" s="1"/>
  <c r="CO227" i="1" s="1"/>
  <c r="P45" i="4"/>
  <c r="O46" i="4"/>
  <c r="O45" i="4"/>
  <c r="S45" i="4"/>
  <c r="S46" i="4"/>
  <c r="E348" i="5"/>
  <c r="CO175" i="1" s="1"/>
  <c r="H46" i="4"/>
  <c r="H45" i="4"/>
  <c r="E353" i="5"/>
  <c r="N45" i="4"/>
  <c r="N46" i="4"/>
  <c r="Q46" i="4"/>
  <c r="E111" i="5"/>
  <c r="E114" i="5" s="1"/>
  <c r="CO226" i="1" s="1"/>
  <c r="E107" i="5"/>
  <c r="E110" i="5" s="1"/>
  <c r="CO228" i="1" s="1"/>
  <c r="Q45" i="4"/>
  <c r="E123" i="5"/>
  <c r="E126" i="5" s="1"/>
  <c r="CO229" i="1" s="1"/>
  <c r="R45" i="4"/>
  <c r="R46" i="4"/>
  <c r="I46" i="4"/>
  <c r="I45" i="4"/>
  <c r="CO174" i="1"/>
  <c r="CO239" i="1"/>
  <c r="CO233" i="1"/>
  <c r="E56" i="5"/>
  <c r="CO178" i="1"/>
  <c r="E656" i="5"/>
  <c r="E653" i="5"/>
  <c r="E651" i="5"/>
  <c r="E125" i="5"/>
  <c r="E121" i="5"/>
  <c r="E117" i="5"/>
  <c r="E113" i="5"/>
  <c r="E109" i="5"/>
  <c r="CO181" i="1" l="1"/>
  <c r="E136" i="5" s="1"/>
  <c r="Z21" i="4"/>
  <c r="E643" i="5" s="1"/>
  <c r="Z20" i="4"/>
  <c r="E642" i="5" s="1"/>
  <c r="E140" i="5"/>
  <c r="E134" i="5"/>
  <c r="E138" i="5"/>
  <c r="E132" i="5"/>
  <c r="E130" i="5" s="1"/>
  <c r="E135" i="5"/>
  <c r="E665" i="5"/>
  <c r="E666" i="5"/>
  <c r="E664" i="5"/>
  <c r="E671" i="5"/>
  <c r="E667" i="5"/>
  <c r="E655" i="5"/>
  <c r="E669" i="5"/>
  <c r="E137" i="5" l="1"/>
  <c r="E654" i="5"/>
  <c r="E683" i="5"/>
  <c r="E679" i="5" l="1"/>
  <c r="E678" i="5" l="1"/>
  <c r="E676" i="5"/>
  <c r="E681" i="5"/>
  <c r="E688" i="5"/>
  <c r="E677" i="5"/>
  <c r="E689" i="5"/>
  <c r="E339" i="5"/>
  <c r="E337" i="5"/>
  <c r="E722" i="5" l="1"/>
  <c r="D441" i="9"/>
  <c r="N429" i="9" l="1"/>
  <c r="N428" i="9"/>
  <c r="M428" i="9"/>
  <c r="M430" i="9" s="1"/>
  <c r="N427" i="9"/>
  <c r="M427" i="9"/>
  <c r="N426" i="9"/>
  <c r="M426" i="9"/>
  <c r="N425" i="9"/>
  <c r="M425" i="9"/>
  <c r="E267" i="5"/>
  <c r="L449" i="35"/>
  <c r="L448" i="35"/>
  <c r="L447" i="35"/>
  <c r="L446" i="35"/>
  <c r="L442" i="35"/>
  <c r="L441" i="35"/>
  <c r="L440" i="35"/>
  <c r="L439" i="35"/>
  <c r="L438" i="35"/>
  <c r="L437" i="35"/>
  <c r="L436" i="35"/>
  <c r="L435" i="35"/>
  <c r="L434" i="35"/>
  <c r="D396" i="35"/>
  <c r="D395" i="35" s="1"/>
  <c r="D393" i="35"/>
  <c r="D392" i="35"/>
  <c r="D339" i="35"/>
  <c r="D338" i="35"/>
  <c r="D337" i="35"/>
  <c r="D336" i="35"/>
  <c r="D335" i="35"/>
  <c r="D334" i="35"/>
  <c r="D333" i="35"/>
  <c r="D332" i="35"/>
  <c r="D331" i="35"/>
  <c r="D330" i="35"/>
  <c r="D329" i="35"/>
  <c r="D328" i="35"/>
  <c r="D327" i="35"/>
  <c r="D326" i="35"/>
  <c r="D325" i="35"/>
  <c r="D324" i="35"/>
  <c r="D320" i="35"/>
  <c r="D318" i="35"/>
  <c r="D316" i="35"/>
  <c r="D315" i="35"/>
  <c r="D313" i="35"/>
  <c r="D309" i="35"/>
  <c r="D308" i="35"/>
  <c r="D307" i="35"/>
  <c r="D306" i="35"/>
  <c r="D305" i="35"/>
  <c r="D301" i="35"/>
  <c r="D300" i="35"/>
  <c r="D299" i="35"/>
  <c r="D298" i="35"/>
  <c r="D297" i="35"/>
  <c r="D296" i="35"/>
  <c r="D295" i="35"/>
  <c r="D294" i="35"/>
  <c r="D293" i="35"/>
  <c r="D289" i="35"/>
  <c r="D288" i="35"/>
  <c r="D286" i="35"/>
  <c r="D284" i="35"/>
  <c r="D283" i="35"/>
  <c r="D282" i="35"/>
  <c r="D281" i="35"/>
  <c r="D275" i="35"/>
  <c r="D236" i="35" s="1"/>
  <c r="D274" i="35"/>
  <c r="D273" i="35"/>
  <c r="D272" i="35"/>
  <c r="D271" i="35"/>
  <c r="D270" i="35"/>
  <c r="D269" i="35"/>
  <c r="D267" i="35"/>
  <c r="D268" i="35" s="1"/>
  <c r="D266" i="35"/>
  <c r="D265" i="35"/>
  <c r="D264" i="35"/>
  <c r="D263" i="35"/>
  <c r="D262" i="35"/>
  <c r="D261" i="35"/>
  <c r="D260" i="35"/>
  <c r="D259" i="35"/>
  <c r="D258" i="35"/>
  <c r="D257" i="35"/>
  <c r="D256" i="35"/>
  <c r="D255" i="35"/>
  <c r="D254" i="35"/>
  <c r="D253" i="35"/>
  <c r="D252" i="35"/>
  <c r="D251" i="35"/>
  <c r="D250" i="35"/>
  <c r="D249" i="35"/>
  <c r="D248" i="35"/>
  <c r="D247" i="35"/>
  <c r="D246" i="35"/>
  <c r="D245" i="35"/>
  <c r="D244" i="35"/>
  <c r="D243" i="35"/>
  <c r="D242" i="35"/>
  <c r="D241" i="35"/>
  <c r="D240" i="35"/>
  <c r="D208" i="35" s="1"/>
  <c r="D239" i="35"/>
  <c r="D238" i="35"/>
  <c r="D276" i="35" s="1"/>
  <c r="D237" i="35"/>
  <c r="D235" i="35"/>
  <c r="D234" i="35"/>
  <c r="D233" i="35"/>
  <c r="D232" i="35"/>
  <c r="D231" i="35"/>
  <c r="D230" i="35"/>
  <c r="D229" i="35"/>
  <c r="D228" i="35"/>
  <c r="D227" i="35"/>
  <c r="D226" i="35"/>
  <c r="D225" i="35"/>
  <c r="D224" i="35"/>
  <c r="D223" i="35"/>
  <c r="D222" i="35"/>
  <c r="D221" i="35"/>
  <c r="D220" i="35"/>
  <c r="D219" i="35"/>
  <c r="D218" i="35"/>
  <c r="D216" i="35"/>
  <c r="D215" i="35"/>
  <c r="D214" i="35"/>
  <c r="D213" i="35"/>
  <c r="D207" i="35"/>
  <c r="D206" i="35"/>
  <c r="D205" i="35"/>
  <c r="D204" i="35"/>
  <c r="D203" i="35"/>
  <c r="D202" i="35"/>
  <c r="D201" i="35"/>
  <c r="D200" i="35"/>
  <c r="D62" i="35"/>
  <c r="D42" i="35"/>
  <c r="K32" i="35"/>
  <c r="D32" i="35"/>
  <c r="K31" i="35"/>
  <c r="D31" i="35"/>
  <c r="D27" i="35"/>
  <c r="E606" i="5"/>
  <c r="E318" i="5"/>
  <c r="E324" i="5"/>
  <c r="E322" i="5"/>
  <c r="E608" i="5"/>
  <c r="E602" i="5"/>
  <c r="E601" i="5"/>
  <c r="E607" i="5"/>
  <c r="E211" i="5"/>
  <c r="E297" i="5"/>
  <c r="E295" i="5"/>
  <c r="E194" i="5"/>
  <c r="E224" i="5"/>
  <c r="E222" i="5"/>
  <c r="E220" i="5"/>
  <c r="E218" i="5"/>
  <c r="E216" i="5"/>
  <c r="E210" i="5"/>
  <c r="E278" i="5"/>
  <c r="E269" i="5"/>
  <c r="E231" i="5"/>
  <c r="E185" i="5"/>
  <c r="E629" i="5"/>
  <c r="E628" i="5"/>
  <c r="E638" i="5" s="1"/>
  <c r="E636" i="5"/>
  <c r="E635" i="5"/>
  <c r="E248" i="5"/>
  <c r="E343" i="5"/>
  <c r="E341" i="5"/>
  <c r="E335" i="5"/>
  <c r="E305" i="5"/>
  <c r="E303" i="5"/>
  <c r="E301" i="5"/>
  <c r="E299" i="5"/>
  <c r="E293" i="5"/>
  <c r="E291" i="5"/>
  <c r="E289" i="5"/>
  <c r="E287" i="5"/>
  <c r="E285" i="5"/>
  <c r="E280" i="5"/>
  <c r="E276" i="5"/>
  <c r="E271" i="5"/>
  <c r="E265" i="5"/>
  <c r="E263" i="5"/>
  <c r="E258" i="5"/>
  <c r="E256" i="5"/>
  <c r="E254" i="5"/>
  <c r="E252" i="5"/>
  <c r="E250" i="5"/>
  <c r="E246" i="5"/>
  <c r="E244" i="5"/>
  <c r="E242" i="5"/>
  <c r="E237" i="5"/>
  <c r="E233" i="5"/>
  <c r="E229" i="5"/>
  <c r="E208" i="5"/>
  <c r="E206" i="5"/>
  <c r="E202" i="5"/>
  <c r="E200" i="5"/>
  <c r="E198" i="5"/>
  <c r="E196" i="5"/>
  <c r="E189" i="5"/>
  <c r="E187" i="5"/>
  <c r="E182" i="5"/>
  <c r="E180" i="5"/>
  <c r="E175" i="5"/>
  <c r="E173" i="5"/>
  <c r="E171" i="5"/>
  <c r="E170" i="5"/>
  <c r="E167" i="5"/>
  <c r="E162" i="5"/>
  <c r="E160" i="5"/>
  <c r="E158" i="5"/>
  <c r="E157" i="5"/>
  <c r="E155" i="5"/>
  <c r="E153" i="5"/>
  <c r="E147" i="5"/>
  <c r="D354" i="9"/>
  <c r="D409" i="9"/>
  <c r="E668" i="5" l="1"/>
  <c r="E663" i="5"/>
  <c r="E670" i="5"/>
  <c r="E687" i="5"/>
  <c r="E690" i="5"/>
  <c r="E691" i="5"/>
  <c r="D212" i="35"/>
  <c r="D277" i="35"/>
  <c r="E630" i="5"/>
  <c r="E637" i="5"/>
  <c r="E631" i="5"/>
  <c r="E313" i="5"/>
  <c r="D217" i="35"/>
  <c r="N430" i="9"/>
  <c r="E682" i="5" l="1"/>
  <c r="E120" i="5"/>
  <c r="E675" i="5"/>
  <c r="E680" i="5"/>
  <c r="E723" i="5"/>
  <c r="E116" i="5" l="1"/>
  <c r="E108" i="5"/>
  <c r="E124" i="5"/>
  <c r="E112" i="5"/>
  <c r="E753" i="5"/>
  <c r="E752" i="5"/>
  <c r="E754" i="5"/>
  <c r="E720" i="5"/>
  <c r="E721" i="5"/>
  <c r="E756" i="5" l="1"/>
  <c r="E724" i="5"/>
  <c r="E644" i="5" l="1"/>
</calcChain>
</file>

<file path=xl/sharedStrings.xml><?xml version="1.0" encoding="utf-8"?>
<sst xmlns="http://schemas.openxmlformats.org/spreadsheetml/2006/main" count="11293" uniqueCount="5426">
  <si>
    <t>Symbol</t>
  </si>
  <si>
    <t>Name</t>
  </si>
  <si>
    <t>Unit</t>
  </si>
  <si>
    <t>Handling</t>
  </si>
  <si>
    <t xml:space="preserve">Equilibrium matrix </t>
  </si>
  <si>
    <t>Expression</t>
  </si>
  <si>
    <t>Elemental composition</t>
  </si>
  <si>
    <t>Chemical formula</t>
  </si>
  <si>
    <t>Charge</t>
  </si>
  <si>
    <t>Reaction</t>
  </si>
  <si>
    <t>The elemental composition matrix should have as many columns as the kinetic matrix (minus Rate and Reaction)</t>
  </si>
  <si>
    <t>pH</t>
  </si>
  <si>
    <t>Influent</t>
  </si>
  <si>
    <t>Initial concentration</t>
  </si>
  <si>
    <t>Phase</t>
  </si>
  <si>
    <t>IS</t>
  </si>
  <si>
    <t>(order is relevant)</t>
  </si>
  <si>
    <t>This button checks if the column names of the equilibrium matrix are the same as the names of the equilibrium species</t>
  </si>
  <si>
    <t>The macro expects the elemental composition matrix to be under the kinetic matrix somewhere started in column D</t>
  </si>
  <si>
    <t>The elemental composition matrix starts with the string 'Elemental composition' (not case-sensitive) in column D</t>
  </si>
  <si>
    <t>If every value is under the absolute limit (by default 1E-15) the matrix passed the check</t>
  </si>
  <si>
    <t>The equilibrium species should start in cell E3 and end in the first column that has an empty cell in the 3rd row</t>
  </si>
  <si>
    <t>The first row of the equilibrium matrix should be the 4th and the last should be the one before the first empty cell in column C after the 4th row</t>
  </si>
  <si>
    <r>
      <t>Cell names such as H3 are not allowed in the equilibrium matrix but parameters like NH</t>
    </r>
    <r>
      <rPr>
        <vertAlign val="subscript"/>
        <sz val="11"/>
        <color indexed="8"/>
        <rFont val="Calibri"/>
        <family val="2"/>
        <charset val="238"/>
      </rPr>
      <t>3</t>
    </r>
    <r>
      <rPr>
        <sz val="11"/>
        <color indexed="8"/>
        <rFont val="Calibri"/>
        <family val="2"/>
        <charset val="238"/>
      </rPr>
      <t xml:space="preserve"> can be used.</t>
    </r>
  </si>
  <si>
    <t>The macro creates a numerical copy of the equilibrium matrix and calculates ionic strength and charge balance.</t>
  </si>
  <si>
    <t>Everything under the datatable declared as free area and will be deleted</t>
  </si>
  <si>
    <t>a</t>
  </si>
  <si>
    <t>HOW TO USE MODEL SHEETS</t>
  </si>
  <si>
    <t>A</t>
  </si>
  <si>
    <t>Starting a new model: Kinetic setup</t>
  </si>
  <si>
    <t>Under State variables form heading</t>
  </si>
  <si>
    <t>Insert new rows for new State variables</t>
  </si>
  <si>
    <t>Name "Initial concentration" cells from symbols (use CTRL-M [Mark Name] shortcut)</t>
  </si>
  <si>
    <t>Press "Create Kinetic matrix"</t>
  </si>
  <si>
    <t>Insert new rows under state variable names for new rate expressions</t>
  </si>
  <si>
    <t>(3)</t>
  </si>
  <si>
    <t>Optional: Fill in reactions if model is fully elementally balanced</t>
  </si>
  <si>
    <t>Insert new rows under elemental composition for the balancing features desired (C, N, P,charge, etc)</t>
  </si>
  <si>
    <t>On the Parameters Tab</t>
  </si>
  <si>
    <t>Insert new rows for Kinetic and Stoichiometric parameters</t>
  </si>
  <si>
    <t>Fill in names, other information (values required)</t>
  </si>
  <si>
    <t>Name "Default" cells from symbols (use CTRL-M [Mark Name] shortcut)</t>
  </si>
  <si>
    <t>Fill in Elemental Composition matrix (preferentially using stoichiometric parameter names fom Parameter tab - alternatively values can be used)</t>
  </si>
  <si>
    <t>Check cells marked red for balancing errors if necessary</t>
  </si>
  <si>
    <t>Under Equilibrium species form heading</t>
  </si>
  <si>
    <t>Insert new rows for new Equlibrium species</t>
  </si>
  <si>
    <t>Fill in symbols (subscript, etc. formatting OK)</t>
  </si>
  <si>
    <t>Press "Prepare pH check"</t>
  </si>
  <si>
    <t>B</t>
  </si>
  <si>
    <t>Modifying an existing model: Kinetic setup</t>
  </si>
  <si>
    <t>Insert or delete rows for State variables as required</t>
  </si>
  <si>
    <t>Option 1:</t>
  </si>
  <si>
    <t>Press "Create Kinetic matrix". This will delete the existing kinetic matrix and prepare a new list of matrix headings</t>
  </si>
  <si>
    <t xml:space="preserve">Option 2: </t>
  </si>
  <si>
    <t>Press "Check States" Any discrepancy between the two lists will be reported</t>
  </si>
  <si>
    <t>Insert or delete rows under state variable names for rate expressions for the modifications</t>
  </si>
  <si>
    <t>Insert or delete rows under elemental composition for the balancing features desired (C, N, P,charge, etc)</t>
  </si>
  <si>
    <t>Insert or delete rows for Kinetic and Stoichiometric parameters</t>
  </si>
  <si>
    <t>Modifying an existing model: Equilibrium setup (skip with models without pH modelling)</t>
  </si>
  <si>
    <t>Insert or delete rows for Equlibrium species as required</t>
  </si>
  <si>
    <t>Press "Create Equilibrium matrix". This will delete the existing Equilibrium matrix and prepare a new list of matrix headings</t>
  </si>
  <si>
    <t>In the Equilibrium Matrix tab, insert or delete columns in the existing model matrix so that matrix columns match with Equilibrium species list in States Tab</t>
  </si>
  <si>
    <t>Press "Check Species" Any discrepancy between the two lists will be reported</t>
  </si>
  <si>
    <t>Insert or delete rows under equilibrium species names for dissociation/precipitation expressions as required</t>
  </si>
  <si>
    <t>BUILT IN MACRO FUNCTIONALITY</t>
  </si>
  <si>
    <t>CTRL-M</t>
  </si>
  <si>
    <t>Mark Name:</t>
  </si>
  <si>
    <t>In a selection box, assigns names to the rightmost column of cells from leftmost column of cell contents</t>
  </si>
  <si>
    <t>b</t>
  </si>
  <si>
    <t>c</t>
  </si>
  <si>
    <t>d</t>
  </si>
  <si>
    <t>Create Kinetic Matrix</t>
  </si>
  <si>
    <t>After a warning message, the existing kinetic matrix's columns will be deleted and new ones will be created from the state variables. Rate expressions and reactions are not affected</t>
  </si>
  <si>
    <t>The table headings cannot be changed</t>
  </si>
  <si>
    <t>The columns will be coloured - Integrated variables are blue, others are orange</t>
  </si>
  <si>
    <t>Check Kinetic Matrix</t>
  </si>
  <si>
    <t>This button checks if the names of the state variables are the same as the column names of the kinetic matrix</t>
  </si>
  <si>
    <t>Create Equilibrium Matrix</t>
  </si>
  <si>
    <t>After a warning message, the existing equilibrium matrix's columns will be deleted and new ones will be created from the equilibrium variables</t>
  </si>
  <si>
    <t>Check Equilibrium Matrix</t>
  </si>
  <si>
    <t>When the button is pressed, the macro counts the rows and columns of the kinetic matrix</t>
  </si>
  <si>
    <t>In the Kinetic matrix the states variables start in cell E3 and ends in the first column in the 3rd row that's first 4 character are 'Rate' or 'Reac'</t>
  </si>
  <si>
    <t>The first row of the kinetic matrix should be the 4th row and the last is the first empty cell in column C</t>
  </si>
  <si>
    <t>The elemental composition's last row is defined by the first empty cell in column C after the string 'Elemental Composition'</t>
  </si>
  <si>
    <t>Everything under the elemental composition matrix  will be deleted</t>
  </si>
  <si>
    <t>Prepare pH check</t>
  </si>
  <si>
    <t>This macro will prepare the necessary setup for the solver to determine the current pH and ionic strength</t>
  </si>
  <si>
    <t>When the button is pressed, the macro counts the rows and columns of the equilibrium matrix</t>
  </si>
  <si>
    <t>The macro expects the datatable under the matrix including pH, IS and CH as well as all the names used in the equilibrium matrix</t>
  </si>
  <si>
    <r>
      <t>This is to determine if e.g. NH3 is a cell or a parameter that is called NH3_ (Excel name of NH</t>
    </r>
    <r>
      <rPr>
        <vertAlign val="subscript"/>
        <sz val="11"/>
        <color indexed="8"/>
        <rFont val="Calibri"/>
        <family val="2"/>
        <charset val="238"/>
      </rPr>
      <t>3</t>
    </r>
    <r>
      <rPr>
        <sz val="11"/>
        <color indexed="8"/>
        <rFont val="Calibri"/>
        <family val="2"/>
      </rPr>
      <t>)</t>
    </r>
  </si>
  <si>
    <t>The totals are linked back to the datatable so you can use the solver extension to calculate current pH and IS</t>
  </si>
  <si>
    <t>activity coefficients</t>
  </si>
  <si>
    <t>ionic strength (IS)</t>
  </si>
  <si>
    <t>j</t>
  </si>
  <si>
    <t>Known problems and solutions</t>
  </si>
  <si>
    <t>Go to View -&gt; Macros -&gt; Show macros</t>
  </si>
  <si>
    <t>Click on MarkNames macro then on the button labeled 'Others'</t>
  </si>
  <si>
    <t>Here you can set the shortcut key</t>
  </si>
  <si>
    <r>
      <t xml:space="preserve">Ctrl-M doesn't work </t>
    </r>
    <r>
      <rPr>
        <sz val="11"/>
        <color indexed="8"/>
        <rFont val="Calibri"/>
        <family val="2"/>
        <charset val="238"/>
      </rPr>
      <t>(this usually happens when you open two documents and Excel rebinds Ctrl-M to something else)</t>
    </r>
  </si>
  <si>
    <t>Press "Check Continuity and Rates"</t>
  </si>
  <si>
    <t>The macro creates a numerical copy of the kinetic matrix under the compositon matrix, then it creates the balancing matrix to the right of the numerical copy</t>
  </si>
  <si>
    <t>Fill in symbols (subscripts, and other formatting can be used), and other fields, "Handling" and "Initial concentration" are required fields</t>
  </si>
  <si>
    <t>Fill in symbols for new States (subscripts, and other formatting can be used), and other fields, "Handling" and "Initial concentration" are required fields</t>
  </si>
  <si>
    <t>The columns will be recoloured (red means failed)</t>
  </si>
  <si>
    <t>Check Continuity and Rates</t>
  </si>
  <si>
    <t>This macro will prepare a continuity check on the kinetic matrix and will calculate numerical values for the rate expressions based on initial conditions</t>
  </si>
  <si>
    <t>The macro checks and calculates rate expressions too.</t>
  </si>
  <si>
    <t>EQSRBGJPMU</t>
  </si>
  <si>
    <t>EFVSNZETB</t>
  </si>
  <si>
    <t>Macros must be enabled to view and operate this Model Tool. See Security Warning Options... above.
If you just disabled macros, you need to close and reload this document.
Once you have enabled macros, select Continue.</t>
  </si>
  <si>
    <t>IEAZTPZI</t>
  </si>
  <si>
    <t>Symbols should look like this:</t>
  </si>
  <si>
    <t>If a type (and ':') is ommitted, the default type is double</t>
  </si>
  <si>
    <t>FJYCEHEZW</t>
  </si>
  <si>
    <t>functionname(arg1:type1; arg2:type2; …):type</t>
  </si>
  <si>
    <t>Code section</t>
  </si>
  <si>
    <t>Rule</t>
  </si>
  <si>
    <t>Principle/comment</t>
  </si>
  <si>
    <t>Codelocation(Algebraic blocksection #1)</t>
  </si>
  <si>
    <t>Press "Create Equilibrium matrix"</t>
  </si>
  <si>
    <t>UYCEVBLMNN</t>
  </si>
  <si>
    <t>On the Algebraic Model Tab</t>
  </si>
  <si>
    <t>Check Expressions</t>
  </si>
  <si>
    <t>This macro will calculate the value of algebraic expressions if it can.</t>
  </si>
  <si>
    <t>The macro warns if there are some typos in the expression</t>
  </si>
  <si>
    <t>Please note that names with spaces and names ending with zeros are not recommended.</t>
  </si>
  <si>
    <t>UMVMLPHFQV</t>
  </si>
  <si>
    <t>IZLBOCQYUXB</t>
  </si>
  <si>
    <t>Gujer kinetic matrix</t>
  </si>
  <si>
    <t>BKJAALFJYDEB</t>
  </si>
  <si>
    <t>Helene Haduc</t>
  </si>
  <si>
    <t>GQSJAHVFDFP</t>
  </si>
  <si>
    <t>Imre Takacs</t>
  </si>
  <si>
    <t>Local functions</t>
  </si>
  <si>
    <t>Tableau</t>
  </si>
  <si>
    <t>H</t>
  </si>
  <si>
    <t>NH3</t>
  </si>
  <si>
    <t>Cl-</t>
  </si>
  <si>
    <t>NO3-</t>
  </si>
  <si>
    <t>Cat</t>
  </si>
  <si>
    <t>An</t>
  </si>
  <si>
    <t>logK</t>
  </si>
  <si>
    <t>Cl</t>
  </si>
  <si>
    <t>NO3</t>
  </si>
  <si>
    <t>OH</t>
  </si>
  <si>
    <t>NH4</t>
  </si>
  <si>
    <t>Total Concentrations</t>
  </si>
  <si>
    <t>Initial Guesses</t>
  </si>
  <si>
    <t>COD</t>
  </si>
  <si>
    <t>Temperature sensitivity</t>
  </si>
  <si>
    <t>theta^(temp-tbase)</t>
  </si>
  <si>
    <t>Arrh(theta;temp;tbase)</t>
  </si>
  <si>
    <t>Value</t>
  </si>
  <si>
    <t>REFERENCE</t>
  </si>
  <si>
    <t>Name "Initial concentration" cells from symbols (use CTRL-M [Mark Name] shortcut, see below)</t>
  </si>
  <si>
    <t xml:space="preserve">Fill in matrix stoichiometry and kinetic rates (library or new defined functions and kinetic calculated variables can be used) </t>
  </si>
  <si>
    <t>If you used functions, check them using the button</t>
  </si>
  <si>
    <t>Fill in column B (under symbol j) with unique values (like 1, 2, 3, etc)</t>
  </si>
  <si>
    <t>In column C, place rate names (cannot start with numbers, i.e. r1 OK, 1 is not OK)</t>
  </si>
  <si>
    <t>(5)</t>
  </si>
  <si>
    <t>On the Calculated variables Tab</t>
  </si>
  <si>
    <t>If you defined calculated variables to be used in the matrix (e.g. KSmonod = S/K+S), check them using the checking button</t>
  </si>
  <si>
    <t>Insert new rows under equilibrium species names for new dissociation expressions</t>
  </si>
  <si>
    <t>Fill in matrix with algebraic expressions to calculate each species from pH and IS  (1 equation in each column)</t>
  </si>
  <si>
    <t>Use solver to calculate pH and IS (ionic strength) for current solution (from initial concentrations in States Tab)</t>
  </si>
  <si>
    <t>Msat(var; k)</t>
  </si>
  <si>
    <t>Monod saturation</t>
  </si>
  <si>
    <t>var / (k + var)</t>
  </si>
  <si>
    <t>Minh(var; k)</t>
  </si>
  <si>
    <t>Monod inhibition</t>
  </si>
  <si>
    <t>k / (k + var)</t>
  </si>
  <si>
    <t>Bellinh(var; Klo; Khi)</t>
  </si>
  <si>
    <t>Bell-shaped inhibition</t>
  </si>
  <si>
    <t>(1 + 2 * 10^(0.5 * (Klo - Khi))) / (1 + 10^(var - Khi) + 10^(Klo - var))</t>
  </si>
  <si>
    <t>Logsat(var; slope; halfval)</t>
  </si>
  <si>
    <t>Logistic saturation</t>
  </si>
  <si>
    <t>1 / (1 + exp((halfval - var) / slope))</t>
  </si>
  <si>
    <t>Loginh(var; slope; halfval)</t>
  </si>
  <si>
    <t>Logistic inhibition</t>
  </si>
  <si>
    <t>1 / (1 + exp((var - halfval) / slope))</t>
  </si>
  <si>
    <t>Lin(var;m;b)</t>
  </si>
  <si>
    <t>Straight line</t>
  </si>
  <si>
    <t>m*var+b</t>
  </si>
  <si>
    <t>Hardbound(var;lolim;hilim)</t>
  </si>
  <si>
    <t>Hard bounding</t>
  </si>
  <si>
    <t>max(lolim;min(hilim;var))</t>
  </si>
  <si>
    <t>MinuslogVar(x)</t>
  </si>
  <si>
    <t>Equilibrium constants</t>
  </si>
  <si>
    <t>10^(-x)</t>
  </si>
  <si>
    <t>These functions are automatically mapped to C++ syntax and can be used as well:</t>
  </si>
  <si>
    <t>Max(a;b)</t>
  </si>
  <si>
    <t>maximum</t>
  </si>
  <si>
    <t>max(a,b)</t>
  </si>
  <si>
    <t>Pow(a;b)</t>
  </si>
  <si>
    <t>power</t>
  </si>
  <si>
    <t>pow(a,b)</t>
  </si>
  <si>
    <t>Abs(x)</t>
  </si>
  <si>
    <t>abs</t>
  </si>
  <si>
    <t>abs(x)</t>
  </si>
  <si>
    <t>Exp(x)</t>
  </si>
  <si>
    <t>natural base exponent</t>
  </si>
  <si>
    <t>exp(x)</t>
  </si>
  <si>
    <t>Mod(x;y)</t>
  </si>
  <si>
    <t>Modulo operator</t>
  </si>
  <si>
    <t>fmod(x,y)</t>
  </si>
  <si>
    <t>Log10(x)</t>
  </si>
  <si>
    <t>10 based logarithm</t>
  </si>
  <si>
    <t>log10(x)</t>
  </si>
  <si>
    <t>There are other C++ functions predefined in the library - however if those are used, Excel will be unable to check the validity of the matrix</t>
  </si>
  <si>
    <t>Any changes to this sheet will turn Create Functions button gray which means you can't use the custom functions in kinetic matrix unless you press it and it turns green</t>
  </si>
  <si>
    <t>Calculate</t>
  </si>
  <si>
    <t>This macro will calculate the value of algebraic expressions and place it in the Value column if it can. It will also name Calculated variable cells so they can be used in other tabs</t>
  </si>
  <si>
    <t xml:space="preserve">QUICK REMINDER </t>
  </si>
  <si>
    <t>Clear existing names if any (Formulas - Name Manager - Select All - Delete)</t>
  </si>
  <si>
    <t>Colloidal biodegradable substrate</t>
  </si>
  <si>
    <t>Slowly biodegradable substrate</t>
  </si>
  <si>
    <t>Soluble unbiodegradable organics</t>
  </si>
  <si>
    <t>Colloidal unbiodegradable organics</t>
  </si>
  <si>
    <t>Particulate unbiodegradable organics</t>
  </si>
  <si>
    <t>Endogenous decay products</t>
  </si>
  <si>
    <t>Hydrolysis</t>
  </si>
  <si>
    <t>Fermentation</t>
  </si>
  <si>
    <t>Anoxic methylotrophs</t>
  </si>
  <si>
    <t>r1</t>
  </si>
  <si>
    <t>r2</t>
  </si>
  <si>
    <t>r3</t>
  </si>
  <si>
    <t>r4</t>
  </si>
  <si>
    <t>r5</t>
  </si>
  <si>
    <t>r6</t>
  </si>
  <si>
    <t>r7</t>
  </si>
  <si>
    <t>r8</t>
  </si>
  <si>
    <t>r9</t>
  </si>
  <si>
    <t>r10</t>
  </si>
  <si>
    <t>r11</t>
  </si>
  <si>
    <t>r12</t>
  </si>
  <si>
    <t>r13</t>
  </si>
  <si>
    <t>r14</t>
  </si>
  <si>
    <t>r15</t>
  </si>
  <si>
    <t>r16</t>
  </si>
  <si>
    <t>r17</t>
  </si>
  <si>
    <t>r18</t>
  </si>
  <si>
    <t>r19</t>
  </si>
  <si>
    <t>r20</t>
  </si>
  <si>
    <t>r21</t>
  </si>
  <si>
    <t>r22</t>
  </si>
  <si>
    <t>r23</t>
  </si>
  <si>
    <t>r24</t>
  </si>
  <si>
    <t>r25</t>
  </si>
  <si>
    <t>r26</t>
  </si>
  <si>
    <t>r27</t>
  </si>
  <si>
    <t>r28</t>
  </si>
  <si>
    <t>r29</t>
  </si>
  <si>
    <t>r32</t>
  </si>
  <si>
    <t>r33</t>
  </si>
  <si>
    <t>N</t>
  </si>
  <si>
    <t>P</t>
  </si>
  <si>
    <t>L</t>
  </si>
  <si>
    <t>S</t>
  </si>
  <si>
    <t>C</t>
  </si>
  <si>
    <t>X</t>
  </si>
  <si>
    <t>Integrated</t>
  </si>
  <si>
    <t>Atomic mass of oxygen</t>
  </si>
  <si>
    <t>Atomic mass of nitrogen</t>
  </si>
  <si>
    <t>base is ammonia</t>
  </si>
  <si>
    <t>Atomic mass of iron</t>
  </si>
  <si>
    <t>Atomic mass of aluminium</t>
  </si>
  <si>
    <t>Atomic mass of phosphorus</t>
  </si>
  <si>
    <t>MRsat(s;x;k)</t>
  </si>
  <si>
    <t>Monod ratio saturation</t>
  </si>
  <si>
    <t>MRinh(s;x;k)</t>
  </si>
  <si>
    <t>Monod ratio inhibition</t>
  </si>
  <si>
    <t>Atomic mass of hydrogen</t>
  </si>
  <si>
    <t>TSS content of PP</t>
  </si>
  <si>
    <t>Particulate unbiodegradable organic N</t>
  </si>
  <si>
    <t>Maximum specific growth rate of OHOs</t>
  </si>
  <si>
    <t>Temperature dependency</t>
  </si>
  <si>
    <t>N content of biomasses</t>
  </si>
  <si>
    <t>P content of biomasses</t>
  </si>
  <si>
    <t>Atomic mass of carbon</t>
  </si>
  <si>
    <t>Temperature calculations</t>
  </si>
  <si>
    <t>Arrhenius base temperature</t>
  </si>
  <si>
    <t>COD of all biomasses</t>
  </si>
  <si>
    <t>-</t>
  </si>
  <si>
    <t>Temperature sensitvity</t>
  </si>
  <si>
    <t>T</t>
  </si>
  <si>
    <t>Chemical P removal (based on SCM approach)</t>
  </si>
  <si>
    <t>Anaerobic digestion</t>
  </si>
  <si>
    <t>Struvite precipitation</t>
  </si>
  <si>
    <t>OHO decay</t>
  </si>
  <si>
    <t>MEOLO decay</t>
  </si>
  <si>
    <t>r34</t>
  </si>
  <si>
    <t>Atomic mass of sodium</t>
  </si>
  <si>
    <t>Anaerobic methanol conversion</t>
  </si>
  <si>
    <t>HMETO decay</t>
  </si>
  <si>
    <t>AMETO decay</t>
  </si>
  <si>
    <t>2CH3OH -&gt; CH3COOH + 2H2</t>
  </si>
  <si>
    <t>r35</t>
  </si>
  <si>
    <t>r36</t>
  </si>
  <si>
    <t>r37</t>
  </si>
  <si>
    <t>r38</t>
  </si>
  <si>
    <t>r39</t>
  </si>
  <si>
    <r>
      <t>Total inorganic carbon (CO</t>
    </r>
    <r>
      <rPr>
        <vertAlign val="subscript"/>
        <sz val="11"/>
        <color rgb="FF000000"/>
        <rFont val="Calibri"/>
        <family val="2"/>
        <scheme val="minor"/>
      </rPr>
      <t>2</t>
    </r>
    <r>
      <rPr>
        <sz val="11"/>
        <color rgb="FF000000"/>
        <rFont val="Calibri"/>
        <family val="2"/>
        <charset val="238"/>
        <scheme val="minor"/>
      </rPr>
      <t>)</t>
    </r>
  </si>
  <si>
    <t>Decimals</t>
  </si>
  <si>
    <t>Type(Kinetic)</t>
  </si>
  <si>
    <t>Conversion kinetics</t>
  </si>
  <si>
    <t>Common switches</t>
  </si>
  <si>
    <t>AMETO growth</t>
  </si>
  <si>
    <t>HMETO growth</t>
  </si>
  <si>
    <t>Maximum specific growth rate of AMETO</t>
  </si>
  <si>
    <t>CO2+4H2 -&gt; CH4+2H2O</t>
  </si>
  <si>
    <t>Dissociation of water</t>
  </si>
  <si>
    <t>10^(-pH)</t>
  </si>
  <si>
    <t>Ionization of ammonia</t>
  </si>
  <si>
    <t>Nitrate fully dissociated</t>
  </si>
  <si>
    <t>Sodium fully dissociated</t>
  </si>
  <si>
    <t>Chloride fully dissociated</t>
  </si>
  <si>
    <t>Carbonate dissociation</t>
  </si>
  <si>
    <t>Phosphate dissociation</t>
  </si>
  <si>
    <t>VFA (HAc) dissociation</t>
  </si>
  <si>
    <t>Type(Stoichiometric)</t>
  </si>
  <si>
    <t>Charge balance</t>
  </si>
  <si>
    <t>Type(Equilibrium)</t>
  </si>
  <si>
    <t>Calculated variables</t>
  </si>
  <si>
    <r>
      <t>g COD.m</t>
    </r>
    <r>
      <rPr>
        <vertAlign val="superscript"/>
        <sz val="11"/>
        <rFont val="Calibri"/>
        <family val="2"/>
      </rPr>
      <t>-3</t>
    </r>
  </si>
  <si>
    <t>Particulate ultimate biochemical oxygen demand</t>
  </si>
  <si>
    <t>Total ultimate biochemical oxygen demand</t>
  </si>
  <si>
    <r>
      <t>S</t>
    </r>
    <r>
      <rPr>
        <vertAlign val="subscript"/>
        <sz val="11"/>
        <rFont val="Calibri"/>
        <family val="2"/>
        <scheme val="minor"/>
      </rPr>
      <t>BOD,5</t>
    </r>
  </si>
  <si>
    <r>
      <t>X</t>
    </r>
    <r>
      <rPr>
        <vertAlign val="subscript"/>
        <sz val="11"/>
        <rFont val="Calibri"/>
        <family val="2"/>
        <scheme val="minor"/>
      </rPr>
      <t>BOD,5</t>
    </r>
  </si>
  <si>
    <r>
      <t>T</t>
    </r>
    <r>
      <rPr>
        <vertAlign val="subscript"/>
        <sz val="11"/>
        <rFont val="Calibri"/>
        <family val="2"/>
        <scheme val="minor"/>
      </rPr>
      <t>BOD,5</t>
    </r>
  </si>
  <si>
    <r>
      <t>S</t>
    </r>
    <r>
      <rPr>
        <vertAlign val="subscript"/>
        <sz val="11"/>
        <rFont val="Calibri"/>
        <family val="2"/>
        <scheme val="minor"/>
      </rPr>
      <t>COD</t>
    </r>
  </si>
  <si>
    <t>Total chemical oxygen demand</t>
  </si>
  <si>
    <t>Uptake rates</t>
  </si>
  <si>
    <t>OUR</t>
  </si>
  <si>
    <t>Reactive</t>
  </si>
  <si>
    <t>Nitrate uptake rate (N3UR)</t>
  </si>
  <si>
    <t>AUR</t>
  </si>
  <si>
    <t>Ammonia uptake rate (AUR)</t>
  </si>
  <si>
    <t>Total Kjeldahl nitrogen (TKN)</t>
  </si>
  <si>
    <r>
      <t>g N.m</t>
    </r>
    <r>
      <rPr>
        <vertAlign val="superscript"/>
        <sz val="11"/>
        <rFont val="Calibri"/>
        <family val="2"/>
      </rPr>
      <t>-3</t>
    </r>
  </si>
  <si>
    <t>Total nitrogen</t>
  </si>
  <si>
    <t>Activity coefficients</t>
  </si>
  <si>
    <r>
      <t>f</t>
    </r>
    <r>
      <rPr>
        <vertAlign val="subscript"/>
        <sz val="11"/>
        <rFont val="Calibri"/>
        <family val="2"/>
        <scheme val="minor"/>
      </rPr>
      <t>mono</t>
    </r>
  </si>
  <si>
    <t>Monovalent activity coefficient</t>
  </si>
  <si>
    <r>
      <t>f</t>
    </r>
    <r>
      <rPr>
        <vertAlign val="subscript"/>
        <sz val="11"/>
        <rFont val="Calibri"/>
        <family val="2"/>
        <scheme val="minor"/>
      </rPr>
      <t>di</t>
    </r>
  </si>
  <si>
    <t>Divalent activity coefficient</t>
  </si>
  <si>
    <r>
      <t>f</t>
    </r>
    <r>
      <rPr>
        <vertAlign val="subscript"/>
        <sz val="11"/>
        <rFont val="Calibri"/>
        <family val="2"/>
        <scheme val="minor"/>
      </rPr>
      <t>tri</t>
    </r>
  </si>
  <si>
    <t>Trivalent activity coefficient</t>
  </si>
  <si>
    <r>
      <t>K</t>
    </r>
    <r>
      <rPr>
        <vertAlign val="subscript"/>
        <sz val="11"/>
        <rFont val="Calibri"/>
        <family val="2"/>
        <scheme val="minor"/>
      </rPr>
      <t>W</t>
    </r>
  </si>
  <si>
    <r>
      <t>K</t>
    </r>
    <r>
      <rPr>
        <vertAlign val="subscript"/>
        <sz val="11"/>
        <rFont val="Calibri"/>
        <family val="2"/>
        <scheme val="minor"/>
      </rPr>
      <t>C1</t>
    </r>
  </si>
  <si>
    <r>
      <t>K</t>
    </r>
    <r>
      <rPr>
        <vertAlign val="subscript"/>
        <sz val="11"/>
        <rFont val="Calibri"/>
        <family val="2"/>
        <scheme val="minor"/>
      </rPr>
      <t>C2</t>
    </r>
  </si>
  <si>
    <t>Yield on ultimate BOD</t>
  </si>
  <si>
    <t>Particulate biochemical oxygen demand (5 days)</t>
  </si>
  <si>
    <t>Total biochemical oxygen demand (5 days)</t>
  </si>
  <si>
    <r>
      <t>SC</t>
    </r>
    <r>
      <rPr>
        <vertAlign val="subscript"/>
        <sz val="11"/>
        <rFont val="Calibri"/>
        <family val="2"/>
        <scheme val="minor"/>
      </rPr>
      <t>COD</t>
    </r>
  </si>
  <si>
    <t>Filtered flocculated chemical oxygen demand</t>
  </si>
  <si>
    <r>
      <t>g O2.m</t>
    </r>
    <r>
      <rPr>
        <vertAlign val="superscript"/>
        <sz val="11"/>
        <rFont val="Calibri"/>
        <family val="2"/>
        <scheme val="minor"/>
      </rPr>
      <t>-3</t>
    </r>
    <r>
      <rPr>
        <sz val="11"/>
        <rFont val="Calibri"/>
        <family val="2"/>
        <scheme val="minor"/>
      </rPr>
      <t>.d</t>
    </r>
    <r>
      <rPr>
        <vertAlign val="superscript"/>
        <sz val="11"/>
        <rFont val="Calibri"/>
        <family val="2"/>
        <scheme val="minor"/>
      </rPr>
      <t>-1</t>
    </r>
  </si>
  <si>
    <t>r40</t>
  </si>
  <si>
    <t>Magnesium</t>
  </si>
  <si>
    <r>
      <t>X</t>
    </r>
    <r>
      <rPr>
        <b/>
        <vertAlign val="subscript"/>
        <sz val="12"/>
        <rFont val="Calibri"/>
        <family val="2"/>
        <scheme val="minor"/>
      </rPr>
      <t>STR</t>
    </r>
  </si>
  <si>
    <r>
      <t>K</t>
    </r>
    <r>
      <rPr>
        <vertAlign val="subscript"/>
        <sz val="11"/>
        <rFont val="Calibri"/>
        <family val="2"/>
        <scheme val="minor"/>
      </rPr>
      <t>P1</t>
    </r>
  </si>
  <si>
    <r>
      <t>K</t>
    </r>
    <r>
      <rPr>
        <vertAlign val="subscript"/>
        <sz val="11"/>
        <rFont val="Calibri"/>
        <family val="2"/>
        <scheme val="minor"/>
      </rPr>
      <t>P2</t>
    </r>
  </si>
  <si>
    <r>
      <t>K</t>
    </r>
    <r>
      <rPr>
        <vertAlign val="subscript"/>
        <sz val="11"/>
        <rFont val="Calibri"/>
        <family val="2"/>
        <scheme val="minor"/>
      </rPr>
      <t>P3</t>
    </r>
  </si>
  <si>
    <r>
      <t>g TSS.m</t>
    </r>
    <r>
      <rPr>
        <vertAlign val="superscript"/>
        <sz val="11"/>
        <rFont val="Calibri"/>
        <family val="2"/>
      </rPr>
      <t>-3</t>
    </r>
  </si>
  <si>
    <r>
      <t>AM</t>
    </r>
    <r>
      <rPr>
        <vertAlign val="subscript"/>
        <sz val="11"/>
        <rFont val="Calibri"/>
        <family val="2"/>
        <scheme val="minor"/>
      </rPr>
      <t>C</t>
    </r>
  </si>
  <si>
    <r>
      <t>g.mol</t>
    </r>
    <r>
      <rPr>
        <vertAlign val="superscript"/>
        <sz val="11"/>
        <rFont val="Calibri"/>
        <family val="2"/>
        <scheme val="minor"/>
      </rPr>
      <t>-1</t>
    </r>
  </si>
  <si>
    <r>
      <t>AM</t>
    </r>
    <r>
      <rPr>
        <vertAlign val="subscript"/>
        <sz val="11"/>
        <rFont val="Calibri"/>
        <family val="2"/>
        <scheme val="minor"/>
      </rPr>
      <t>P</t>
    </r>
  </si>
  <si>
    <r>
      <t>AM</t>
    </r>
    <r>
      <rPr>
        <vertAlign val="subscript"/>
        <sz val="11"/>
        <rFont val="Calibri"/>
        <family val="2"/>
        <scheme val="minor"/>
      </rPr>
      <t>N</t>
    </r>
  </si>
  <si>
    <r>
      <t>AM</t>
    </r>
    <r>
      <rPr>
        <vertAlign val="subscript"/>
        <sz val="11"/>
        <rFont val="Calibri"/>
        <family val="2"/>
        <scheme val="minor"/>
      </rPr>
      <t>O</t>
    </r>
  </si>
  <si>
    <r>
      <t>AM</t>
    </r>
    <r>
      <rPr>
        <vertAlign val="subscript"/>
        <sz val="11"/>
        <rFont val="Calibri"/>
        <family val="2"/>
        <scheme val="minor"/>
      </rPr>
      <t>Ca</t>
    </r>
  </si>
  <si>
    <t>Atomic mass of calcium</t>
  </si>
  <si>
    <r>
      <rPr>
        <sz val="11"/>
        <rFont val="Calibri"/>
        <family val="2"/>
        <scheme val="minor"/>
      </rPr>
      <t>AM</t>
    </r>
    <r>
      <rPr>
        <vertAlign val="subscript"/>
        <sz val="11"/>
        <rFont val="Calibri"/>
        <family val="2"/>
        <scheme val="minor"/>
      </rPr>
      <t>Fe</t>
    </r>
  </si>
  <si>
    <r>
      <t>AM</t>
    </r>
    <r>
      <rPr>
        <vertAlign val="subscript"/>
        <sz val="11"/>
        <rFont val="Calibri"/>
        <family val="2"/>
        <scheme val="minor"/>
      </rPr>
      <t>Al</t>
    </r>
  </si>
  <si>
    <r>
      <t>AM</t>
    </r>
    <r>
      <rPr>
        <vertAlign val="subscript"/>
        <sz val="11"/>
        <rFont val="Calibri"/>
        <family val="2"/>
        <scheme val="minor"/>
      </rPr>
      <t>H</t>
    </r>
  </si>
  <si>
    <r>
      <t>AM</t>
    </r>
    <r>
      <rPr>
        <vertAlign val="subscript"/>
        <sz val="11"/>
        <rFont val="Calibri"/>
        <family val="2"/>
        <scheme val="minor"/>
      </rPr>
      <t>Na</t>
    </r>
  </si>
  <si>
    <r>
      <t>AM</t>
    </r>
    <r>
      <rPr>
        <vertAlign val="subscript"/>
        <sz val="11"/>
        <rFont val="Calibri"/>
        <family val="2"/>
        <scheme val="minor"/>
      </rPr>
      <t>Cl</t>
    </r>
  </si>
  <si>
    <t>Atomic mass of chlorine</t>
  </si>
  <si>
    <t>Newton-Raphson</t>
  </si>
  <si>
    <t>Target</t>
  </si>
  <si>
    <t>Minimum</t>
  </si>
  <si>
    <t>Maximum</t>
  </si>
  <si>
    <t>chargebalanceerror</t>
  </si>
  <si>
    <t>pHunit</t>
  </si>
  <si>
    <t>Ionic strength (IS)</t>
  </si>
  <si>
    <t>ISerror</t>
  </si>
  <si>
    <t>ISunit</t>
  </si>
  <si>
    <t>Key cation component</t>
  </si>
  <si>
    <t>0</t>
  </si>
  <si>
    <r>
      <t>mol.L</t>
    </r>
    <r>
      <rPr>
        <vertAlign val="superscript"/>
        <sz val="11"/>
        <rFont val="Calibri"/>
        <family val="2"/>
        <scheme val="minor"/>
      </rPr>
      <t>-1</t>
    </r>
  </si>
  <si>
    <t>Fit ionic strength</t>
  </si>
  <si>
    <r>
      <t>S</t>
    </r>
    <r>
      <rPr>
        <vertAlign val="subscript"/>
        <sz val="11"/>
        <rFont val="Calibri"/>
        <family val="2"/>
        <scheme val="minor"/>
      </rPr>
      <t>CO2</t>
    </r>
  </si>
  <si>
    <t>Main buffer system component</t>
  </si>
  <si>
    <t>SCO2error</t>
  </si>
  <si>
    <t>chargebalance</t>
  </si>
  <si>
    <t>Ionic strength error</t>
  </si>
  <si>
    <t>Alkalinity error for CO2 calculation</t>
  </si>
  <si>
    <r>
      <t>S</t>
    </r>
    <r>
      <rPr>
        <vertAlign val="subscript"/>
        <sz val="11"/>
        <rFont val="Calibri"/>
        <family val="2"/>
        <scheme val="minor"/>
      </rPr>
      <t>ALK</t>
    </r>
    <r>
      <rPr>
        <sz val="11"/>
        <rFont val="Calibri"/>
        <family val="2"/>
        <scheme val="minor"/>
      </rPr>
      <t>-S</t>
    </r>
    <r>
      <rPr>
        <vertAlign val="subscript"/>
        <sz val="11"/>
        <rFont val="Calibri"/>
        <family val="2"/>
        <scheme val="minor"/>
      </rPr>
      <t>ALK,input</t>
    </r>
  </si>
  <si>
    <t>Charge balance and ionic strength</t>
  </si>
  <si>
    <t>Alkalinity (ALK)</t>
  </si>
  <si>
    <t>Equilibrium species</t>
  </si>
  <si>
    <r>
      <t>[H</t>
    </r>
    <r>
      <rPr>
        <b/>
        <vertAlign val="superscript"/>
        <sz val="11"/>
        <rFont val="Calibri"/>
        <family val="2"/>
      </rPr>
      <t>+</t>
    </r>
    <r>
      <rPr>
        <b/>
        <sz val="11"/>
        <rFont val="Calibri"/>
        <family val="2"/>
      </rPr>
      <t>]</t>
    </r>
  </si>
  <si>
    <t>Proton</t>
  </si>
  <si>
    <r>
      <t>[OH</t>
    </r>
    <r>
      <rPr>
        <b/>
        <vertAlign val="superscript"/>
        <sz val="11"/>
        <rFont val="Calibri"/>
        <family val="2"/>
      </rPr>
      <t>-</t>
    </r>
    <r>
      <rPr>
        <b/>
        <sz val="11"/>
        <rFont val="Calibri"/>
        <family val="2"/>
      </rPr>
      <t>]</t>
    </r>
  </si>
  <si>
    <t>Hydroxide ion</t>
  </si>
  <si>
    <r>
      <t>[NH</t>
    </r>
    <r>
      <rPr>
        <b/>
        <vertAlign val="subscript"/>
        <sz val="11"/>
        <rFont val="Calibri"/>
        <family val="2"/>
      </rPr>
      <t>3</t>
    </r>
    <r>
      <rPr>
        <b/>
        <sz val="11"/>
        <rFont val="Calibri"/>
        <family val="2"/>
      </rPr>
      <t>]</t>
    </r>
  </si>
  <si>
    <t>Free ammonia</t>
  </si>
  <si>
    <r>
      <t>[NH</t>
    </r>
    <r>
      <rPr>
        <b/>
        <vertAlign val="subscript"/>
        <sz val="11"/>
        <rFont val="Calibri"/>
        <family val="2"/>
      </rPr>
      <t>4</t>
    </r>
    <r>
      <rPr>
        <b/>
        <vertAlign val="superscript"/>
        <sz val="11"/>
        <rFont val="Calibri"/>
        <family val="2"/>
      </rPr>
      <t>+</t>
    </r>
    <r>
      <rPr>
        <b/>
        <sz val="11"/>
        <rFont val="Calibri"/>
        <family val="2"/>
      </rPr>
      <t>]</t>
    </r>
  </si>
  <si>
    <t>Ammonium</t>
  </si>
  <si>
    <r>
      <t>[H</t>
    </r>
    <r>
      <rPr>
        <b/>
        <vertAlign val="subscript"/>
        <sz val="11"/>
        <rFont val="Calibri"/>
        <family val="2"/>
      </rPr>
      <t>2</t>
    </r>
    <r>
      <rPr>
        <b/>
        <sz val="11"/>
        <rFont val="Calibri"/>
        <family val="2"/>
      </rPr>
      <t>CO</t>
    </r>
    <r>
      <rPr>
        <b/>
        <vertAlign val="subscript"/>
        <sz val="11"/>
        <rFont val="Calibri"/>
        <family val="2"/>
      </rPr>
      <t>3</t>
    </r>
    <r>
      <rPr>
        <b/>
        <sz val="11"/>
        <rFont val="Calibri"/>
        <family val="2"/>
      </rPr>
      <t>]</t>
    </r>
  </si>
  <si>
    <t>Carbonic acid</t>
  </si>
  <si>
    <r>
      <t>[HCO</t>
    </r>
    <r>
      <rPr>
        <b/>
        <vertAlign val="subscript"/>
        <sz val="11"/>
        <rFont val="Calibri"/>
        <family val="2"/>
      </rPr>
      <t>3</t>
    </r>
    <r>
      <rPr>
        <b/>
        <vertAlign val="superscript"/>
        <sz val="11"/>
        <rFont val="Calibri"/>
        <family val="2"/>
      </rPr>
      <t>-</t>
    </r>
    <r>
      <rPr>
        <b/>
        <sz val="11"/>
        <rFont val="Calibri"/>
        <family val="2"/>
      </rPr>
      <t>]</t>
    </r>
  </si>
  <si>
    <t>Bicarbonate ion</t>
  </si>
  <si>
    <r>
      <t>[CO</t>
    </r>
    <r>
      <rPr>
        <b/>
        <vertAlign val="subscript"/>
        <sz val="11"/>
        <rFont val="Calibri"/>
        <family val="2"/>
      </rPr>
      <t>3</t>
    </r>
    <r>
      <rPr>
        <b/>
        <vertAlign val="superscript"/>
        <sz val="11"/>
        <rFont val="Calibri"/>
        <family val="2"/>
      </rPr>
      <t>2-</t>
    </r>
    <r>
      <rPr>
        <b/>
        <sz val="11"/>
        <rFont val="Calibri"/>
        <family val="2"/>
      </rPr>
      <t>]</t>
    </r>
  </si>
  <si>
    <t>Carbonate ion</t>
  </si>
  <si>
    <r>
      <t>[H</t>
    </r>
    <r>
      <rPr>
        <b/>
        <vertAlign val="subscript"/>
        <sz val="11"/>
        <rFont val="Calibri"/>
        <family val="2"/>
      </rPr>
      <t>3</t>
    </r>
    <r>
      <rPr>
        <b/>
        <sz val="11"/>
        <rFont val="Calibri"/>
        <family val="2"/>
      </rPr>
      <t>PO</t>
    </r>
    <r>
      <rPr>
        <b/>
        <vertAlign val="subscript"/>
        <sz val="11"/>
        <rFont val="Calibri"/>
        <family val="2"/>
      </rPr>
      <t>4</t>
    </r>
    <r>
      <rPr>
        <b/>
        <sz val="11"/>
        <rFont val="Calibri"/>
        <family val="2"/>
      </rPr>
      <t>]</t>
    </r>
  </si>
  <si>
    <t>Phosphoric acid</t>
  </si>
  <si>
    <r>
      <t>[H</t>
    </r>
    <r>
      <rPr>
        <b/>
        <vertAlign val="subscript"/>
        <sz val="11"/>
        <rFont val="Calibri"/>
        <family val="2"/>
      </rPr>
      <t>2</t>
    </r>
    <r>
      <rPr>
        <b/>
        <sz val="11"/>
        <rFont val="Calibri"/>
        <family val="2"/>
      </rPr>
      <t>PO</t>
    </r>
    <r>
      <rPr>
        <b/>
        <vertAlign val="subscript"/>
        <sz val="11"/>
        <rFont val="Calibri"/>
        <family val="2"/>
      </rPr>
      <t>4</t>
    </r>
    <r>
      <rPr>
        <b/>
        <vertAlign val="superscript"/>
        <sz val="11"/>
        <rFont val="Calibri"/>
        <family val="2"/>
      </rPr>
      <t>-</t>
    </r>
    <r>
      <rPr>
        <b/>
        <sz val="11"/>
        <rFont val="Calibri"/>
        <family val="2"/>
      </rPr>
      <t>]</t>
    </r>
  </si>
  <si>
    <t>Dihydrogen phosphate ion</t>
  </si>
  <si>
    <r>
      <t>[HPO</t>
    </r>
    <r>
      <rPr>
        <b/>
        <vertAlign val="subscript"/>
        <sz val="11"/>
        <rFont val="Calibri"/>
        <family val="2"/>
      </rPr>
      <t>4</t>
    </r>
    <r>
      <rPr>
        <b/>
        <vertAlign val="superscript"/>
        <sz val="11"/>
        <rFont val="Calibri"/>
        <family val="2"/>
      </rPr>
      <t>2-</t>
    </r>
    <r>
      <rPr>
        <b/>
        <sz val="11"/>
        <rFont val="Calibri"/>
        <family val="2"/>
      </rPr>
      <t>]</t>
    </r>
  </si>
  <si>
    <t>Hydrogen phosphate ion</t>
  </si>
  <si>
    <r>
      <t>[PO</t>
    </r>
    <r>
      <rPr>
        <b/>
        <vertAlign val="subscript"/>
        <sz val="11"/>
        <rFont val="Calibri"/>
        <family val="2"/>
      </rPr>
      <t>4</t>
    </r>
    <r>
      <rPr>
        <b/>
        <vertAlign val="superscript"/>
        <sz val="11"/>
        <rFont val="Calibri"/>
        <family val="2"/>
      </rPr>
      <t>3-</t>
    </r>
    <r>
      <rPr>
        <b/>
        <sz val="11"/>
        <rFont val="Calibri"/>
        <family val="2"/>
      </rPr>
      <t>]</t>
    </r>
  </si>
  <si>
    <t>Phosphate ion</t>
  </si>
  <si>
    <t>[HAc]</t>
  </si>
  <si>
    <t>Acetic acid</t>
  </si>
  <si>
    <r>
      <t>[Ac</t>
    </r>
    <r>
      <rPr>
        <b/>
        <vertAlign val="superscript"/>
        <sz val="11"/>
        <rFont val="Calibri"/>
        <family val="2"/>
      </rPr>
      <t>-</t>
    </r>
    <r>
      <rPr>
        <b/>
        <sz val="11"/>
        <rFont val="Calibri"/>
        <family val="2"/>
      </rPr>
      <t>]</t>
    </r>
  </si>
  <si>
    <t>Acetate ion</t>
  </si>
  <si>
    <t>Nitrate ion</t>
  </si>
  <si>
    <r>
      <t>[NO</t>
    </r>
    <r>
      <rPr>
        <b/>
        <vertAlign val="subscript"/>
        <sz val="11"/>
        <rFont val="Calibri"/>
        <family val="2"/>
      </rPr>
      <t>3</t>
    </r>
    <r>
      <rPr>
        <b/>
        <vertAlign val="superscript"/>
        <sz val="11"/>
        <rFont val="Calibri"/>
        <family val="2"/>
      </rPr>
      <t>-</t>
    </r>
    <r>
      <rPr>
        <b/>
        <sz val="11"/>
        <rFont val="Calibri"/>
        <family val="2"/>
      </rPr>
      <t>]</t>
    </r>
  </si>
  <si>
    <r>
      <t>diss</t>
    </r>
    <r>
      <rPr>
        <vertAlign val="subscript"/>
        <sz val="11"/>
        <rFont val="Calibri"/>
        <family val="2"/>
      </rPr>
      <t>H2O</t>
    </r>
  </si>
  <si>
    <r>
      <t>K</t>
    </r>
    <r>
      <rPr>
        <vertAlign val="subscript"/>
        <sz val="11"/>
        <rFont val="Calibri"/>
        <family val="2"/>
      </rPr>
      <t>W</t>
    </r>
    <r>
      <rPr>
        <sz val="11"/>
        <rFont val="Calibri"/>
        <family val="2"/>
      </rPr>
      <t>/[H</t>
    </r>
    <r>
      <rPr>
        <vertAlign val="superscript"/>
        <sz val="11"/>
        <rFont val="Calibri"/>
        <family val="2"/>
      </rPr>
      <t>+</t>
    </r>
    <r>
      <rPr>
        <sz val="11"/>
        <rFont val="Calibri"/>
        <family val="2"/>
      </rPr>
      <t>]</t>
    </r>
  </si>
  <si>
    <r>
      <t>diss</t>
    </r>
    <r>
      <rPr>
        <vertAlign val="subscript"/>
        <sz val="11"/>
        <rFont val="Calibri"/>
        <family val="2"/>
      </rPr>
      <t>CO2</t>
    </r>
  </si>
  <si>
    <r>
      <t>diss</t>
    </r>
    <r>
      <rPr>
        <vertAlign val="subscript"/>
        <sz val="11"/>
        <rFont val="Calibri"/>
        <family val="2"/>
      </rPr>
      <t>PO4</t>
    </r>
  </si>
  <si>
    <r>
      <t>S</t>
    </r>
    <r>
      <rPr>
        <vertAlign val="subscript"/>
        <sz val="11"/>
        <rFont val="Calibri"/>
        <family val="2"/>
      </rPr>
      <t>PO4</t>
    </r>
    <r>
      <rPr>
        <sz val="11"/>
        <rFont val="Calibri"/>
        <family val="2"/>
      </rPr>
      <t>/(AM</t>
    </r>
    <r>
      <rPr>
        <vertAlign val="subscript"/>
        <sz val="11"/>
        <rFont val="Calibri"/>
        <family val="2"/>
      </rPr>
      <t>P</t>
    </r>
    <r>
      <rPr>
        <sz val="11"/>
        <rFont val="Calibri"/>
        <family val="2"/>
      </rPr>
      <t>*1000)*[H</t>
    </r>
    <r>
      <rPr>
        <vertAlign val="superscript"/>
        <sz val="11"/>
        <rFont val="Calibri"/>
        <family val="2"/>
      </rPr>
      <t>+</t>
    </r>
    <r>
      <rPr>
        <sz val="11"/>
        <rFont val="Calibri"/>
        <family val="2"/>
      </rPr>
      <t>]^3/([H</t>
    </r>
    <r>
      <rPr>
        <vertAlign val="superscript"/>
        <sz val="11"/>
        <rFont val="Calibri"/>
        <family val="2"/>
      </rPr>
      <t>+</t>
    </r>
    <r>
      <rPr>
        <sz val="11"/>
        <rFont val="Calibri"/>
        <family val="2"/>
      </rPr>
      <t>]^3+[H</t>
    </r>
    <r>
      <rPr>
        <vertAlign val="superscript"/>
        <sz val="11"/>
        <rFont val="Calibri"/>
        <family val="2"/>
      </rPr>
      <t>+</t>
    </r>
    <r>
      <rPr>
        <sz val="11"/>
        <rFont val="Calibri"/>
        <family val="2"/>
      </rPr>
      <t>]^2*K</t>
    </r>
    <r>
      <rPr>
        <vertAlign val="subscript"/>
        <sz val="11"/>
        <rFont val="Calibri"/>
        <family val="2"/>
      </rPr>
      <t>P1</t>
    </r>
    <r>
      <rPr>
        <sz val="11"/>
        <rFont val="Calibri"/>
        <family val="2"/>
      </rPr>
      <t>+K</t>
    </r>
    <r>
      <rPr>
        <vertAlign val="subscript"/>
        <sz val="11"/>
        <rFont val="Calibri"/>
        <family val="2"/>
      </rPr>
      <t>P2</t>
    </r>
    <r>
      <rPr>
        <sz val="11"/>
        <rFont val="Calibri"/>
        <family val="2"/>
      </rPr>
      <t>*[H</t>
    </r>
    <r>
      <rPr>
        <vertAlign val="superscript"/>
        <sz val="11"/>
        <rFont val="Calibri"/>
        <family val="2"/>
      </rPr>
      <t>+</t>
    </r>
    <r>
      <rPr>
        <sz val="11"/>
        <rFont val="Calibri"/>
        <family val="2"/>
      </rPr>
      <t>]*K</t>
    </r>
    <r>
      <rPr>
        <vertAlign val="subscript"/>
        <sz val="11"/>
        <rFont val="Calibri"/>
        <family val="2"/>
      </rPr>
      <t>P1</t>
    </r>
    <r>
      <rPr>
        <sz val="11"/>
        <rFont val="Calibri"/>
        <family val="2"/>
      </rPr>
      <t>+K</t>
    </r>
    <r>
      <rPr>
        <vertAlign val="subscript"/>
        <sz val="11"/>
        <rFont val="Calibri"/>
        <family val="2"/>
      </rPr>
      <t>P2</t>
    </r>
    <r>
      <rPr>
        <sz val="11"/>
        <rFont val="Calibri"/>
        <family val="2"/>
      </rPr>
      <t>*K</t>
    </r>
    <r>
      <rPr>
        <vertAlign val="subscript"/>
        <sz val="11"/>
        <rFont val="Calibri"/>
        <family val="2"/>
      </rPr>
      <t>P1</t>
    </r>
    <r>
      <rPr>
        <sz val="11"/>
        <rFont val="Calibri"/>
        <family val="2"/>
      </rPr>
      <t>*K</t>
    </r>
    <r>
      <rPr>
        <vertAlign val="subscript"/>
        <sz val="11"/>
        <rFont val="Calibri"/>
        <family val="2"/>
      </rPr>
      <t>P3</t>
    </r>
    <r>
      <rPr>
        <sz val="11"/>
        <rFont val="Calibri"/>
        <family val="2"/>
      </rPr>
      <t>)</t>
    </r>
  </si>
  <si>
    <r>
      <t>[H</t>
    </r>
    <r>
      <rPr>
        <vertAlign val="superscript"/>
        <sz val="11"/>
        <rFont val="Calibri"/>
        <family val="2"/>
      </rPr>
      <t>+</t>
    </r>
    <r>
      <rPr>
        <sz val="11"/>
        <rFont val="Calibri"/>
        <family val="2"/>
      </rPr>
      <t>]^2*K</t>
    </r>
    <r>
      <rPr>
        <vertAlign val="subscript"/>
        <sz val="11"/>
        <rFont val="Calibri"/>
        <family val="2"/>
      </rPr>
      <t>P1</t>
    </r>
    <r>
      <rPr>
        <sz val="11"/>
        <rFont val="Calibri"/>
        <family val="2"/>
      </rPr>
      <t>*S</t>
    </r>
    <r>
      <rPr>
        <vertAlign val="subscript"/>
        <sz val="11"/>
        <rFont val="Calibri"/>
        <family val="2"/>
      </rPr>
      <t>PO4</t>
    </r>
    <r>
      <rPr>
        <sz val="11"/>
        <rFont val="Calibri"/>
        <family val="2"/>
      </rPr>
      <t>/(AM</t>
    </r>
    <r>
      <rPr>
        <vertAlign val="subscript"/>
        <sz val="11"/>
        <rFont val="Calibri"/>
        <family val="2"/>
      </rPr>
      <t>P</t>
    </r>
    <r>
      <rPr>
        <sz val="11"/>
        <rFont val="Calibri"/>
        <family val="2"/>
      </rPr>
      <t>*1000)/([H</t>
    </r>
    <r>
      <rPr>
        <vertAlign val="superscript"/>
        <sz val="11"/>
        <rFont val="Calibri"/>
        <family val="2"/>
      </rPr>
      <t>+</t>
    </r>
    <r>
      <rPr>
        <sz val="11"/>
        <rFont val="Calibri"/>
        <family val="2"/>
      </rPr>
      <t>]^3+[H</t>
    </r>
    <r>
      <rPr>
        <vertAlign val="superscript"/>
        <sz val="11"/>
        <rFont val="Calibri"/>
        <family val="2"/>
      </rPr>
      <t>+</t>
    </r>
    <r>
      <rPr>
        <sz val="11"/>
        <rFont val="Calibri"/>
        <family val="2"/>
      </rPr>
      <t>]^2*K</t>
    </r>
    <r>
      <rPr>
        <vertAlign val="subscript"/>
        <sz val="11"/>
        <rFont val="Calibri"/>
        <family val="2"/>
      </rPr>
      <t>P1</t>
    </r>
    <r>
      <rPr>
        <sz val="11"/>
        <rFont val="Calibri"/>
        <family val="2"/>
      </rPr>
      <t>+K</t>
    </r>
    <r>
      <rPr>
        <vertAlign val="subscript"/>
        <sz val="11"/>
        <rFont val="Calibri"/>
        <family val="2"/>
      </rPr>
      <t>P2</t>
    </r>
    <r>
      <rPr>
        <sz val="11"/>
        <rFont val="Calibri"/>
        <family val="2"/>
      </rPr>
      <t>*[H</t>
    </r>
    <r>
      <rPr>
        <vertAlign val="superscript"/>
        <sz val="11"/>
        <rFont val="Calibri"/>
        <family val="2"/>
      </rPr>
      <t>+</t>
    </r>
    <r>
      <rPr>
        <sz val="11"/>
        <rFont val="Calibri"/>
        <family val="2"/>
      </rPr>
      <t>]*K</t>
    </r>
    <r>
      <rPr>
        <vertAlign val="subscript"/>
        <sz val="11"/>
        <rFont val="Calibri"/>
        <family val="2"/>
      </rPr>
      <t>P1</t>
    </r>
    <r>
      <rPr>
        <sz val="11"/>
        <rFont val="Calibri"/>
        <family val="2"/>
      </rPr>
      <t>+K</t>
    </r>
    <r>
      <rPr>
        <vertAlign val="subscript"/>
        <sz val="11"/>
        <rFont val="Calibri"/>
        <family val="2"/>
      </rPr>
      <t>P2</t>
    </r>
    <r>
      <rPr>
        <sz val="11"/>
        <rFont val="Calibri"/>
        <family val="2"/>
      </rPr>
      <t>*K</t>
    </r>
    <r>
      <rPr>
        <vertAlign val="subscript"/>
        <sz val="11"/>
        <rFont val="Calibri"/>
        <family val="2"/>
      </rPr>
      <t>P1</t>
    </r>
    <r>
      <rPr>
        <sz val="11"/>
        <rFont val="Calibri"/>
        <family val="2"/>
      </rPr>
      <t>*K</t>
    </r>
    <r>
      <rPr>
        <vertAlign val="subscript"/>
        <sz val="11"/>
        <rFont val="Calibri"/>
        <family val="2"/>
      </rPr>
      <t>P3</t>
    </r>
    <r>
      <rPr>
        <sz val="11"/>
        <rFont val="Calibri"/>
        <family val="2"/>
      </rPr>
      <t>)</t>
    </r>
  </si>
  <si>
    <r>
      <t>[H</t>
    </r>
    <r>
      <rPr>
        <vertAlign val="superscript"/>
        <sz val="11"/>
        <rFont val="Calibri"/>
        <family val="2"/>
      </rPr>
      <t>+</t>
    </r>
    <r>
      <rPr>
        <sz val="11"/>
        <rFont val="Calibri"/>
        <family val="2"/>
      </rPr>
      <t>]*K</t>
    </r>
    <r>
      <rPr>
        <vertAlign val="subscript"/>
        <sz val="11"/>
        <rFont val="Calibri"/>
        <family val="2"/>
      </rPr>
      <t>P2</t>
    </r>
    <r>
      <rPr>
        <sz val="11"/>
        <rFont val="Calibri"/>
        <family val="2"/>
      </rPr>
      <t>/([H</t>
    </r>
    <r>
      <rPr>
        <vertAlign val="superscript"/>
        <sz val="11"/>
        <rFont val="Calibri"/>
        <family val="2"/>
      </rPr>
      <t>+</t>
    </r>
    <r>
      <rPr>
        <sz val="11"/>
        <rFont val="Calibri"/>
        <family val="2"/>
      </rPr>
      <t>]^3+[H</t>
    </r>
    <r>
      <rPr>
        <vertAlign val="superscript"/>
        <sz val="11"/>
        <rFont val="Calibri"/>
        <family val="2"/>
      </rPr>
      <t>+</t>
    </r>
    <r>
      <rPr>
        <sz val="11"/>
        <rFont val="Calibri"/>
        <family val="2"/>
      </rPr>
      <t>]^2*K</t>
    </r>
    <r>
      <rPr>
        <vertAlign val="subscript"/>
        <sz val="11"/>
        <rFont val="Calibri"/>
        <family val="2"/>
      </rPr>
      <t>P1</t>
    </r>
    <r>
      <rPr>
        <sz val="11"/>
        <rFont val="Calibri"/>
        <family val="2"/>
      </rPr>
      <t>+K</t>
    </r>
    <r>
      <rPr>
        <vertAlign val="subscript"/>
        <sz val="11"/>
        <rFont val="Calibri"/>
        <family val="2"/>
      </rPr>
      <t>P2</t>
    </r>
    <r>
      <rPr>
        <sz val="11"/>
        <rFont val="Calibri"/>
        <family val="2"/>
      </rPr>
      <t>*[H</t>
    </r>
    <r>
      <rPr>
        <vertAlign val="superscript"/>
        <sz val="11"/>
        <rFont val="Calibri"/>
        <family val="2"/>
      </rPr>
      <t>+</t>
    </r>
    <r>
      <rPr>
        <sz val="11"/>
        <rFont val="Calibri"/>
        <family val="2"/>
      </rPr>
      <t>]*K</t>
    </r>
    <r>
      <rPr>
        <vertAlign val="subscript"/>
        <sz val="11"/>
        <rFont val="Calibri"/>
        <family val="2"/>
      </rPr>
      <t>P1</t>
    </r>
    <r>
      <rPr>
        <sz val="11"/>
        <rFont val="Calibri"/>
        <family val="2"/>
      </rPr>
      <t>+K</t>
    </r>
    <r>
      <rPr>
        <vertAlign val="subscript"/>
        <sz val="11"/>
        <rFont val="Calibri"/>
        <family val="2"/>
      </rPr>
      <t>P2</t>
    </r>
    <r>
      <rPr>
        <sz val="11"/>
        <rFont val="Calibri"/>
        <family val="2"/>
      </rPr>
      <t>*K</t>
    </r>
    <r>
      <rPr>
        <vertAlign val="subscript"/>
        <sz val="11"/>
        <rFont val="Calibri"/>
        <family val="2"/>
      </rPr>
      <t>P1</t>
    </r>
    <r>
      <rPr>
        <sz val="11"/>
        <rFont val="Calibri"/>
        <family val="2"/>
      </rPr>
      <t>*K</t>
    </r>
    <r>
      <rPr>
        <vertAlign val="subscript"/>
        <sz val="11"/>
        <rFont val="Calibri"/>
        <family val="2"/>
      </rPr>
      <t>P3</t>
    </r>
    <r>
      <rPr>
        <sz val="11"/>
        <rFont val="Calibri"/>
        <family val="2"/>
      </rPr>
      <t>)*K</t>
    </r>
    <r>
      <rPr>
        <vertAlign val="subscript"/>
        <sz val="11"/>
        <rFont val="Calibri"/>
        <family val="2"/>
      </rPr>
      <t>P1</t>
    </r>
    <r>
      <rPr>
        <sz val="11"/>
        <rFont val="Calibri"/>
        <family val="2"/>
      </rPr>
      <t>*S</t>
    </r>
    <r>
      <rPr>
        <vertAlign val="subscript"/>
        <sz val="11"/>
        <rFont val="Calibri"/>
        <family val="2"/>
      </rPr>
      <t>PO4</t>
    </r>
    <r>
      <rPr>
        <sz val="11"/>
        <rFont val="Calibri"/>
        <family val="2"/>
      </rPr>
      <t>/(AM</t>
    </r>
    <r>
      <rPr>
        <vertAlign val="subscript"/>
        <sz val="11"/>
        <rFont val="Calibri"/>
        <family val="2"/>
      </rPr>
      <t>P</t>
    </r>
    <r>
      <rPr>
        <sz val="11"/>
        <rFont val="Calibri"/>
        <family val="2"/>
      </rPr>
      <t>*1000)</t>
    </r>
  </si>
  <si>
    <r>
      <t>K</t>
    </r>
    <r>
      <rPr>
        <vertAlign val="subscript"/>
        <sz val="11"/>
        <rFont val="Calibri"/>
        <family val="2"/>
      </rPr>
      <t>P3</t>
    </r>
    <r>
      <rPr>
        <sz val="11"/>
        <rFont val="Calibri"/>
        <family val="2"/>
      </rPr>
      <t>*K</t>
    </r>
    <r>
      <rPr>
        <vertAlign val="subscript"/>
        <sz val="11"/>
        <rFont val="Calibri"/>
        <family val="2"/>
      </rPr>
      <t>P2</t>
    </r>
    <r>
      <rPr>
        <sz val="11"/>
        <rFont val="Calibri"/>
        <family val="2"/>
      </rPr>
      <t>/([H</t>
    </r>
    <r>
      <rPr>
        <vertAlign val="superscript"/>
        <sz val="11"/>
        <rFont val="Calibri"/>
        <family val="2"/>
      </rPr>
      <t>+</t>
    </r>
    <r>
      <rPr>
        <sz val="11"/>
        <rFont val="Calibri"/>
        <family val="2"/>
      </rPr>
      <t>]^3+[H</t>
    </r>
    <r>
      <rPr>
        <vertAlign val="superscript"/>
        <sz val="11"/>
        <rFont val="Calibri"/>
        <family val="2"/>
      </rPr>
      <t>+</t>
    </r>
    <r>
      <rPr>
        <sz val="11"/>
        <rFont val="Calibri"/>
        <family val="2"/>
      </rPr>
      <t>]^2*K</t>
    </r>
    <r>
      <rPr>
        <vertAlign val="subscript"/>
        <sz val="11"/>
        <rFont val="Calibri"/>
        <family val="2"/>
      </rPr>
      <t>P1</t>
    </r>
    <r>
      <rPr>
        <sz val="11"/>
        <rFont val="Calibri"/>
        <family val="2"/>
      </rPr>
      <t>+K</t>
    </r>
    <r>
      <rPr>
        <vertAlign val="subscript"/>
        <sz val="11"/>
        <rFont val="Calibri"/>
        <family val="2"/>
      </rPr>
      <t>P2</t>
    </r>
    <r>
      <rPr>
        <sz val="11"/>
        <rFont val="Calibri"/>
        <family val="2"/>
      </rPr>
      <t>*[H</t>
    </r>
    <r>
      <rPr>
        <vertAlign val="superscript"/>
        <sz val="11"/>
        <rFont val="Calibri"/>
        <family val="2"/>
      </rPr>
      <t>+</t>
    </r>
    <r>
      <rPr>
        <sz val="11"/>
        <rFont val="Calibri"/>
        <family val="2"/>
      </rPr>
      <t>]*K</t>
    </r>
    <r>
      <rPr>
        <vertAlign val="subscript"/>
        <sz val="11"/>
        <rFont val="Calibri"/>
        <family val="2"/>
      </rPr>
      <t>P1</t>
    </r>
    <r>
      <rPr>
        <sz val="11"/>
        <rFont val="Calibri"/>
        <family val="2"/>
      </rPr>
      <t>+K</t>
    </r>
    <r>
      <rPr>
        <vertAlign val="subscript"/>
        <sz val="11"/>
        <rFont val="Calibri"/>
        <family val="2"/>
      </rPr>
      <t>P2</t>
    </r>
    <r>
      <rPr>
        <sz val="11"/>
        <rFont val="Calibri"/>
        <family val="2"/>
      </rPr>
      <t>*K</t>
    </r>
    <r>
      <rPr>
        <vertAlign val="subscript"/>
        <sz val="11"/>
        <rFont val="Calibri"/>
        <family val="2"/>
      </rPr>
      <t>P1</t>
    </r>
    <r>
      <rPr>
        <sz val="11"/>
        <rFont val="Calibri"/>
        <family val="2"/>
      </rPr>
      <t>*K</t>
    </r>
    <r>
      <rPr>
        <vertAlign val="subscript"/>
        <sz val="11"/>
        <rFont val="Calibri"/>
        <family val="2"/>
      </rPr>
      <t>P3</t>
    </r>
    <r>
      <rPr>
        <sz val="11"/>
        <rFont val="Calibri"/>
        <family val="2"/>
      </rPr>
      <t>)*K</t>
    </r>
    <r>
      <rPr>
        <vertAlign val="subscript"/>
        <sz val="11"/>
        <rFont val="Calibri"/>
        <family val="2"/>
      </rPr>
      <t>P1</t>
    </r>
    <r>
      <rPr>
        <sz val="11"/>
        <rFont val="Calibri"/>
        <family val="2"/>
      </rPr>
      <t>*S</t>
    </r>
    <r>
      <rPr>
        <vertAlign val="subscript"/>
        <sz val="11"/>
        <rFont val="Calibri"/>
        <family val="2"/>
      </rPr>
      <t>PO4</t>
    </r>
    <r>
      <rPr>
        <sz val="11"/>
        <rFont val="Calibri"/>
        <family val="2"/>
      </rPr>
      <t>/(AM</t>
    </r>
    <r>
      <rPr>
        <vertAlign val="subscript"/>
        <sz val="11"/>
        <rFont val="Calibri"/>
        <family val="2"/>
      </rPr>
      <t>P</t>
    </r>
    <r>
      <rPr>
        <sz val="11"/>
        <rFont val="Calibri"/>
        <family val="2"/>
      </rPr>
      <t>*1000)</t>
    </r>
  </si>
  <si>
    <r>
      <t>diss</t>
    </r>
    <r>
      <rPr>
        <vertAlign val="subscript"/>
        <sz val="11"/>
        <rFont val="Calibri"/>
        <family val="2"/>
      </rPr>
      <t>VFA</t>
    </r>
  </si>
  <si>
    <r>
      <t>map</t>
    </r>
    <r>
      <rPr>
        <vertAlign val="subscript"/>
        <sz val="11"/>
        <rFont val="Calibri"/>
        <family val="2"/>
      </rPr>
      <t>Na</t>
    </r>
  </si>
  <si>
    <r>
      <t>map</t>
    </r>
    <r>
      <rPr>
        <vertAlign val="subscript"/>
        <sz val="11"/>
        <rFont val="Calibri"/>
        <family val="2"/>
      </rPr>
      <t>Cl</t>
    </r>
  </si>
  <si>
    <r>
      <t>G</t>
    </r>
    <r>
      <rPr>
        <b/>
        <vertAlign val="subscript"/>
        <sz val="11"/>
        <rFont val="Calibri"/>
        <family val="2"/>
        <charset val="238"/>
      </rPr>
      <t>CO2</t>
    </r>
  </si>
  <si>
    <t>G</t>
  </si>
  <si>
    <r>
      <t>G</t>
    </r>
    <r>
      <rPr>
        <b/>
        <vertAlign val="subscript"/>
        <sz val="11"/>
        <rFont val="Calibri"/>
        <family val="2"/>
        <charset val="238"/>
      </rPr>
      <t>CH4</t>
    </r>
  </si>
  <si>
    <r>
      <t>G</t>
    </r>
    <r>
      <rPr>
        <b/>
        <vertAlign val="subscript"/>
        <sz val="11"/>
        <rFont val="Calibri"/>
        <family val="2"/>
        <charset val="238"/>
      </rPr>
      <t>H2</t>
    </r>
  </si>
  <si>
    <r>
      <t>G</t>
    </r>
    <r>
      <rPr>
        <b/>
        <vertAlign val="subscript"/>
        <sz val="11"/>
        <rFont val="Calibri"/>
        <family val="2"/>
        <charset val="238"/>
      </rPr>
      <t>O2</t>
    </r>
  </si>
  <si>
    <r>
      <t>G</t>
    </r>
    <r>
      <rPr>
        <b/>
        <vertAlign val="subscript"/>
        <sz val="11"/>
        <rFont val="Calibri"/>
        <family val="2"/>
        <charset val="238"/>
      </rPr>
      <t>N2</t>
    </r>
  </si>
  <si>
    <t>r46</t>
  </si>
  <si>
    <t>Calculated gas transfer coefficients</t>
  </si>
  <si>
    <r>
      <t>d</t>
    </r>
    <r>
      <rPr>
        <vertAlign val="superscript"/>
        <sz val="11"/>
        <rFont val="Calibri"/>
        <family val="2"/>
        <scheme val="minor"/>
      </rPr>
      <t>-1</t>
    </r>
  </si>
  <si>
    <r>
      <t>mol.L</t>
    </r>
    <r>
      <rPr>
        <vertAlign val="superscript"/>
        <sz val="11"/>
        <rFont val="Calibri"/>
        <family val="2"/>
        <scheme val="minor"/>
      </rPr>
      <t>-1</t>
    </r>
    <r>
      <rPr>
        <sz val="11"/>
        <rFont val="Calibri"/>
        <family val="2"/>
        <scheme val="minor"/>
      </rPr>
      <t>.bar</t>
    </r>
    <r>
      <rPr>
        <vertAlign val="superscript"/>
        <sz val="11"/>
        <rFont val="Calibri"/>
        <family val="2"/>
        <scheme val="minor"/>
      </rPr>
      <t>-1</t>
    </r>
  </si>
  <si>
    <r>
      <t>Henry coefficient for CH</t>
    </r>
    <r>
      <rPr>
        <vertAlign val="subscript"/>
        <sz val="11"/>
        <rFont val="Calibri"/>
        <family val="2"/>
        <scheme val="minor"/>
      </rPr>
      <t xml:space="preserve">4 </t>
    </r>
    <r>
      <rPr>
        <sz val="11"/>
        <rFont val="Calibri"/>
        <family val="2"/>
        <scheme val="minor"/>
      </rPr>
      <t>@25°C</t>
    </r>
  </si>
  <si>
    <r>
      <t>MM</t>
    </r>
    <r>
      <rPr>
        <vertAlign val="subscript"/>
        <sz val="11"/>
        <rFont val="Calibri"/>
        <family val="2"/>
        <scheme val="minor"/>
      </rPr>
      <t>GO2</t>
    </r>
  </si>
  <si>
    <t>Molecular mass of oxygen</t>
  </si>
  <si>
    <r>
      <t>MM</t>
    </r>
    <r>
      <rPr>
        <vertAlign val="subscript"/>
        <sz val="11"/>
        <rFont val="Calibri"/>
        <family val="2"/>
        <scheme val="minor"/>
      </rPr>
      <t>O2</t>
    </r>
  </si>
  <si>
    <r>
      <t>MM</t>
    </r>
    <r>
      <rPr>
        <vertAlign val="subscript"/>
        <sz val="11"/>
        <rFont val="Calibri"/>
        <family val="2"/>
        <scheme val="minor"/>
      </rPr>
      <t>N2</t>
    </r>
  </si>
  <si>
    <t>Molecular mass of nitrogen</t>
  </si>
  <si>
    <r>
      <t>MM</t>
    </r>
    <r>
      <rPr>
        <vertAlign val="subscript"/>
        <sz val="11"/>
        <rFont val="Calibri"/>
        <family val="2"/>
        <scheme val="minor"/>
      </rPr>
      <t>GN2</t>
    </r>
  </si>
  <si>
    <t>Molecular mass of hydrogen</t>
  </si>
  <si>
    <t>Molecular mass of methane</t>
  </si>
  <si>
    <t>Diffusion coefficient of oxygen in water</t>
  </si>
  <si>
    <t>Diffusion coefficient of nitrogen in water</t>
  </si>
  <si>
    <t>Diffusion coefficient of carbon dioxide in water</t>
  </si>
  <si>
    <t>Diffusion coefficient of hydrogen in water @ 25°C</t>
  </si>
  <si>
    <t>Diffusion coefficient of methane in water @ 25°C</t>
  </si>
  <si>
    <r>
      <t>MM</t>
    </r>
    <r>
      <rPr>
        <vertAlign val="subscript"/>
        <sz val="11"/>
        <rFont val="Calibri"/>
        <family val="2"/>
        <scheme val="minor"/>
      </rPr>
      <t>GH2</t>
    </r>
  </si>
  <si>
    <r>
      <t>MM</t>
    </r>
    <r>
      <rPr>
        <vertAlign val="subscript"/>
        <sz val="11"/>
        <rFont val="Calibri"/>
        <family val="2"/>
        <scheme val="minor"/>
      </rPr>
      <t>GCH4</t>
    </r>
  </si>
  <si>
    <r>
      <t>X</t>
    </r>
    <r>
      <rPr>
        <b/>
        <vertAlign val="subscript"/>
        <sz val="11"/>
        <rFont val="Calibri"/>
        <family val="2"/>
        <charset val="238"/>
        <scheme val="minor"/>
      </rPr>
      <t>HFO,L,P</t>
    </r>
  </si>
  <si>
    <r>
      <t>X</t>
    </r>
    <r>
      <rPr>
        <b/>
        <vertAlign val="subscript"/>
        <sz val="11"/>
        <rFont val="Calibri"/>
        <family val="2"/>
        <charset val="238"/>
        <scheme val="minor"/>
      </rPr>
      <t>HFO,H,P</t>
    </r>
  </si>
  <si>
    <r>
      <t>X</t>
    </r>
    <r>
      <rPr>
        <b/>
        <vertAlign val="subscript"/>
        <sz val="11"/>
        <rFont val="Calibri"/>
        <family val="2"/>
        <charset val="238"/>
        <scheme val="minor"/>
      </rPr>
      <t>HFO,old</t>
    </r>
  </si>
  <si>
    <t>r47</t>
  </si>
  <si>
    <t>r48</t>
  </si>
  <si>
    <t>r49</t>
  </si>
  <si>
    <t>Total HFOs</t>
  </si>
  <si>
    <r>
      <t>g Fe.m</t>
    </r>
    <r>
      <rPr>
        <vertAlign val="superscript"/>
        <sz val="8"/>
        <rFont val="Arial"/>
        <family val="2"/>
      </rPr>
      <t>-3</t>
    </r>
  </si>
  <si>
    <t>Henry coefficients</t>
  </si>
  <si>
    <t>Low limit</t>
  </si>
  <si>
    <t>High limit</t>
  </si>
  <si>
    <r>
      <t>Henry coefficient for O</t>
    </r>
    <r>
      <rPr>
        <vertAlign val="subscript"/>
        <sz val="11"/>
        <rFont val="Calibri"/>
        <family val="2"/>
        <scheme val="minor"/>
      </rPr>
      <t xml:space="preserve">2 </t>
    </r>
    <r>
      <rPr>
        <sz val="11"/>
        <rFont val="Calibri"/>
        <family val="2"/>
        <scheme val="minor"/>
      </rPr>
      <t>@25°C</t>
    </r>
  </si>
  <si>
    <r>
      <t>Temperature dependency factor for O</t>
    </r>
    <r>
      <rPr>
        <vertAlign val="subscript"/>
        <sz val="11"/>
        <rFont val="Calibri"/>
        <family val="2"/>
        <scheme val="minor"/>
      </rPr>
      <t>2</t>
    </r>
    <r>
      <rPr>
        <sz val="11"/>
        <rFont val="Calibri"/>
        <family val="2"/>
        <scheme val="minor"/>
      </rPr>
      <t xml:space="preserve"> Henry coefficient</t>
    </r>
  </si>
  <si>
    <t>K</t>
  </si>
  <si>
    <r>
      <t>Henry coefficient for CO</t>
    </r>
    <r>
      <rPr>
        <vertAlign val="subscript"/>
        <sz val="11"/>
        <rFont val="Calibri"/>
        <family val="2"/>
        <scheme val="minor"/>
      </rPr>
      <t xml:space="preserve">2 </t>
    </r>
    <r>
      <rPr>
        <sz val="11"/>
        <rFont val="Calibri"/>
        <family val="2"/>
        <scheme val="minor"/>
      </rPr>
      <t>@25°C</t>
    </r>
  </si>
  <si>
    <r>
      <t>Temperature dependency factor for N</t>
    </r>
    <r>
      <rPr>
        <vertAlign val="subscript"/>
        <sz val="11"/>
        <rFont val="Calibri"/>
        <family val="2"/>
        <scheme val="minor"/>
      </rPr>
      <t>2</t>
    </r>
    <r>
      <rPr>
        <sz val="11"/>
        <rFont val="Calibri"/>
        <family val="2"/>
        <scheme val="minor"/>
      </rPr>
      <t>O Henry coefficient</t>
    </r>
  </si>
  <si>
    <t>Henry coefficient for NO @25°C</t>
  </si>
  <si>
    <t>Temperature dependency factor for NO Henry coefficient</t>
  </si>
  <si>
    <r>
      <t>Henry coefficient for N</t>
    </r>
    <r>
      <rPr>
        <vertAlign val="subscript"/>
        <sz val="11"/>
        <rFont val="Calibri"/>
        <family val="2"/>
        <scheme val="minor"/>
      </rPr>
      <t>2</t>
    </r>
    <r>
      <rPr>
        <sz val="11"/>
        <rFont val="Calibri"/>
        <family val="2"/>
        <scheme val="minor"/>
      </rPr>
      <t>O @25°C</t>
    </r>
  </si>
  <si>
    <r>
      <t>Henry coefficient for N</t>
    </r>
    <r>
      <rPr>
        <vertAlign val="subscript"/>
        <sz val="11"/>
        <rFont val="Calibri"/>
        <family val="2"/>
        <scheme val="minor"/>
      </rPr>
      <t xml:space="preserve">2 </t>
    </r>
    <r>
      <rPr>
        <sz val="11"/>
        <rFont val="Calibri"/>
        <family val="2"/>
        <scheme val="minor"/>
      </rPr>
      <t>@25°C</t>
    </r>
  </si>
  <si>
    <r>
      <t>Temperature dependency factor for N</t>
    </r>
    <r>
      <rPr>
        <vertAlign val="subscript"/>
        <sz val="11"/>
        <rFont val="Calibri"/>
        <family val="2"/>
        <scheme val="minor"/>
      </rPr>
      <t>2</t>
    </r>
    <r>
      <rPr>
        <sz val="11"/>
        <rFont val="Calibri"/>
        <family val="2"/>
        <scheme val="minor"/>
      </rPr>
      <t xml:space="preserve"> Henry coefficient</t>
    </r>
  </si>
  <si>
    <r>
      <t>Henry coefficient for H</t>
    </r>
    <r>
      <rPr>
        <vertAlign val="subscript"/>
        <sz val="11"/>
        <rFont val="Calibri"/>
        <family val="2"/>
        <scheme val="minor"/>
      </rPr>
      <t xml:space="preserve">2 </t>
    </r>
    <r>
      <rPr>
        <sz val="11"/>
        <rFont val="Calibri"/>
        <family val="2"/>
        <scheme val="minor"/>
      </rPr>
      <t>@25°C</t>
    </r>
  </si>
  <si>
    <r>
      <t>Temperature dependency factor for H</t>
    </r>
    <r>
      <rPr>
        <vertAlign val="subscript"/>
        <sz val="11"/>
        <rFont val="Calibri"/>
        <family val="2"/>
        <scheme val="minor"/>
      </rPr>
      <t>2</t>
    </r>
    <r>
      <rPr>
        <sz val="11"/>
        <rFont val="Calibri"/>
        <family val="2"/>
        <scheme val="minor"/>
      </rPr>
      <t xml:space="preserve"> Henry coefficient</t>
    </r>
  </si>
  <si>
    <r>
      <t>Temperature dependency factor for CH</t>
    </r>
    <r>
      <rPr>
        <vertAlign val="subscript"/>
        <sz val="11"/>
        <rFont val="Calibri"/>
        <family val="2"/>
        <scheme val="minor"/>
      </rPr>
      <t>4</t>
    </r>
    <r>
      <rPr>
        <sz val="11"/>
        <rFont val="Calibri"/>
        <family val="2"/>
        <scheme val="minor"/>
      </rPr>
      <t xml:space="preserve"> Henry coefficient</t>
    </r>
  </si>
  <si>
    <r>
      <t>m</t>
    </r>
    <r>
      <rPr>
        <vertAlign val="superscript"/>
        <sz val="11"/>
        <rFont val="Calibri"/>
        <family val="2"/>
        <scheme val="minor"/>
      </rPr>
      <t>2</t>
    </r>
    <r>
      <rPr>
        <sz val="11"/>
        <rFont val="Calibri"/>
        <family val="2"/>
        <scheme val="minor"/>
      </rPr>
      <t>.d</t>
    </r>
    <r>
      <rPr>
        <vertAlign val="superscript"/>
        <sz val="11"/>
        <rFont val="Calibri"/>
        <family val="2"/>
        <scheme val="minor"/>
      </rPr>
      <t>-1</t>
    </r>
  </si>
  <si>
    <r>
      <t>m</t>
    </r>
    <r>
      <rPr>
        <vertAlign val="superscript"/>
        <sz val="11"/>
        <rFont val="Calibri"/>
        <family val="2"/>
      </rPr>
      <t>2</t>
    </r>
    <r>
      <rPr>
        <sz val="11"/>
        <rFont val="Calibri"/>
        <family val="2"/>
      </rPr>
      <t>.d</t>
    </r>
    <r>
      <rPr>
        <vertAlign val="superscript"/>
        <sz val="11"/>
        <rFont val="Calibri"/>
        <family val="2"/>
      </rPr>
      <t>-1</t>
    </r>
  </si>
  <si>
    <t>Physical constants - water</t>
  </si>
  <si>
    <r>
      <t>A</t>
    </r>
    <r>
      <rPr>
        <vertAlign val="subscript"/>
        <sz val="11"/>
        <rFont val="Calibri"/>
        <family val="2"/>
        <scheme val="minor"/>
      </rPr>
      <t>H2O</t>
    </r>
  </si>
  <si>
    <t>Antoine constant 'A'</t>
  </si>
  <si>
    <r>
      <t>B</t>
    </r>
    <r>
      <rPr>
        <vertAlign val="subscript"/>
        <sz val="11"/>
        <rFont val="Calibri"/>
        <family val="2"/>
        <scheme val="minor"/>
      </rPr>
      <t>H2O</t>
    </r>
  </si>
  <si>
    <t>Antoine constant 'B'</t>
  </si>
  <si>
    <r>
      <t>C</t>
    </r>
    <r>
      <rPr>
        <vertAlign val="subscript"/>
        <sz val="11"/>
        <rFont val="Calibri"/>
        <family val="2"/>
        <scheme val="minor"/>
      </rPr>
      <t>H2O</t>
    </r>
  </si>
  <si>
    <t>Antoine constant 'C'</t>
  </si>
  <si>
    <r>
      <rPr>
        <sz val="11"/>
        <rFont val="Calibri"/>
        <family val="2"/>
      </rPr>
      <t>ρ</t>
    </r>
    <r>
      <rPr>
        <vertAlign val="subscript"/>
        <sz val="11"/>
        <rFont val="Calibri"/>
        <family val="2"/>
        <scheme val="minor"/>
      </rPr>
      <t>H2O</t>
    </r>
  </si>
  <si>
    <t>Physical constants - air</t>
  </si>
  <si>
    <r>
      <t>f</t>
    </r>
    <r>
      <rPr>
        <vertAlign val="subscript"/>
        <sz val="11"/>
        <rFont val="Calibri"/>
        <family val="2"/>
      </rPr>
      <t>O2,air</t>
    </r>
  </si>
  <si>
    <t>Oxygen content of air</t>
  </si>
  <si>
    <r>
      <t>m</t>
    </r>
    <r>
      <rPr>
        <vertAlign val="superscript"/>
        <sz val="11"/>
        <rFont val="Calibri"/>
        <family val="2"/>
      </rPr>
      <t>3</t>
    </r>
    <r>
      <rPr>
        <sz val="11"/>
        <rFont val="Calibri"/>
        <family val="2"/>
      </rPr>
      <t>.m</t>
    </r>
    <r>
      <rPr>
        <vertAlign val="superscript"/>
        <sz val="11"/>
        <rFont val="Calibri"/>
        <family val="2"/>
      </rPr>
      <t>-3</t>
    </r>
  </si>
  <si>
    <r>
      <t>f</t>
    </r>
    <r>
      <rPr>
        <vertAlign val="subscript"/>
        <sz val="11"/>
        <rFont val="Calibri"/>
        <family val="2"/>
      </rPr>
      <t>N2,air</t>
    </r>
  </si>
  <si>
    <t>Nitrogen content of air</t>
  </si>
  <si>
    <r>
      <t>f</t>
    </r>
    <r>
      <rPr>
        <vertAlign val="subscript"/>
        <sz val="11"/>
        <rFont val="Calibri"/>
        <family val="2"/>
      </rPr>
      <t>Ar,air</t>
    </r>
  </si>
  <si>
    <t>Argon content of air</t>
  </si>
  <si>
    <r>
      <t>f</t>
    </r>
    <r>
      <rPr>
        <vertAlign val="subscript"/>
        <sz val="11"/>
        <rFont val="Calibri"/>
        <family val="2"/>
      </rPr>
      <t>CO2,air</t>
    </r>
  </si>
  <si>
    <t>Carbon dioxide content of air</t>
  </si>
  <si>
    <t>Physical constants</t>
  </si>
  <si>
    <t>R</t>
  </si>
  <si>
    <t>Ideal gas constant</t>
  </si>
  <si>
    <r>
      <t>J.mol</t>
    </r>
    <r>
      <rPr>
        <vertAlign val="superscript"/>
        <sz val="11"/>
        <rFont val="Calibri"/>
        <family val="2"/>
        <scheme val="minor"/>
      </rPr>
      <t>-1</t>
    </r>
    <r>
      <rPr>
        <sz val="11"/>
        <rFont val="Calibri"/>
        <family val="2"/>
        <scheme val="minor"/>
      </rPr>
      <t>.K</t>
    </r>
    <r>
      <rPr>
        <vertAlign val="superscript"/>
        <sz val="11"/>
        <rFont val="Calibri"/>
        <family val="2"/>
        <scheme val="minor"/>
      </rPr>
      <t>-1</t>
    </r>
  </si>
  <si>
    <t>F</t>
  </si>
  <si>
    <t>Faraday constant</t>
  </si>
  <si>
    <r>
      <t>C.mol</t>
    </r>
    <r>
      <rPr>
        <vertAlign val="superscript"/>
        <sz val="11"/>
        <rFont val="Calibri"/>
        <family val="2"/>
        <scheme val="minor"/>
      </rPr>
      <t>-1</t>
    </r>
  </si>
  <si>
    <r>
      <t>g</t>
    </r>
    <r>
      <rPr>
        <vertAlign val="subscript"/>
        <sz val="11"/>
        <rFont val="Calibri"/>
        <family val="2"/>
        <scheme val="minor"/>
      </rPr>
      <t>grav</t>
    </r>
  </si>
  <si>
    <t>Gravity acceleration constant</t>
  </si>
  <si>
    <r>
      <t>m.s</t>
    </r>
    <r>
      <rPr>
        <vertAlign val="superscript"/>
        <sz val="11"/>
        <rFont val="Calibri"/>
        <family val="2"/>
        <scheme val="minor"/>
      </rPr>
      <t>-2</t>
    </r>
  </si>
  <si>
    <t>Mathematical constants</t>
  </si>
  <si>
    <t>pi</t>
  </si>
  <si>
    <t>Pi number</t>
  </si>
  <si>
    <t>Atomic masses</t>
  </si>
  <si>
    <r>
      <t>AM</t>
    </r>
    <r>
      <rPr>
        <vertAlign val="subscript"/>
        <sz val="11"/>
        <rFont val="Calibri"/>
        <family val="2"/>
        <scheme val="minor"/>
      </rPr>
      <t>He</t>
    </r>
  </si>
  <si>
    <t>Atomic mass of helium</t>
  </si>
  <si>
    <r>
      <t>AM</t>
    </r>
    <r>
      <rPr>
        <vertAlign val="subscript"/>
        <sz val="11"/>
        <rFont val="Calibri"/>
        <family val="2"/>
        <scheme val="minor"/>
      </rPr>
      <t>Li</t>
    </r>
  </si>
  <si>
    <t>Atomic mass of lithium</t>
  </si>
  <si>
    <r>
      <t>AM</t>
    </r>
    <r>
      <rPr>
        <vertAlign val="subscript"/>
        <sz val="11"/>
        <rFont val="Calibri"/>
        <family val="2"/>
        <scheme val="minor"/>
      </rPr>
      <t>Be</t>
    </r>
  </si>
  <si>
    <t>Atomic mass of beryllium</t>
  </si>
  <si>
    <r>
      <t>AM</t>
    </r>
    <r>
      <rPr>
        <vertAlign val="subscript"/>
        <sz val="11"/>
        <rFont val="Calibri"/>
        <family val="2"/>
        <scheme val="minor"/>
      </rPr>
      <t>B</t>
    </r>
  </si>
  <si>
    <t>Atomic mass of boron</t>
  </si>
  <si>
    <r>
      <t>AM</t>
    </r>
    <r>
      <rPr>
        <vertAlign val="subscript"/>
        <sz val="11"/>
        <rFont val="Calibri"/>
        <family val="2"/>
        <scheme val="minor"/>
      </rPr>
      <t>F</t>
    </r>
  </si>
  <si>
    <t>Atomic mass of fluorine</t>
  </si>
  <si>
    <r>
      <t>AM</t>
    </r>
    <r>
      <rPr>
        <vertAlign val="subscript"/>
        <sz val="11"/>
        <rFont val="Calibri"/>
        <family val="2"/>
        <scheme val="minor"/>
      </rPr>
      <t>Ne</t>
    </r>
  </si>
  <si>
    <t>Atomic mass of neon</t>
  </si>
  <si>
    <r>
      <t>AM</t>
    </r>
    <r>
      <rPr>
        <vertAlign val="subscript"/>
        <sz val="11"/>
        <rFont val="Calibri"/>
        <family val="2"/>
        <scheme val="minor"/>
      </rPr>
      <t>Mg</t>
    </r>
  </si>
  <si>
    <t>Atomic mass of magnesium</t>
  </si>
  <si>
    <r>
      <t>AM</t>
    </r>
    <r>
      <rPr>
        <vertAlign val="subscript"/>
        <sz val="11"/>
        <rFont val="Calibri"/>
        <family val="2"/>
        <scheme val="minor"/>
      </rPr>
      <t>Si</t>
    </r>
  </si>
  <si>
    <t>Atomic mass of silicon</t>
  </si>
  <si>
    <r>
      <t>AM</t>
    </r>
    <r>
      <rPr>
        <vertAlign val="subscript"/>
        <sz val="11"/>
        <rFont val="Calibri"/>
        <family val="2"/>
        <scheme val="minor"/>
      </rPr>
      <t>S</t>
    </r>
  </si>
  <si>
    <t>Atomic mass of sulphur</t>
  </si>
  <si>
    <r>
      <t>AM</t>
    </r>
    <r>
      <rPr>
        <vertAlign val="subscript"/>
        <sz val="11"/>
        <rFont val="Calibri"/>
        <family val="2"/>
        <scheme val="minor"/>
      </rPr>
      <t>Ar</t>
    </r>
  </si>
  <si>
    <t>Atomic mass of argon</t>
  </si>
  <si>
    <r>
      <t>AM</t>
    </r>
    <r>
      <rPr>
        <vertAlign val="subscript"/>
        <sz val="11"/>
        <rFont val="Calibri"/>
        <family val="2"/>
        <scheme val="minor"/>
      </rPr>
      <t>K</t>
    </r>
  </si>
  <si>
    <t>Atomic mass of potassium</t>
  </si>
  <si>
    <r>
      <t>AM</t>
    </r>
    <r>
      <rPr>
        <vertAlign val="subscript"/>
        <sz val="11"/>
        <rFont val="Calibri"/>
        <family val="2"/>
        <scheme val="minor"/>
      </rPr>
      <t>Sc</t>
    </r>
  </si>
  <si>
    <t>Atomic mass of scandium</t>
  </si>
  <si>
    <r>
      <t>AM</t>
    </r>
    <r>
      <rPr>
        <vertAlign val="subscript"/>
        <sz val="11"/>
        <rFont val="Calibri"/>
        <family val="2"/>
        <scheme val="minor"/>
      </rPr>
      <t>Ti</t>
    </r>
  </si>
  <si>
    <t>Atomic mass of titanium</t>
  </si>
  <si>
    <r>
      <t>AM</t>
    </r>
    <r>
      <rPr>
        <vertAlign val="subscript"/>
        <sz val="11"/>
        <rFont val="Calibri"/>
        <family val="2"/>
        <scheme val="minor"/>
      </rPr>
      <t>V</t>
    </r>
  </si>
  <si>
    <t>Atomic mass of vanadium</t>
  </si>
  <si>
    <r>
      <t>AM</t>
    </r>
    <r>
      <rPr>
        <vertAlign val="subscript"/>
        <sz val="11"/>
        <rFont val="Calibri"/>
        <family val="2"/>
        <scheme val="minor"/>
      </rPr>
      <t>Cr</t>
    </r>
  </si>
  <si>
    <t>Atomic mass of chromium</t>
  </si>
  <si>
    <r>
      <t>AM</t>
    </r>
    <r>
      <rPr>
        <vertAlign val="subscript"/>
        <sz val="11"/>
        <rFont val="Calibri"/>
        <family val="2"/>
        <scheme val="minor"/>
      </rPr>
      <t>Mn</t>
    </r>
  </si>
  <si>
    <t>Atomic mass of manganese</t>
  </si>
  <si>
    <r>
      <t>AM</t>
    </r>
    <r>
      <rPr>
        <vertAlign val="subscript"/>
        <sz val="11"/>
        <rFont val="Calibri"/>
        <family val="2"/>
        <scheme val="minor"/>
      </rPr>
      <t>Co</t>
    </r>
  </si>
  <si>
    <t>Atomic mass of cobalt</t>
  </si>
  <si>
    <r>
      <t>AM</t>
    </r>
    <r>
      <rPr>
        <vertAlign val="subscript"/>
        <sz val="11"/>
        <rFont val="Calibri"/>
        <family val="2"/>
        <scheme val="minor"/>
      </rPr>
      <t>Ni</t>
    </r>
  </si>
  <si>
    <t>Atomic mass of nickel</t>
  </si>
  <si>
    <r>
      <t>AM</t>
    </r>
    <r>
      <rPr>
        <vertAlign val="subscript"/>
        <sz val="11"/>
        <rFont val="Calibri"/>
        <family val="2"/>
        <scheme val="minor"/>
      </rPr>
      <t>Cu</t>
    </r>
  </si>
  <si>
    <t>Atomic mass of copper</t>
  </si>
  <si>
    <r>
      <t>AM</t>
    </r>
    <r>
      <rPr>
        <vertAlign val="subscript"/>
        <sz val="11"/>
        <rFont val="Calibri"/>
        <family val="2"/>
        <scheme val="minor"/>
      </rPr>
      <t>Zn</t>
    </r>
  </si>
  <si>
    <t>Atomic mass of zinc</t>
  </si>
  <si>
    <r>
      <t>AM</t>
    </r>
    <r>
      <rPr>
        <vertAlign val="subscript"/>
        <sz val="11"/>
        <rFont val="Calibri"/>
        <family val="2"/>
        <scheme val="minor"/>
      </rPr>
      <t>Ga</t>
    </r>
  </si>
  <si>
    <t>Atomic mass of gallium</t>
  </si>
  <si>
    <r>
      <t>AM</t>
    </r>
    <r>
      <rPr>
        <vertAlign val="subscript"/>
        <sz val="11"/>
        <rFont val="Calibri"/>
        <family val="2"/>
        <scheme val="minor"/>
      </rPr>
      <t>Ge</t>
    </r>
  </si>
  <si>
    <t>Atomic mass of germanium</t>
  </si>
  <si>
    <r>
      <t>AM</t>
    </r>
    <r>
      <rPr>
        <vertAlign val="subscript"/>
        <sz val="11"/>
        <rFont val="Calibri"/>
        <family val="2"/>
        <scheme val="minor"/>
      </rPr>
      <t>As</t>
    </r>
  </si>
  <si>
    <t>Atomic mass of arsenic</t>
  </si>
  <si>
    <r>
      <t>AM</t>
    </r>
    <r>
      <rPr>
        <vertAlign val="subscript"/>
        <sz val="11"/>
        <rFont val="Calibri"/>
        <family val="2"/>
        <scheme val="minor"/>
      </rPr>
      <t>Se</t>
    </r>
  </si>
  <si>
    <t>Atomic mass of selenium</t>
  </si>
  <si>
    <r>
      <t>AM</t>
    </r>
    <r>
      <rPr>
        <vertAlign val="subscript"/>
        <sz val="11"/>
        <rFont val="Calibri"/>
        <family val="2"/>
        <scheme val="minor"/>
      </rPr>
      <t>Br</t>
    </r>
  </si>
  <si>
    <t>Atomic mass of bromine</t>
  </si>
  <si>
    <r>
      <t>AM</t>
    </r>
    <r>
      <rPr>
        <vertAlign val="subscript"/>
        <sz val="11"/>
        <rFont val="Calibri"/>
        <family val="2"/>
        <scheme val="minor"/>
      </rPr>
      <t>Kr</t>
    </r>
  </si>
  <si>
    <t>Atomic mass of krypton</t>
  </si>
  <si>
    <r>
      <t>AM</t>
    </r>
    <r>
      <rPr>
        <vertAlign val="subscript"/>
        <sz val="11"/>
        <rFont val="Calibri"/>
        <family val="2"/>
        <scheme val="minor"/>
      </rPr>
      <t>Rb</t>
    </r>
  </si>
  <si>
    <t>Atomic mass of rubidium</t>
  </si>
  <si>
    <r>
      <t>AM</t>
    </r>
    <r>
      <rPr>
        <vertAlign val="subscript"/>
        <sz val="11"/>
        <rFont val="Calibri"/>
        <family val="2"/>
        <scheme val="minor"/>
      </rPr>
      <t>Sr</t>
    </r>
  </si>
  <si>
    <t>Atomic mass of strontium</t>
  </si>
  <si>
    <r>
      <t>AM</t>
    </r>
    <r>
      <rPr>
        <vertAlign val="subscript"/>
        <sz val="11"/>
        <rFont val="Calibri"/>
        <family val="2"/>
        <scheme val="minor"/>
      </rPr>
      <t>Y</t>
    </r>
  </si>
  <si>
    <t>Atomic mass of yttrium</t>
  </si>
  <si>
    <r>
      <t>AM</t>
    </r>
    <r>
      <rPr>
        <vertAlign val="subscript"/>
        <sz val="11"/>
        <rFont val="Calibri"/>
        <family val="2"/>
        <scheme val="minor"/>
      </rPr>
      <t>Zr</t>
    </r>
  </si>
  <si>
    <t>Atomic mass of zirconium</t>
  </si>
  <si>
    <r>
      <t>AM</t>
    </r>
    <r>
      <rPr>
        <vertAlign val="subscript"/>
        <sz val="11"/>
        <rFont val="Calibri"/>
        <family val="2"/>
        <scheme val="minor"/>
      </rPr>
      <t>Nb</t>
    </r>
  </si>
  <si>
    <t>Atomic mass of niobium</t>
  </si>
  <si>
    <r>
      <t>AM</t>
    </r>
    <r>
      <rPr>
        <vertAlign val="subscript"/>
        <sz val="11"/>
        <rFont val="Calibri"/>
        <family val="2"/>
        <scheme val="minor"/>
      </rPr>
      <t>Mo</t>
    </r>
  </si>
  <si>
    <t>Atomic mass of molybdenum</t>
  </si>
  <si>
    <r>
      <t>AM</t>
    </r>
    <r>
      <rPr>
        <vertAlign val="subscript"/>
        <sz val="11"/>
        <rFont val="Calibri"/>
        <family val="2"/>
        <scheme val="minor"/>
      </rPr>
      <t>Tc</t>
    </r>
  </si>
  <si>
    <t>Atomic mass of technetium</t>
  </si>
  <si>
    <r>
      <t>AM</t>
    </r>
    <r>
      <rPr>
        <vertAlign val="subscript"/>
        <sz val="11"/>
        <rFont val="Calibri"/>
        <family val="2"/>
        <scheme val="minor"/>
      </rPr>
      <t>Ru</t>
    </r>
  </si>
  <si>
    <t>Atomic mass of ruthenium</t>
  </si>
  <si>
    <r>
      <t>AM</t>
    </r>
    <r>
      <rPr>
        <vertAlign val="subscript"/>
        <sz val="11"/>
        <rFont val="Calibri"/>
        <family val="2"/>
        <scheme val="minor"/>
      </rPr>
      <t>Rh</t>
    </r>
  </si>
  <si>
    <t>Atomic mass of rhodium</t>
  </si>
  <si>
    <r>
      <t>AM</t>
    </r>
    <r>
      <rPr>
        <vertAlign val="subscript"/>
        <sz val="11"/>
        <rFont val="Calibri"/>
        <family val="2"/>
        <scheme val="minor"/>
      </rPr>
      <t>Pd</t>
    </r>
  </si>
  <si>
    <t>Atomic mass of palladium</t>
  </si>
  <si>
    <r>
      <t>AM</t>
    </r>
    <r>
      <rPr>
        <vertAlign val="subscript"/>
        <sz val="11"/>
        <rFont val="Calibri"/>
        <family val="2"/>
        <scheme val="minor"/>
      </rPr>
      <t>Ag</t>
    </r>
  </si>
  <si>
    <t>Atomic mass of silver</t>
  </si>
  <si>
    <r>
      <t>AM</t>
    </r>
    <r>
      <rPr>
        <vertAlign val="subscript"/>
        <sz val="11"/>
        <rFont val="Calibri"/>
        <family val="2"/>
        <scheme val="minor"/>
      </rPr>
      <t>Cd</t>
    </r>
  </si>
  <si>
    <t>Atomic mass of cadmium</t>
  </si>
  <si>
    <r>
      <t>AM</t>
    </r>
    <r>
      <rPr>
        <vertAlign val="subscript"/>
        <sz val="11"/>
        <rFont val="Calibri"/>
        <family val="2"/>
        <scheme val="minor"/>
      </rPr>
      <t>In</t>
    </r>
  </si>
  <si>
    <t>Atomic mass of indium</t>
  </si>
  <si>
    <r>
      <t>AM</t>
    </r>
    <r>
      <rPr>
        <vertAlign val="subscript"/>
        <sz val="11"/>
        <rFont val="Calibri"/>
        <family val="2"/>
        <scheme val="minor"/>
      </rPr>
      <t>Sn</t>
    </r>
  </si>
  <si>
    <t>Atomic mass of tin</t>
  </si>
  <si>
    <r>
      <t>AM</t>
    </r>
    <r>
      <rPr>
        <vertAlign val="subscript"/>
        <sz val="11"/>
        <rFont val="Calibri"/>
        <family val="2"/>
        <scheme val="minor"/>
      </rPr>
      <t>Sb</t>
    </r>
  </si>
  <si>
    <t>Atomic mass of antimony</t>
  </si>
  <si>
    <r>
      <t>AM</t>
    </r>
    <r>
      <rPr>
        <vertAlign val="subscript"/>
        <sz val="11"/>
        <rFont val="Calibri"/>
        <family val="2"/>
        <scheme val="minor"/>
      </rPr>
      <t>Te</t>
    </r>
  </si>
  <si>
    <t>Atomic mass of tellurium</t>
  </si>
  <si>
    <r>
      <t>AM</t>
    </r>
    <r>
      <rPr>
        <vertAlign val="subscript"/>
        <sz val="11"/>
        <rFont val="Calibri"/>
        <family val="2"/>
        <scheme val="minor"/>
      </rPr>
      <t>I</t>
    </r>
  </si>
  <si>
    <t>Atomic mass of iodine</t>
  </si>
  <si>
    <r>
      <t>AM</t>
    </r>
    <r>
      <rPr>
        <vertAlign val="subscript"/>
        <sz val="11"/>
        <rFont val="Calibri"/>
        <family val="2"/>
        <scheme val="minor"/>
      </rPr>
      <t>Xe</t>
    </r>
  </si>
  <si>
    <t>Atomic mass of xenon</t>
  </si>
  <si>
    <r>
      <t>AM</t>
    </r>
    <r>
      <rPr>
        <vertAlign val="subscript"/>
        <sz val="11"/>
        <rFont val="Calibri"/>
        <family val="2"/>
        <scheme val="minor"/>
      </rPr>
      <t>Cs</t>
    </r>
  </si>
  <si>
    <t>Atomic mass of cesium</t>
  </si>
  <si>
    <r>
      <t>AM</t>
    </r>
    <r>
      <rPr>
        <vertAlign val="subscript"/>
        <sz val="11"/>
        <rFont val="Calibri"/>
        <family val="2"/>
        <scheme val="minor"/>
      </rPr>
      <t>Ba</t>
    </r>
  </si>
  <si>
    <t>Atomic mass of barium</t>
  </si>
  <si>
    <r>
      <t>AM</t>
    </r>
    <r>
      <rPr>
        <vertAlign val="subscript"/>
        <sz val="11"/>
        <rFont val="Calibri"/>
        <family val="2"/>
        <scheme val="minor"/>
      </rPr>
      <t>La</t>
    </r>
  </si>
  <si>
    <t>Atomic mass of lanthanum</t>
  </si>
  <si>
    <r>
      <t>AM</t>
    </r>
    <r>
      <rPr>
        <vertAlign val="subscript"/>
        <sz val="11"/>
        <rFont val="Calibri"/>
        <family val="2"/>
        <scheme val="minor"/>
      </rPr>
      <t>Ce</t>
    </r>
  </si>
  <si>
    <t>Atomic mass of cerium</t>
  </si>
  <si>
    <r>
      <t>AM</t>
    </r>
    <r>
      <rPr>
        <vertAlign val="subscript"/>
        <sz val="11"/>
        <rFont val="Calibri"/>
        <family val="2"/>
        <scheme val="minor"/>
      </rPr>
      <t>Pr</t>
    </r>
  </si>
  <si>
    <t>Atomic mass of praseodymium</t>
  </si>
  <si>
    <r>
      <t>AM</t>
    </r>
    <r>
      <rPr>
        <vertAlign val="subscript"/>
        <sz val="11"/>
        <rFont val="Calibri"/>
        <family val="2"/>
        <scheme val="minor"/>
      </rPr>
      <t>Nd</t>
    </r>
  </si>
  <si>
    <t>Atomic mass of neodymium</t>
  </si>
  <si>
    <r>
      <t>AM</t>
    </r>
    <r>
      <rPr>
        <vertAlign val="subscript"/>
        <sz val="11"/>
        <rFont val="Calibri"/>
        <family val="2"/>
        <scheme val="minor"/>
      </rPr>
      <t>Pm</t>
    </r>
  </si>
  <si>
    <t>Atomic mass of promethium</t>
  </si>
  <si>
    <r>
      <t>AM</t>
    </r>
    <r>
      <rPr>
        <vertAlign val="subscript"/>
        <sz val="11"/>
        <rFont val="Calibri"/>
        <family val="2"/>
        <scheme val="minor"/>
      </rPr>
      <t>Sm</t>
    </r>
  </si>
  <si>
    <t>Atomic mass of samarium</t>
  </si>
  <si>
    <r>
      <t>AM</t>
    </r>
    <r>
      <rPr>
        <vertAlign val="subscript"/>
        <sz val="11"/>
        <rFont val="Calibri"/>
        <family val="2"/>
        <scheme val="minor"/>
      </rPr>
      <t>Eu</t>
    </r>
  </si>
  <si>
    <t>Atomic mass of europium</t>
  </si>
  <si>
    <r>
      <t>AM</t>
    </r>
    <r>
      <rPr>
        <vertAlign val="subscript"/>
        <sz val="11"/>
        <rFont val="Calibri"/>
        <family val="2"/>
        <scheme val="minor"/>
      </rPr>
      <t>Gd</t>
    </r>
  </si>
  <si>
    <t>Atomic mass of gadolinium</t>
  </si>
  <si>
    <r>
      <t>AM</t>
    </r>
    <r>
      <rPr>
        <vertAlign val="subscript"/>
        <sz val="11"/>
        <rFont val="Calibri"/>
        <family val="2"/>
        <scheme val="minor"/>
      </rPr>
      <t>Tb</t>
    </r>
  </si>
  <si>
    <t>Atomic mass of terbium</t>
  </si>
  <si>
    <r>
      <t>AM</t>
    </r>
    <r>
      <rPr>
        <vertAlign val="subscript"/>
        <sz val="11"/>
        <rFont val="Calibri"/>
        <family val="2"/>
        <scheme val="minor"/>
      </rPr>
      <t>Dy</t>
    </r>
  </si>
  <si>
    <t>Atomic mass of dysprosium</t>
  </si>
  <si>
    <r>
      <t>AM</t>
    </r>
    <r>
      <rPr>
        <vertAlign val="subscript"/>
        <sz val="11"/>
        <rFont val="Calibri"/>
        <family val="2"/>
        <scheme val="minor"/>
      </rPr>
      <t>Ho</t>
    </r>
  </si>
  <si>
    <t>Atomic mass of holmium</t>
  </si>
  <si>
    <r>
      <t>AM</t>
    </r>
    <r>
      <rPr>
        <vertAlign val="subscript"/>
        <sz val="11"/>
        <rFont val="Calibri"/>
        <family val="2"/>
        <scheme val="minor"/>
      </rPr>
      <t>Er</t>
    </r>
  </si>
  <si>
    <t>Atomic mass of erbium</t>
  </si>
  <si>
    <r>
      <t>AM</t>
    </r>
    <r>
      <rPr>
        <vertAlign val="subscript"/>
        <sz val="11"/>
        <rFont val="Calibri"/>
        <family val="2"/>
        <scheme val="minor"/>
      </rPr>
      <t>Tm</t>
    </r>
  </si>
  <si>
    <t>Atomic mass of thulium</t>
  </si>
  <si>
    <r>
      <t>AM</t>
    </r>
    <r>
      <rPr>
        <vertAlign val="subscript"/>
        <sz val="11"/>
        <rFont val="Calibri"/>
        <family val="2"/>
        <scheme val="minor"/>
      </rPr>
      <t>Yb</t>
    </r>
  </si>
  <si>
    <t>Atomic mass of ytterbium</t>
  </si>
  <si>
    <r>
      <t>AM</t>
    </r>
    <r>
      <rPr>
        <vertAlign val="subscript"/>
        <sz val="11"/>
        <rFont val="Calibri"/>
        <family val="2"/>
        <scheme val="minor"/>
      </rPr>
      <t>Lu</t>
    </r>
  </si>
  <si>
    <t>Atomic mass of lutetium</t>
  </si>
  <si>
    <r>
      <t>AM</t>
    </r>
    <r>
      <rPr>
        <vertAlign val="subscript"/>
        <sz val="11"/>
        <rFont val="Calibri"/>
        <family val="2"/>
        <scheme val="minor"/>
      </rPr>
      <t>Hf</t>
    </r>
  </si>
  <si>
    <t>Atomic mass of hafnium</t>
  </si>
  <si>
    <r>
      <t>AM</t>
    </r>
    <r>
      <rPr>
        <vertAlign val="subscript"/>
        <sz val="11"/>
        <rFont val="Calibri"/>
        <family val="2"/>
        <scheme val="minor"/>
      </rPr>
      <t>Ta</t>
    </r>
  </si>
  <si>
    <t xml:space="preserve">Atomic mass of tantalum </t>
  </si>
  <si>
    <r>
      <t>AM</t>
    </r>
    <r>
      <rPr>
        <vertAlign val="subscript"/>
        <sz val="11"/>
        <rFont val="Calibri"/>
        <family val="2"/>
        <scheme val="minor"/>
      </rPr>
      <t>W</t>
    </r>
  </si>
  <si>
    <t>Atomic mass of tungsten</t>
  </si>
  <si>
    <r>
      <t>AM</t>
    </r>
    <r>
      <rPr>
        <vertAlign val="subscript"/>
        <sz val="11"/>
        <rFont val="Calibri"/>
        <family val="2"/>
        <scheme val="minor"/>
      </rPr>
      <t>Re</t>
    </r>
  </si>
  <si>
    <t>Atomic mass of rhenium</t>
  </si>
  <si>
    <r>
      <t>AM</t>
    </r>
    <r>
      <rPr>
        <vertAlign val="subscript"/>
        <sz val="11"/>
        <rFont val="Calibri"/>
        <family val="2"/>
        <scheme val="minor"/>
      </rPr>
      <t>Os</t>
    </r>
  </si>
  <si>
    <t>Atomic mass of osmium</t>
  </si>
  <si>
    <r>
      <t>AM</t>
    </r>
    <r>
      <rPr>
        <vertAlign val="subscript"/>
        <sz val="11"/>
        <rFont val="Calibri"/>
        <family val="2"/>
        <scheme val="minor"/>
      </rPr>
      <t>Ir</t>
    </r>
  </si>
  <si>
    <t>Atomic mass of iridium</t>
  </si>
  <si>
    <r>
      <t>AM</t>
    </r>
    <r>
      <rPr>
        <vertAlign val="subscript"/>
        <sz val="11"/>
        <rFont val="Calibri"/>
        <family val="2"/>
        <scheme val="minor"/>
      </rPr>
      <t>Pt</t>
    </r>
  </si>
  <si>
    <t>Atomic mass of platinum</t>
  </si>
  <si>
    <r>
      <t>AM</t>
    </r>
    <r>
      <rPr>
        <vertAlign val="subscript"/>
        <sz val="11"/>
        <rFont val="Calibri"/>
        <family val="2"/>
        <scheme val="minor"/>
      </rPr>
      <t>Au</t>
    </r>
  </si>
  <si>
    <t>Atomic mass of gold</t>
  </si>
  <si>
    <r>
      <t>AM</t>
    </r>
    <r>
      <rPr>
        <vertAlign val="subscript"/>
        <sz val="11"/>
        <rFont val="Calibri"/>
        <family val="2"/>
        <scheme val="minor"/>
      </rPr>
      <t>Hg</t>
    </r>
  </si>
  <si>
    <t>Atomic mass of mercury</t>
  </si>
  <si>
    <r>
      <t>AM</t>
    </r>
    <r>
      <rPr>
        <vertAlign val="subscript"/>
        <sz val="11"/>
        <rFont val="Calibri"/>
        <family val="2"/>
        <scheme val="minor"/>
      </rPr>
      <t>Tl</t>
    </r>
  </si>
  <si>
    <t>Atomic mass of thallium</t>
  </si>
  <si>
    <r>
      <t>AM</t>
    </r>
    <r>
      <rPr>
        <vertAlign val="subscript"/>
        <sz val="11"/>
        <rFont val="Calibri"/>
        <family val="2"/>
        <scheme val="minor"/>
      </rPr>
      <t>Pb</t>
    </r>
  </si>
  <si>
    <t>Atomic mass of lead</t>
  </si>
  <si>
    <r>
      <t>AM</t>
    </r>
    <r>
      <rPr>
        <vertAlign val="subscript"/>
        <sz val="11"/>
        <rFont val="Calibri"/>
        <family val="2"/>
        <scheme val="minor"/>
      </rPr>
      <t>Bi</t>
    </r>
  </si>
  <si>
    <t>Atomic mass of bismuth</t>
  </si>
  <si>
    <r>
      <t>AM</t>
    </r>
    <r>
      <rPr>
        <vertAlign val="subscript"/>
        <sz val="11"/>
        <rFont val="Calibri"/>
        <family val="2"/>
        <scheme val="minor"/>
      </rPr>
      <t>Po</t>
    </r>
  </si>
  <si>
    <t>Atomic mass of polonium</t>
  </si>
  <si>
    <r>
      <t>AM</t>
    </r>
    <r>
      <rPr>
        <vertAlign val="subscript"/>
        <sz val="11"/>
        <rFont val="Calibri"/>
        <family val="2"/>
        <scheme val="minor"/>
      </rPr>
      <t>At</t>
    </r>
  </si>
  <si>
    <t>Atomic mass of astatine</t>
  </si>
  <si>
    <r>
      <t>AM</t>
    </r>
    <r>
      <rPr>
        <vertAlign val="subscript"/>
        <sz val="11"/>
        <rFont val="Calibri"/>
        <family val="2"/>
        <scheme val="minor"/>
      </rPr>
      <t>Rn</t>
    </r>
  </si>
  <si>
    <t>Atomic mass of radon</t>
  </si>
  <si>
    <r>
      <t>AM</t>
    </r>
    <r>
      <rPr>
        <vertAlign val="subscript"/>
        <sz val="11"/>
        <rFont val="Calibri"/>
        <family val="2"/>
        <scheme val="minor"/>
      </rPr>
      <t>Fr</t>
    </r>
  </si>
  <si>
    <t>Atomic mass of francium</t>
  </si>
  <si>
    <r>
      <t>AM</t>
    </r>
    <r>
      <rPr>
        <vertAlign val="subscript"/>
        <sz val="11"/>
        <rFont val="Calibri"/>
        <family val="2"/>
        <scheme val="minor"/>
      </rPr>
      <t>Ra</t>
    </r>
  </si>
  <si>
    <t>Atomic mass of radium</t>
  </si>
  <si>
    <r>
      <t>AM</t>
    </r>
    <r>
      <rPr>
        <vertAlign val="subscript"/>
        <sz val="11"/>
        <rFont val="Calibri"/>
        <family val="2"/>
        <scheme val="minor"/>
      </rPr>
      <t>Ac</t>
    </r>
  </si>
  <si>
    <t>Atomic mass of actinium</t>
  </si>
  <si>
    <r>
      <t>AM</t>
    </r>
    <r>
      <rPr>
        <vertAlign val="subscript"/>
        <sz val="11"/>
        <rFont val="Calibri"/>
        <family val="2"/>
        <scheme val="minor"/>
      </rPr>
      <t>Th</t>
    </r>
  </si>
  <si>
    <t>Atomic mass of thorium</t>
  </si>
  <si>
    <r>
      <t>AM</t>
    </r>
    <r>
      <rPr>
        <vertAlign val="subscript"/>
        <sz val="11"/>
        <rFont val="Calibri"/>
        <family val="2"/>
        <scheme val="minor"/>
      </rPr>
      <t>Pa</t>
    </r>
  </si>
  <si>
    <t>Atomic mass of protactinium</t>
  </si>
  <si>
    <r>
      <t>AM</t>
    </r>
    <r>
      <rPr>
        <vertAlign val="subscript"/>
        <sz val="11"/>
        <rFont val="Calibri"/>
        <family val="2"/>
        <scheme val="minor"/>
      </rPr>
      <t>U</t>
    </r>
  </si>
  <si>
    <t>Atomic mass of uranium</t>
  </si>
  <si>
    <r>
      <t>AM</t>
    </r>
    <r>
      <rPr>
        <vertAlign val="subscript"/>
        <sz val="11"/>
        <rFont val="Calibri"/>
        <family val="2"/>
        <scheme val="minor"/>
      </rPr>
      <t>Np</t>
    </r>
  </si>
  <si>
    <t>Atomic mass of neptunium</t>
  </si>
  <si>
    <r>
      <t>AM</t>
    </r>
    <r>
      <rPr>
        <vertAlign val="subscript"/>
        <sz val="11"/>
        <rFont val="Calibri"/>
        <family val="2"/>
        <scheme val="minor"/>
      </rPr>
      <t>Pu</t>
    </r>
  </si>
  <si>
    <t>Atomic mass of plutonium</t>
  </si>
  <si>
    <r>
      <t>AM</t>
    </r>
    <r>
      <rPr>
        <vertAlign val="subscript"/>
        <sz val="11"/>
        <rFont val="Calibri"/>
        <family val="2"/>
        <scheme val="minor"/>
      </rPr>
      <t>Am</t>
    </r>
  </si>
  <si>
    <t>Atomic mass of americium</t>
  </si>
  <si>
    <r>
      <t>AM</t>
    </r>
    <r>
      <rPr>
        <vertAlign val="subscript"/>
        <sz val="11"/>
        <rFont val="Calibri"/>
        <family val="2"/>
        <scheme val="minor"/>
      </rPr>
      <t>Cm</t>
    </r>
  </si>
  <si>
    <t>Atomic mass of curium</t>
  </si>
  <si>
    <r>
      <t>AM</t>
    </r>
    <r>
      <rPr>
        <vertAlign val="subscript"/>
        <sz val="11"/>
        <rFont val="Calibri"/>
        <family val="2"/>
        <scheme val="minor"/>
      </rPr>
      <t>Bk</t>
    </r>
  </si>
  <si>
    <t>Atomic mass of berkelium</t>
  </si>
  <si>
    <r>
      <t>AM</t>
    </r>
    <r>
      <rPr>
        <vertAlign val="subscript"/>
        <sz val="11"/>
        <rFont val="Calibri"/>
        <family val="2"/>
        <scheme val="minor"/>
      </rPr>
      <t>Cf</t>
    </r>
  </si>
  <si>
    <t>Atomic mass of californium</t>
  </si>
  <si>
    <r>
      <t>AM</t>
    </r>
    <r>
      <rPr>
        <vertAlign val="subscript"/>
        <sz val="11"/>
        <rFont val="Calibri"/>
        <family val="2"/>
        <scheme val="minor"/>
      </rPr>
      <t>Es</t>
    </r>
  </si>
  <si>
    <t>Atomic mass of einsteinium</t>
  </si>
  <si>
    <r>
      <t>AM</t>
    </r>
    <r>
      <rPr>
        <vertAlign val="subscript"/>
        <sz val="11"/>
        <rFont val="Calibri"/>
        <family val="2"/>
        <scheme val="minor"/>
      </rPr>
      <t>Fm</t>
    </r>
  </si>
  <si>
    <t>Atomic mass of fermium</t>
  </si>
  <si>
    <r>
      <t>AM</t>
    </r>
    <r>
      <rPr>
        <vertAlign val="subscript"/>
        <sz val="11"/>
        <rFont val="Calibri"/>
        <family val="2"/>
        <scheme val="minor"/>
      </rPr>
      <t>Md</t>
    </r>
  </si>
  <si>
    <t>Atomic mass of mendelevium</t>
  </si>
  <si>
    <r>
      <t>AM</t>
    </r>
    <r>
      <rPr>
        <vertAlign val="subscript"/>
        <sz val="11"/>
        <rFont val="Calibri"/>
        <family val="2"/>
        <scheme val="minor"/>
      </rPr>
      <t>No</t>
    </r>
  </si>
  <si>
    <t>Atomic mass of nobelium</t>
  </si>
  <si>
    <r>
      <t>AM</t>
    </r>
    <r>
      <rPr>
        <vertAlign val="subscript"/>
        <sz val="11"/>
        <rFont val="Calibri"/>
        <family val="2"/>
        <scheme val="minor"/>
      </rPr>
      <t>Lr</t>
    </r>
  </si>
  <si>
    <t>Atomic mass of lawrencium</t>
  </si>
  <si>
    <r>
      <t>AM</t>
    </r>
    <r>
      <rPr>
        <vertAlign val="subscript"/>
        <sz val="11"/>
        <rFont val="Calibri"/>
        <family val="2"/>
        <scheme val="minor"/>
      </rPr>
      <t>Rf</t>
    </r>
  </si>
  <si>
    <t>Atomic mass of rutherfordium</t>
  </si>
  <si>
    <r>
      <t>AM</t>
    </r>
    <r>
      <rPr>
        <vertAlign val="subscript"/>
        <sz val="11"/>
        <rFont val="Calibri"/>
        <family val="2"/>
        <scheme val="minor"/>
      </rPr>
      <t>Db</t>
    </r>
  </si>
  <si>
    <t>Atomic mass of dubnium</t>
  </si>
  <si>
    <r>
      <t>AM</t>
    </r>
    <r>
      <rPr>
        <vertAlign val="subscript"/>
        <sz val="11"/>
        <rFont val="Calibri"/>
        <family val="2"/>
        <scheme val="minor"/>
      </rPr>
      <t>Sg</t>
    </r>
  </si>
  <si>
    <t>Atomic mass of seaborgium</t>
  </si>
  <si>
    <r>
      <t>AM</t>
    </r>
    <r>
      <rPr>
        <vertAlign val="subscript"/>
        <sz val="11"/>
        <rFont val="Calibri"/>
        <family val="2"/>
        <scheme val="minor"/>
      </rPr>
      <t>Bh</t>
    </r>
  </si>
  <si>
    <t>Atomic mass of bohrium</t>
  </si>
  <si>
    <r>
      <t>AM</t>
    </r>
    <r>
      <rPr>
        <vertAlign val="subscript"/>
        <sz val="11"/>
        <rFont val="Calibri"/>
        <family val="2"/>
        <scheme val="minor"/>
      </rPr>
      <t>Hs</t>
    </r>
  </si>
  <si>
    <t>Atomic mass of hassium</t>
  </si>
  <si>
    <r>
      <t>AM</t>
    </r>
    <r>
      <rPr>
        <vertAlign val="subscript"/>
        <sz val="11"/>
        <rFont val="Calibri"/>
        <family val="2"/>
        <scheme val="minor"/>
      </rPr>
      <t>Mt</t>
    </r>
  </si>
  <si>
    <t>Atomic mass of meitnerium</t>
  </si>
  <si>
    <r>
      <t>AM</t>
    </r>
    <r>
      <rPr>
        <vertAlign val="subscript"/>
        <sz val="11"/>
        <rFont val="Calibri"/>
        <family val="2"/>
        <scheme val="minor"/>
      </rPr>
      <t>Ds</t>
    </r>
  </si>
  <si>
    <t>Atomic mass of darmstadtium</t>
  </si>
  <si>
    <r>
      <t>AM</t>
    </r>
    <r>
      <rPr>
        <vertAlign val="subscript"/>
        <sz val="11"/>
        <rFont val="Calibri"/>
        <family val="2"/>
        <scheme val="minor"/>
      </rPr>
      <t>Rg</t>
    </r>
  </si>
  <si>
    <t>Atomic mass of roentgenium</t>
  </si>
  <si>
    <r>
      <t>AM</t>
    </r>
    <r>
      <rPr>
        <vertAlign val="subscript"/>
        <sz val="11"/>
        <rFont val="Calibri"/>
        <family val="2"/>
        <scheme val="minor"/>
      </rPr>
      <t>Cn</t>
    </r>
  </si>
  <si>
    <t>Atomic mass of copernicium</t>
  </si>
  <si>
    <r>
      <t>AM</t>
    </r>
    <r>
      <rPr>
        <vertAlign val="subscript"/>
        <sz val="11"/>
        <rFont val="Calibri"/>
        <family val="2"/>
        <scheme val="minor"/>
      </rPr>
      <t>Uut</t>
    </r>
  </si>
  <si>
    <t>Atomic mass of ununtrium</t>
  </si>
  <si>
    <r>
      <t>AM</t>
    </r>
    <r>
      <rPr>
        <vertAlign val="subscript"/>
        <sz val="11"/>
        <rFont val="Calibri"/>
        <family val="2"/>
        <scheme val="minor"/>
      </rPr>
      <t>Fl</t>
    </r>
  </si>
  <si>
    <t>Atomic mass of flerovium</t>
  </si>
  <si>
    <r>
      <t>AM</t>
    </r>
    <r>
      <rPr>
        <vertAlign val="subscript"/>
        <sz val="11"/>
        <rFont val="Calibri"/>
        <family val="2"/>
        <scheme val="minor"/>
      </rPr>
      <t>Uup</t>
    </r>
  </si>
  <si>
    <t>Atomic mass of ununpentium</t>
  </si>
  <si>
    <r>
      <t>AM</t>
    </r>
    <r>
      <rPr>
        <vertAlign val="subscript"/>
        <sz val="11"/>
        <rFont val="Calibri"/>
        <family val="2"/>
        <scheme val="minor"/>
      </rPr>
      <t>Lv</t>
    </r>
  </si>
  <si>
    <t>Atomic mass of livermorium</t>
  </si>
  <si>
    <r>
      <t>AM</t>
    </r>
    <r>
      <rPr>
        <vertAlign val="subscript"/>
        <sz val="11"/>
        <rFont val="Calibri"/>
        <family val="2"/>
        <scheme val="minor"/>
      </rPr>
      <t>Uus</t>
    </r>
  </si>
  <si>
    <t>Atomic mass of ununseptium</t>
  </si>
  <si>
    <r>
      <t>AM</t>
    </r>
    <r>
      <rPr>
        <vertAlign val="subscript"/>
        <sz val="11"/>
        <rFont val="Calibri"/>
        <family val="2"/>
        <scheme val="minor"/>
      </rPr>
      <t>Uuo</t>
    </r>
  </si>
  <si>
    <t>Atomic mass of ununoctium</t>
  </si>
  <si>
    <t>Molecular masses (gas phase)</t>
  </si>
  <si>
    <r>
      <t>MM</t>
    </r>
    <r>
      <rPr>
        <vertAlign val="subscript"/>
        <sz val="11"/>
        <rFont val="Calibri"/>
        <family val="2"/>
        <scheme val="minor"/>
      </rPr>
      <t>GCO2</t>
    </r>
  </si>
  <si>
    <t>Molecular mass of carbon dioxide</t>
  </si>
  <si>
    <t>GO2 is a workaround - we should equip SMT with a mechanism to be able to handle GO2, SO2, etc. similarly when it is about finding molecular mass</t>
  </si>
  <si>
    <r>
      <t>MM</t>
    </r>
    <r>
      <rPr>
        <vertAlign val="subscript"/>
        <sz val="11"/>
        <rFont val="Calibri"/>
        <family val="2"/>
        <scheme val="minor"/>
      </rPr>
      <t>GNO</t>
    </r>
  </si>
  <si>
    <t>Molecular mass of nitric oxide</t>
  </si>
  <si>
    <t>GNO is a workaround - we should equip SMT with a mechanism to be able to handle GNO, SNO, etc. similarly when it is about finding molecular mass</t>
  </si>
  <si>
    <r>
      <t>MM</t>
    </r>
    <r>
      <rPr>
        <vertAlign val="subscript"/>
        <sz val="11"/>
        <rFont val="Calibri"/>
        <family val="2"/>
        <scheme val="minor"/>
      </rPr>
      <t>GN2O</t>
    </r>
  </si>
  <si>
    <t>Molecular mass of nitrous oxide</t>
  </si>
  <si>
    <t>GN2O is a workaround - we should equip SMT with a mechanism to be able to handle GN2O, SN2O, etc. similarly when it is about finding molecular mass</t>
  </si>
  <si>
    <t>Molecular masses</t>
  </si>
  <si>
    <r>
      <t>MM</t>
    </r>
    <r>
      <rPr>
        <vertAlign val="subscript"/>
        <sz val="11"/>
        <rFont val="Calibri"/>
        <family val="2"/>
        <scheme val="minor"/>
      </rPr>
      <t>NH3</t>
    </r>
  </si>
  <si>
    <t>Molecular mass of ammonia</t>
  </si>
  <si>
    <t>Molecular mass of phosphate</t>
  </si>
  <si>
    <r>
      <t>MM</t>
    </r>
    <r>
      <rPr>
        <vertAlign val="subscript"/>
        <sz val="11"/>
        <rFont val="Calibri"/>
        <family val="2"/>
        <scheme val="minor"/>
      </rPr>
      <t>CH3OH</t>
    </r>
  </si>
  <si>
    <t>Molecular mass of methanol</t>
  </si>
  <si>
    <r>
      <t>MM</t>
    </r>
    <r>
      <rPr>
        <vertAlign val="subscript"/>
        <sz val="11"/>
        <rFont val="Calibri"/>
        <family val="2"/>
        <scheme val="minor"/>
      </rPr>
      <t>CH3COOH</t>
    </r>
  </si>
  <si>
    <t>Molecular mass of acetic acid</t>
  </si>
  <si>
    <t>Specific molecular masses</t>
  </si>
  <si>
    <r>
      <t>MM</t>
    </r>
    <r>
      <rPr>
        <vertAlign val="subscript"/>
        <sz val="11"/>
        <rFont val="Calibri"/>
        <family val="2"/>
        <scheme val="minor"/>
      </rPr>
      <t>EQ,GCH4</t>
    </r>
  </si>
  <si>
    <r>
      <t>MM</t>
    </r>
    <r>
      <rPr>
        <vertAlign val="subscript"/>
        <sz val="11"/>
        <rFont val="Calibri"/>
        <family val="2"/>
        <scheme val="minor"/>
      </rPr>
      <t>EQ,GH2</t>
    </r>
  </si>
  <si>
    <t>Dissociation constants</t>
  </si>
  <si>
    <t>Nitrite dissociation</t>
  </si>
  <si>
    <t>Electron equivalences</t>
  </si>
  <si>
    <r>
      <t>EEQ</t>
    </r>
    <r>
      <rPr>
        <vertAlign val="subscript"/>
        <sz val="11"/>
        <rFont val="Calibri"/>
        <family val="2"/>
      </rPr>
      <t>N2</t>
    </r>
  </si>
  <si>
    <r>
      <t>Electron equivalence of N</t>
    </r>
    <r>
      <rPr>
        <vertAlign val="subscript"/>
        <sz val="11"/>
        <rFont val="Calibri"/>
        <family val="2"/>
      </rPr>
      <t>2</t>
    </r>
  </si>
  <si>
    <r>
      <t>EEQ</t>
    </r>
    <r>
      <rPr>
        <vertAlign val="subscript"/>
        <sz val="11"/>
        <rFont val="Calibri"/>
        <family val="2"/>
      </rPr>
      <t>N2O</t>
    </r>
  </si>
  <si>
    <r>
      <t>Electron equivalence of N</t>
    </r>
    <r>
      <rPr>
        <vertAlign val="subscript"/>
        <sz val="11"/>
        <rFont val="Calibri"/>
        <family val="2"/>
      </rPr>
      <t>2</t>
    </r>
    <r>
      <rPr>
        <sz val="11"/>
        <rFont val="Calibri"/>
        <family val="2"/>
      </rPr>
      <t>O</t>
    </r>
  </si>
  <si>
    <r>
      <t>EEQ</t>
    </r>
    <r>
      <rPr>
        <vertAlign val="subscript"/>
        <sz val="11"/>
        <rFont val="Calibri"/>
        <family val="2"/>
      </rPr>
      <t>NO</t>
    </r>
  </si>
  <si>
    <t>Electron equivalence of NO</t>
  </si>
  <si>
    <r>
      <t>EEQ</t>
    </r>
    <r>
      <rPr>
        <vertAlign val="subscript"/>
        <sz val="11"/>
        <rFont val="Calibri"/>
        <family val="2"/>
      </rPr>
      <t>NO2</t>
    </r>
  </si>
  <si>
    <r>
      <t>Electron equivalence of NO</t>
    </r>
    <r>
      <rPr>
        <vertAlign val="subscript"/>
        <sz val="11"/>
        <rFont val="Calibri"/>
        <family val="2"/>
      </rPr>
      <t>2</t>
    </r>
  </si>
  <si>
    <r>
      <t>EEQ</t>
    </r>
    <r>
      <rPr>
        <vertAlign val="subscript"/>
        <sz val="11"/>
        <rFont val="Calibri"/>
        <family val="2"/>
      </rPr>
      <t>NO3</t>
    </r>
  </si>
  <si>
    <r>
      <t>Electron equivalence of NO</t>
    </r>
    <r>
      <rPr>
        <vertAlign val="subscript"/>
        <sz val="11"/>
        <rFont val="Calibri"/>
        <family val="2"/>
      </rPr>
      <t>3</t>
    </r>
  </si>
  <si>
    <r>
      <t>Electron equivalence of NO</t>
    </r>
    <r>
      <rPr>
        <vertAlign val="subscript"/>
        <sz val="11"/>
        <rFont val="Calibri"/>
        <family val="2"/>
      </rPr>
      <t>2</t>
    </r>
    <r>
      <rPr>
        <sz val="11"/>
        <rFont val="Calibri"/>
        <family val="2"/>
      </rPr>
      <t xml:space="preserve"> to NO</t>
    </r>
    <r>
      <rPr>
        <vertAlign val="subscript"/>
        <sz val="11"/>
        <rFont val="Calibri"/>
        <family val="2"/>
      </rPr>
      <t>3</t>
    </r>
  </si>
  <si>
    <r>
      <t>Electron equivalence of N</t>
    </r>
    <r>
      <rPr>
        <vertAlign val="subscript"/>
        <sz val="11"/>
        <rFont val="Calibri"/>
        <family val="2"/>
      </rPr>
      <t>2</t>
    </r>
    <r>
      <rPr>
        <sz val="11"/>
        <rFont val="Calibri"/>
        <family val="2"/>
      </rPr>
      <t xml:space="preserve"> to NO</t>
    </r>
    <r>
      <rPr>
        <vertAlign val="subscript"/>
        <sz val="11"/>
        <rFont val="Calibri"/>
        <family val="2"/>
      </rPr>
      <t>2</t>
    </r>
  </si>
  <si>
    <r>
      <t>Electron equivalence of NO to NO</t>
    </r>
    <r>
      <rPr>
        <vertAlign val="subscript"/>
        <sz val="11"/>
        <rFont val="Calibri"/>
        <family val="2"/>
      </rPr>
      <t>2</t>
    </r>
  </si>
  <si>
    <r>
      <t>Electron equivalence of N</t>
    </r>
    <r>
      <rPr>
        <vertAlign val="subscript"/>
        <sz val="11"/>
        <rFont val="Calibri"/>
        <family val="2"/>
      </rPr>
      <t>2</t>
    </r>
    <r>
      <rPr>
        <sz val="11"/>
        <rFont val="Calibri"/>
        <family val="2"/>
      </rPr>
      <t>O to NO</t>
    </r>
  </si>
  <si>
    <r>
      <t>Electron equivalence of N</t>
    </r>
    <r>
      <rPr>
        <vertAlign val="subscript"/>
        <sz val="11"/>
        <rFont val="Calibri"/>
        <family val="2"/>
      </rPr>
      <t>2</t>
    </r>
    <r>
      <rPr>
        <sz val="11"/>
        <rFont val="Calibri"/>
        <family val="2"/>
      </rPr>
      <t xml:space="preserve"> to N</t>
    </r>
    <r>
      <rPr>
        <vertAlign val="subscript"/>
        <sz val="11"/>
        <rFont val="Calibri"/>
        <family val="2"/>
      </rPr>
      <t>2</t>
    </r>
    <r>
      <rPr>
        <sz val="11"/>
        <rFont val="Calibri"/>
        <family val="2"/>
      </rPr>
      <t>O</t>
    </r>
  </si>
  <si>
    <t>(s/x)/(s/x+k)</t>
  </si>
  <si>
    <t>Sign(x)</t>
  </si>
  <si>
    <t>Sign</t>
  </si>
  <si>
    <t>Temperature dependent Henry coefficient for NO</t>
  </si>
  <si>
    <t>Max(lolim;Min(hilim;var))</t>
  </si>
  <si>
    <t>If(x&gt;0;1;If(x&lt;0;-1;0))</t>
  </si>
  <si>
    <t>SUMO functions</t>
  </si>
  <si>
    <t>Sumo functions used both by Excel and C++</t>
  </si>
  <si>
    <t>this can be used in Excel from FuncEngine 1.5.2</t>
  </si>
  <si>
    <t>Diffusion coefficient of NO in water @ 25°C</t>
  </si>
  <si>
    <r>
      <t>g.m</t>
    </r>
    <r>
      <rPr>
        <vertAlign val="superscript"/>
        <sz val="11"/>
        <rFont val="Calibri"/>
        <family val="2"/>
        <scheme val="minor"/>
      </rPr>
      <t>-3</t>
    </r>
  </si>
  <si>
    <t>Pa</t>
  </si>
  <si>
    <t>Other parameters</t>
  </si>
  <si>
    <t>pH effects on/not on from systemcode</t>
  </si>
  <si>
    <t>Boolean</t>
  </si>
  <si>
    <r>
      <t>Electron equivalence of N</t>
    </r>
    <r>
      <rPr>
        <vertAlign val="subscript"/>
        <sz val="11"/>
        <rFont val="Calibri"/>
        <family val="2"/>
      </rPr>
      <t>2</t>
    </r>
    <r>
      <rPr>
        <sz val="11"/>
        <rFont val="Calibri"/>
        <family val="2"/>
        <scheme val="minor"/>
      </rPr>
      <t xml:space="preserve"> to NO</t>
    </r>
    <r>
      <rPr>
        <vertAlign val="subscript"/>
        <sz val="11"/>
        <rFont val="Calibri"/>
        <family val="2"/>
      </rPr>
      <t>3</t>
    </r>
  </si>
  <si>
    <t>Total phosphorus</t>
  </si>
  <si>
    <r>
      <t>g P.m</t>
    </r>
    <r>
      <rPr>
        <vertAlign val="superscript"/>
        <sz val="11"/>
        <rFont val="Calibri"/>
        <family val="2"/>
      </rPr>
      <t>-3</t>
    </r>
  </si>
  <si>
    <t>Sumo__pHEffects</t>
  </si>
  <si>
    <t>On the Components Tab</t>
  </si>
  <si>
    <t>On the Model Tab</t>
  </si>
  <si>
    <t>Starting a new model: pH setup (skip with models without pH modelling)</t>
  </si>
  <si>
    <t>On the Species Tab</t>
  </si>
  <si>
    <t>On the pH Tab</t>
  </si>
  <si>
    <r>
      <rPr>
        <b/>
        <sz val="11"/>
        <color indexed="8"/>
        <rFont val="Calibri"/>
        <family val="2"/>
      </rPr>
      <t>Functions</t>
    </r>
    <r>
      <rPr>
        <sz val="11"/>
        <color indexed="8"/>
        <rFont val="Calibri"/>
        <family val="2"/>
      </rPr>
      <t xml:space="preserve"> that can be used in rate expressions are listed in systemcode.xlsx. Some examples are given below:</t>
    </r>
  </si>
  <si>
    <r>
      <rPr>
        <b/>
        <sz val="11"/>
        <color indexed="8"/>
        <rFont val="Calibri"/>
        <family val="2"/>
      </rPr>
      <t xml:space="preserve">Excel </t>
    </r>
    <r>
      <rPr>
        <sz val="11"/>
        <color indexed="8"/>
        <rFont val="Calibri"/>
        <family val="2"/>
      </rPr>
      <t>frequently mixes up macros when two workbooks are open at the same time. Open Workbooks one at a time when using the checking macros.</t>
    </r>
  </si>
  <si>
    <t>General stoichiometry</t>
  </si>
  <si>
    <t>Set</t>
  </si>
  <si>
    <t>input alkalinity - in feed PU</t>
  </si>
  <si>
    <r>
      <t>S</t>
    </r>
    <r>
      <rPr>
        <vertAlign val="subscript"/>
        <sz val="11"/>
        <rFont val="Calibri"/>
        <family val="2"/>
        <charset val="238"/>
      </rPr>
      <t>ALK,input</t>
    </r>
  </si>
  <si>
    <r>
      <t>S</t>
    </r>
    <r>
      <rPr>
        <b/>
        <vertAlign val="subscript"/>
        <sz val="11"/>
        <rFont val="Calibri"/>
        <family val="2"/>
        <scheme val="minor"/>
      </rPr>
      <t>VFA</t>
    </r>
  </si>
  <si>
    <r>
      <t>S</t>
    </r>
    <r>
      <rPr>
        <b/>
        <vertAlign val="subscript"/>
        <sz val="11"/>
        <rFont val="Calibri"/>
        <family val="2"/>
        <scheme val="minor"/>
      </rPr>
      <t>MEOL</t>
    </r>
  </si>
  <si>
    <r>
      <t>C</t>
    </r>
    <r>
      <rPr>
        <b/>
        <vertAlign val="subscript"/>
        <sz val="11"/>
        <rFont val="Calibri"/>
        <family val="2"/>
        <scheme val="minor"/>
      </rPr>
      <t>B</t>
    </r>
  </si>
  <si>
    <r>
      <t>X</t>
    </r>
    <r>
      <rPr>
        <b/>
        <vertAlign val="subscript"/>
        <sz val="11"/>
        <rFont val="Calibri"/>
        <family val="2"/>
        <scheme val="minor"/>
      </rPr>
      <t>B</t>
    </r>
  </si>
  <si>
    <r>
      <t>S</t>
    </r>
    <r>
      <rPr>
        <b/>
        <vertAlign val="subscript"/>
        <sz val="11"/>
        <rFont val="Calibri"/>
        <family val="2"/>
        <scheme val="minor"/>
      </rPr>
      <t>U</t>
    </r>
  </si>
  <si>
    <r>
      <t>C</t>
    </r>
    <r>
      <rPr>
        <b/>
        <vertAlign val="subscript"/>
        <sz val="11"/>
        <rFont val="Calibri"/>
        <family val="2"/>
        <scheme val="minor"/>
      </rPr>
      <t>U</t>
    </r>
  </si>
  <si>
    <r>
      <t>X</t>
    </r>
    <r>
      <rPr>
        <b/>
        <vertAlign val="subscript"/>
        <sz val="11"/>
        <rFont val="Calibri"/>
        <family val="2"/>
        <scheme val="minor"/>
      </rPr>
      <t>U</t>
    </r>
  </si>
  <si>
    <r>
      <t>X</t>
    </r>
    <r>
      <rPr>
        <b/>
        <vertAlign val="subscript"/>
        <sz val="11"/>
        <rFont val="Calibri"/>
        <family val="2"/>
        <scheme val="minor"/>
      </rPr>
      <t>E</t>
    </r>
  </si>
  <si>
    <r>
      <t>X</t>
    </r>
    <r>
      <rPr>
        <b/>
        <vertAlign val="subscript"/>
        <sz val="11"/>
        <rFont val="Calibri"/>
        <family val="2"/>
        <scheme val="minor"/>
      </rPr>
      <t>OHO</t>
    </r>
  </si>
  <si>
    <r>
      <t>X</t>
    </r>
    <r>
      <rPr>
        <b/>
        <vertAlign val="subscript"/>
        <sz val="11"/>
        <rFont val="Calibri"/>
        <family val="2"/>
        <scheme val="minor"/>
      </rPr>
      <t>MEOLO</t>
    </r>
  </si>
  <si>
    <r>
      <t>X</t>
    </r>
    <r>
      <rPr>
        <b/>
        <vertAlign val="subscript"/>
        <sz val="11"/>
        <rFont val="Calibri"/>
        <family val="2"/>
        <scheme val="minor"/>
      </rPr>
      <t>AMETO</t>
    </r>
  </si>
  <si>
    <r>
      <t>X</t>
    </r>
    <r>
      <rPr>
        <b/>
        <vertAlign val="subscript"/>
        <sz val="11"/>
        <rFont val="Calibri"/>
        <family val="2"/>
        <scheme val="minor"/>
      </rPr>
      <t>HMETO</t>
    </r>
  </si>
  <si>
    <r>
      <t>S</t>
    </r>
    <r>
      <rPr>
        <b/>
        <vertAlign val="subscript"/>
        <sz val="11"/>
        <rFont val="Calibri"/>
        <family val="2"/>
        <scheme val="minor"/>
      </rPr>
      <t>NHx</t>
    </r>
  </si>
  <si>
    <r>
      <t>S</t>
    </r>
    <r>
      <rPr>
        <b/>
        <vertAlign val="subscript"/>
        <sz val="11"/>
        <rFont val="Calibri"/>
        <family val="2"/>
        <scheme val="minor"/>
      </rPr>
      <t>N2</t>
    </r>
  </si>
  <si>
    <r>
      <t>S</t>
    </r>
    <r>
      <rPr>
        <b/>
        <vertAlign val="subscript"/>
        <sz val="11"/>
        <rFont val="Calibri"/>
        <family val="2"/>
        <scheme val="minor"/>
      </rPr>
      <t>N,B</t>
    </r>
  </si>
  <si>
    <t>Soluble biodegradable organic N (from SB)</t>
  </si>
  <si>
    <r>
      <t>X</t>
    </r>
    <r>
      <rPr>
        <b/>
        <vertAlign val="subscript"/>
        <sz val="11"/>
        <rFont val="Calibri"/>
        <family val="2"/>
        <scheme val="minor"/>
      </rPr>
      <t>N,B</t>
    </r>
  </si>
  <si>
    <r>
      <t>X</t>
    </r>
    <r>
      <rPr>
        <b/>
        <vertAlign val="subscript"/>
        <sz val="11"/>
        <rFont val="Calibri"/>
        <family val="2"/>
        <scheme val="minor"/>
      </rPr>
      <t>N,U</t>
    </r>
  </si>
  <si>
    <r>
      <t>S</t>
    </r>
    <r>
      <rPr>
        <b/>
        <vertAlign val="subscript"/>
        <sz val="11"/>
        <rFont val="Calibri"/>
        <family val="2"/>
        <scheme val="minor"/>
      </rPr>
      <t>PO4</t>
    </r>
  </si>
  <si>
    <r>
      <t>S</t>
    </r>
    <r>
      <rPr>
        <b/>
        <vertAlign val="subscript"/>
        <sz val="11"/>
        <rFont val="Calibri"/>
        <family val="2"/>
        <scheme val="minor"/>
      </rPr>
      <t>P,B</t>
    </r>
  </si>
  <si>
    <r>
      <t>X</t>
    </r>
    <r>
      <rPr>
        <b/>
        <vertAlign val="subscript"/>
        <sz val="11"/>
        <rFont val="Calibri"/>
        <family val="2"/>
        <scheme val="minor"/>
      </rPr>
      <t>P,B</t>
    </r>
  </si>
  <si>
    <r>
      <t>X</t>
    </r>
    <r>
      <rPr>
        <b/>
        <vertAlign val="subscript"/>
        <sz val="11"/>
        <rFont val="Calibri"/>
        <family val="2"/>
        <scheme val="minor"/>
      </rPr>
      <t>P,U</t>
    </r>
  </si>
  <si>
    <r>
      <t>S</t>
    </r>
    <r>
      <rPr>
        <b/>
        <vertAlign val="subscript"/>
        <sz val="11"/>
        <rFont val="Calibri"/>
        <family val="2"/>
        <scheme val="minor"/>
      </rPr>
      <t>O2</t>
    </r>
  </si>
  <si>
    <r>
      <t>g O</t>
    </r>
    <r>
      <rPr>
        <vertAlign val="subscript"/>
        <sz val="11"/>
        <rFont val="Calibri"/>
        <family val="2"/>
      </rPr>
      <t>2</t>
    </r>
    <r>
      <rPr>
        <sz val="11"/>
        <rFont val="Calibri"/>
        <family val="2"/>
      </rPr>
      <t>.m</t>
    </r>
    <r>
      <rPr>
        <vertAlign val="superscript"/>
        <sz val="11"/>
        <rFont val="Calibri"/>
        <family val="2"/>
      </rPr>
      <t>-3</t>
    </r>
  </si>
  <si>
    <r>
      <t>S</t>
    </r>
    <r>
      <rPr>
        <b/>
        <vertAlign val="subscript"/>
        <sz val="11"/>
        <rFont val="Calibri"/>
        <family val="2"/>
        <scheme val="minor"/>
      </rPr>
      <t>CH4</t>
    </r>
  </si>
  <si>
    <r>
      <t>S</t>
    </r>
    <r>
      <rPr>
        <b/>
        <vertAlign val="subscript"/>
        <sz val="11"/>
        <rFont val="Calibri"/>
        <family val="2"/>
        <scheme val="minor"/>
      </rPr>
      <t>H2</t>
    </r>
  </si>
  <si>
    <r>
      <t>S</t>
    </r>
    <r>
      <rPr>
        <b/>
        <vertAlign val="subscript"/>
        <sz val="11"/>
        <rFont val="Calibri"/>
        <family val="2"/>
        <scheme val="minor"/>
      </rPr>
      <t>CO2</t>
    </r>
  </si>
  <si>
    <r>
      <t>X</t>
    </r>
    <r>
      <rPr>
        <b/>
        <vertAlign val="subscript"/>
        <sz val="11"/>
        <rFont val="Calibri"/>
        <family val="2"/>
        <scheme val="minor"/>
      </rPr>
      <t>INORG</t>
    </r>
  </si>
  <si>
    <r>
      <t>S</t>
    </r>
    <r>
      <rPr>
        <b/>
        <vertAlign val="subscript"/>
        <sz val="11"/>
        <rFont val="Calibri"/>
        <family val="2"/>
      </rPr>
      <t>Mg</t>
    </r>
  </si>
  <si>
    <r>
      <t>g Mg.m</t>
    </r>
    <r>
      <rPr>
        <vertAlign val="superscript"/>
        <sz val="11"/>
        <rFont val="Calibri"/>
        <family val="2"/>
      </rPr>
      <t>-3</t>
    </r>
  </si>
  <si>
    <r>
      <t>g.m</t>
    </r>
    <r>
      <rPr>
        <vertAlign val="superscript"/>
        <sz val="11"/>
        <rFont val="Calibri"/>
        <family val="2"/>
      </rPr>
      <t>-3</t>
    </r>
  </si>
  <si>
    <r>
      <t>g Fe.m</t>
    </r>
    <r>
      <rPr>
        <vertAlign val="superscript"/>
        <sz val="11"/>
        <rFont val="Calibri"/>
        <family val="2"/>
      </rPr>
      <t>-3</t>
    </r>
  </si>
  <si>
    <r>
      <t>X</t>
    </r>
    <r>
      <rPr>
        <b/>
        <vertAlign val="subscript"/>
        <sz val="11"/>
        <rFont val="Calibri"/>
        <family val="2"/>
        <charset val="238"/>
        <scheme val="minor"/>
      </rPr>
      <t>HFO,L</t>
    </r>
  </si>
  <si>
    <r>
      <t>X</t>
    </r>
    <r>
      <rPr>
        <b/>
        <vertAlign val="subscript"/>
        <sz val="11"/>
        <rFont val="Calibri"/>
        <family val="2"/>
        <charset val="238"/>
        <scheme val="minor"/>
      </rPr>
      <t>HFO,H</t>
    </r>
  </si>
  <si>
    <t>Components</t>
  </si>
  <si>
    <t>Default</t>
  </si>
  <si>
    <t>Particle size</t>
  </si>
  <si>
    <r>
      <t>mol.L</t>
    </r>
    <r>
      <rPr>
        <vertAlign val="superscript"/>
        <sz val="11"/>
        <rFont val="Calibri"/>
        <family val="2"/>
      </rPr>
      <t>-1</t>
    </r>
  </si>
  <si>
    <r>
      <t>mol.L</t>
    </r>
    <r>
      <rPr>
        <vertAlign val="superscript"/>
        <sz val="11"/>
        <rFont val="Calibri"/>
        <family val="2"/>
      </rPr>
      <t>-1</t>
    </r>
    <r>
      <rPr>
        <sz val="11"/>
        <color theme="1"/>
        <rFont val="Calibri"/>
        <family val="2"/>
        <scheme val="minor"/>
      </rPr>
      <t/>
    </r>
  </si>
  <si>
    <r>
      <t>IS</t>
    </r>
    <r>
      <rPr>
        <vertAlign val="subscript"/>
        <sz val="11"/>
        <rFont val="Calibri"/>
        <family val="2"/>
        <charset val="238"/>
      </rPr>
      <t>calc</t>
    </r>
  </si>
  <si>
    <r>
      <t>X</t>
    </r>
    <r>
      <rPr>
        <b/>
        <vertAlign val="subscript"/>
        <sz val="11"/>
        <rFont val="Calibri"/>
        <family val="2"/>
        <charset val="238"/>
      </rPr>
      <t>HFO,H,P,old</t>
    </r>
  </si>
  <si>
    <r>
      <t>X</t>
    </r>
    <r>
      <rPr>
        <b/>
        <vertAlign val="subscript"/>
        <sz val="11"/>
        <rFont val="Calibri"/>
        <family val="2"/>
        <charset val="238"/>
      </rPr>
      <t>HFO,L,P,old</t>
    </r>
  </si>
  <si>
    <r>
      <t>d</t>
    </r>
    <r>
      <rPr>
        <vertAlign val="superscript"/>
        <sz val="11"/>
        <color indexed="8"/>
        <rFont val="Calibri"/>
        <family val="2"/>
        <scheme val="minor"/>
      </rPr>
      <t>-1</t>
    </r>
  </si>
  <si>
    <r>
      <t>g COD.m</t>
    </r>
    <r>
      <rPr>
        <vertAlign val="superscript"/>
        <sz val="11"/>
        <color indexed="8"/>
        <rFont val="Calibri"/>
        <family val="2"/>
        <scheme val="minor"/>
      </rPr>
      <t>-3</t>
    </r>
  </si>
  <si>
    <r>
      <t>g O</t>
    </r>
    <r>
      <rPr>
        <vertAlign val="subscript"/>
        <sz val="11"/>
        <color indexed="8"/>
        <rFont val="Calibri"/>
        <family val="2"/>
        <scheme val="minor"/>
      </rPr>
      <t>2</t>
    </r>
    <r>
      <rPr>
        <sz val="11"/>
        <color indexed="8"/>
        <rFont val="Calibri"/>
        <family val="2"/>
        <scheme val="minor"/>
      </rPr>
      <t>.m</t>
    </r>
    <r>
      <rPr>
        <vertAlign val="superscript"/>
        <sz val="11"/>
        <color indexed="8"/>
        <rFont val="Calibri"/>
        <family val="2"/>
        <scheme val="minor"/>
      </rPr>
      <t>-3</t>
    </r>
  </si>
  <si>
    <r>
      <t>g N.m</t>
    </r>
    <r>
      <rPr>
        <vertAlign val="superscript"/>
        <sz val="11"/>
        <color indexed="8"/>
        <rFont val="Calibri"/>
        <family val="2"/>
        <scheme val="minor"/>
      </rPr>
      <t>-3</t>
    </r>
  </si>
  <si>
    <r>
      <t>µ</t>
    </r>
    <r>
      <rPr>
        <vertAlign val="subscript"/>
        <sz val="11"/>
        <color indexed="8"/>
        <rFont val="Calibri"/>
        <family val="2"/>
        <scheme val="minor"/>
      </rPr>
      <t>HMETO</t>
    </r>
  </si>
  <si>
    <r>
      <t>b</t>
    </r>
    <r>
      <rPr>
        <vertAlign val="subscript"/>
        <sz val="11"/>
        <color indexed="8"/>
        <rFont val="Calibri"/>
        <family val="2"/>
        <scheme val="minor"/>
      </rPr>
      <t>HMETO</t>
    </r>
    <r>
      <rPr>
        <sz val="11"/>
        <color indexed="8"/>
        <rFont val="Calibri"/>
        <family val="2"/>
      </rPr>
      <t/>
    </r>
  </si>
  <si>
    <r>
      <t>q</t>
    </r>
    <r>
      <rPr>
        <vertAlign val="subscript"/>
        <sz val="11"/>
        <color indexed="8"/>
        <rFont val="Calibri"/>
        <family val="2"/>
        <scheme val="minor"/>
      </rPr>
      <t>FLOC</t>
    </r>
  </si>
  <si>
    <r>
      <t>q</t>
    </r>
    <r>
      <rPr>
        <vertAlign val="subscript"/>
        <sz val="11"/>
        <color indexed="8"/>
        <rFont val="Calibri"/>
        <family val="2"/>
        <scheme val="minor"/>
      </rPr>
      <t>AMMON</t>
    </r>
  </si>
  <si>
    <r>
      <t>q</t>
    </r>
    <r>
      <rPr>
        <vertAlign val="subscript"/>
        <sz val="11"/>
        <color indexed="8"/>
        <rFont val="Calibri"/>
        <family val="2"/>
        <scheme val="minor"/>
      </rPr>
      <t>ASSIM</t>
    </r>
  </si>
  <si>
    <r>
      <rPr>
        <sz val="11"/>
        <color indexed="8"/>
        <rFont val="Calibri"/>
        <family val="2"/>
        <scheme val="minor"/>
      </rPr>
      <t>θ</t>
    </r>
    <r>
      <rPr>
        <vertAlign val="subscript"/>
        <sz val="11"/>
        <color indexed="8"/>
        <rFont val="Calibri"/>
        <family val="2"/>
        <scheme val="minor"/>
      </rPr>
      <t>µ,OHO</t>
    </r>
  </si>
  <si>
    <r>
      <t>θ</t>
    </r>
    <r>
      <rPr>
        <vertAlign val="subscript"/>
        <sz val="11"/>
        <color indexed="8"/>
        <rFont val="Calibri"/>
        <family val="2"/>
        <scheme val="minor"/>
      </rPr>
      <t>FERM,OHO</t>
    </r>
  </si>
  <si>
    <r>
      <t>θ</t>
    </r>
    <r>
      <rPr>
        <vertAlign val="subscript"/>
        <sz val="11"/>
        <color indexed="8"/>
        <rFont val="Calibri"/>
        <family val="2"/>
        <scheme val="minor"/>
      </rPr>
      <t>b,OHO</t>
    </r>
  </si>
  <si>
    <r>
      <t>θ</t>
    </r>
    <r>
      <rPr>
        <vertAlign val="subscript"/>
        <sz val="11"/>
        <color indexed="8"/>
        <rFont val="Calibri"/>
        <family val="2"/>
        <scheme val="minor"/>
      </rPr>
      <t>µ,MEOLO</t>
    </r>
  </si>
  <si>
    <r>
      <t>θ</t>
    </r>
    <r>
      <rPr>
        <vertAlign val="subscript"/>
        <sz val="11"/>
        <color indexed="8"/>
        <rFont val="Calibri"/>
        <family val="2"/>
        <scheme val="minor"/>
      </rPr>
      <t>b,MEOLO</t>
    </r>
  </si>
  <si>
    <r>
      <t>θ</t>
    </r>
    <r>
      <rPr>
        <vertAlign val="subscript"/>
        <sz val="11"/>
        <color indexed="8"/>
        <rFont val="Calibri"/>
        <family val="2"/>
        <scheme val="minor"/>
      </rPr>
      <t>q,PAO,PHA</t>
    </r>
  </si>
  <si>
    <r>
      <t>θ</t>
    </r>
    <r>
      <rPr>
        <vertAlign val="subscript"/>
        <sz val="11"/>
        <color indexed="8"/>
        <rFont val="Calibri"/>
        <family val="2"/>
        <scheme val="minor"/>
      </rPr>
      <t>µ,AMETO</t>
    </r>
  </si>
  <si>
    <r>
      <t>θ</t>
    </r>
    <r>
      <rPr>
        <vertAlign val="subscript"/>
        <sz val="11"/>
        <color indexed="8"/>
        <rFont val="Calibri"/>
        <family val="2"/>
        <scheme val="minor"/>
      </rPr>
      <t>b,AMETO</t>
    </r>
  </si>
  <si>
    <r>
      <t>θ</t>
    </r>
    <r>
      <rPr>
        <vertAlign val="subscript"/>
        <sz val="11"/>
        <color indexed="8"/>
        <rFont val="Calibri"/>
        <family val="2"/>
        <scheme val="minor"/>
      </rPr>
      <t>µ,HMETO</t>
    </r>
  </si>
  <si>
    <r>
      <t>θ</t>
    </r>
    <r>
      <rPr>
        <vertAlign val="subscript"/>
        <sz val="11"/>
        <color indexed="8"/>
        <rFont val="Calibri"/>
        <family val="2"/>
        <scheme val="minor"/>
      </rPr>
      <t>b,HMETO</t>
    </r>
  </si>
  <si>
    <r>
      <t>θ</t>
    </r>
    <r>
      <rPr>
        <vertAlign val="subscript"/>
        <sz val="11"/>
        <color indexed="8"/>
        <rFont val="Calibri"/>
        <family val="2"/>
        <scheme val="minor"/>
      </rPr>
      <t>q,FLOC</t>
    </r>
  </si>
  <si>
    <r>
      <t>θ</t>
    </r>
    <r>
      <rPr>
        <vertAlign val="subscript"/>
        <sz val="11"/>
        <color indexed="8"/>
        <rFont val="Calibri"/>
        <family val="2"/>
        <scheme val="minor"/>
      </rPr>
      <t>q,HYD</t>
    </r>
  </si>
  <si>
    <r>
      <t>θ</t>
    </r>
    <r>
      <rPr>
        <vertAlign val="subscript"/>
        <sz val="11"/>
        <color indexed="8"/>
        <rFont val="Calibri"/>
        <family val="2"/>
        <scheme val="minor"/>
      </rPr>
      <t>q,AMMON</t>
    </r>
  </si>
  <si>
    <r>
      <t>θ</t>
    </r>
    <r>
      <rPr>
        <vertAlign val="subscript"/>
        <sz val="11"/>
        <color indexed="8"/>
        <rFont val="Calibri"/>
        <family val="2"/>
        <scheme val="minor"/>
      </rPr>
      <t>q,ASSIM</t>
    </r>
  </si>
  <si>
    <r>
      <t>Y</t>
    </r>
    <r>
      <rPr>
        <vertAlign val="subscript"/>
        <sz val="11"/>
        <rFont val="Calibri"/>
        <family val="2"/>
        <scheme val="minor"/>
      </rPr>
      <t>MEOLO</t>
    </r>
  </si>
  <si>
    <r>
      <t>Y</t>
    </r>
    <r>
      <rPr>
        <vertAlign val="subscript"/>
        <sz val="11"/>
        <rFont val="Calibri"/>
        <family val="2"/>
        <scheme val="minor"/>
      </rPr>
      <t>HMETO</t>
    </r>
  </si>
  <si>
    <r>
      <t>Y</t>
    </r>
    <r>
      <rPr>
        <vertAlign val="subscript"/>
        <sz val="11"/>
        <rFont val="Calibri"/>
        <family val="2"/>
        <scheme val="minor"/>
      </rPr>
      <t>AMETO</t>
    </r>
  </si>
  <si>
    <r>
      <t>f</t>
    </r>
    <r>
      <rPr>
        <vertAlign val="subscript"/>
        <sz val="11"/>
        <rFont val="Calibri"/>
        <family val="2"/>
        <scheme val="minor"/>
      </rPr>
      <t>E</t>
    </r>
  </si>
  <si>
    <r>
      <t>i</t>
    </r>
    <r>
      <rPr>
        <vertAlign val="subscript"/>
        <sz val="11"/>
        <rFont val="Calibri"/>
        <family val="2"/>
        <scheme val="minor"/>
      </rPr>
      <t>N,BIO</t>
    </r>
  </si>
  <si>
    <r>
      <t>i</t>
    </r>
    <r>
      <rPr>
        <vertAlign val="subscript"/>
        <sz val="11"/>
        <rFont val="Calibri"/>
        <family val="2"/>
        <scheme val="minor"/>
      </rPr>
      <t>P,BIO</t>
    </r>
  </si>
  <si>
    <r>
      <t>i</t>
    </r>
    <r>
      <rPr>
        <vertAlign val="subscript"/>
        <sz val="11"/>
        <rFont val="Calibri"/>
        <family val="2"/>
        <scheme val="minor"/>
      </rPr>
      <t>CV,BIO</t>
    </r>
  </si>
  <si>
    <r>
      <t>i</t>
    </r>
    <r>
      <rPr>
        <vertAlign val="subscript"/>
        <sz val="11"/>
        <rFont val="Calibri"/>
        <family val="2"/>
        <scheme val="minor"/>
      </rPr>
      <t>CV,PHA</t>
    </r>
  </si>
  <si>
    <r>
      <t>i</t>
    </r>
    <r>
      <rPr>
        <vertAlign val="subscript"/>
        <sz val="11"/>
        <rFont val="Calibri"/>
        <family val="2"/>
        <scheme val="minor"/>
      </rPr>
      <t>P,XSTR</t>
    </r>
  </si>
  <si>
    <r>
      <t>f</t>
    </r>
    <r>
      <rPr>
        <vertAlign val="subscript"/>
        <sz val="11"/>
        <rFont val="Calibri"/>
        <family val="2"/>
        <scheme val="minor"/>
      </rPr>
      <t>P,VFA</t>
    </r>
  </si>
  <si>
    <r>
      <t>i</t>
    </r>
    <r>
      <rPr>
        <vertAlign val="subscript"/>
        <sz val="11"/>
        <rFont val="Calibri"/>
        <family val="2"/>
        <scheme val="minor"/>
      </rPr>
      <t>TSS,PP</t>
    </r>
  </si>
  <si>
    <t>Active site factor for HFO,H</t>
  </si>
  <si>
    <t>Active site factor for HFO,L</t>
  </si>
  <si>
    <r>
      <t>K</t>
    </r>
    <r>
      <rPr>
        <vertAlign val="subscript"/>
        <sz val="11"/>
        <rFont val="Calibri"/>
        <family val="2"/>
        <scheme val="minor"/>
      </rPr>
      <t>NHx,BIO</t>
    </r>
  </si>
  <si>
    <r>
      <t>g N.m</t>
    </r>
    <r>
      <rPr>
        <vertAlign val="superscript"/>
        <sz val="11"/>
        <rFont val="Calibri"/>
        <family val="2"/>
        <scheme val="minor"/>
      </rPr>
      <t>-3</t>
    </r>
  </si>
  <si>
    <r>
      <t>K</t>
    </r>
    <r>
      <rPr>
        <vertAlign val="subscript"/>
        <sz val="11"/>
        <rFont val="Calibri"/>
        <family val="2"/>
        <scheme val="minor"/>
      </rPr>
      <t>PO4,BIO</t>
    </r>
  </si>
  <si>
    <r>
      <t>g P.m</t>
    </r>
    <r>
      <rPr>
        <vertAlign val="superscript"/>
        <sz val="11"/>
        <rFont val="Calibri"/>
        <family val="2"/>
        <scheme val="minor"/>
      </rPr>
      <t>-3</t>
    </r>
  </si>
  <si>
    <r>
      <t>K</t>
    </r>
    <r>
      <rPr>
        <vertAlign val="subscript"/>
        <sz val="11"/>
        <rFont val="Calibri"/>
        <family val="2"/>
        <scheme val="minor"/>
      </rPr>
      <t>CAT</t>
    </r>
  </si>
  <si>
    <r>
      <t>K</t>
    </r>
    <r>
      <rPr>
        <vertAlign val="subscript"/>
        <sz val="11"/>
        <rFont val="Calibri"/>
        <family val="2"/>
        <scheme val="minor"/>
      </rPr>
      <t>AN</t>
    </r>
  </si>
  <si>
    <r>
      <t>C</t>
    </r>
    <r>
      <rPr>
        <vertAlign val="superscript"/>
        <sz val="11"/>
        <rFont val="Calibri"/>
        <family val="2"/>
        <scheme val="minor"/>
      </rPr>
      <t>o</t>
    </r>
  </si>
  <si>
    <r>
      <t>T</t>
    </r>
    <r>
      <rPr>
        <vertAlign val="subscript"/>
        <sz val="11"/>
        <rFont val="Calibri"/>
        <family val="2"/>
        <scheme val="minor"/>
      </rPr>
      <t>base</t>
    </r>
  </si>
  <si>
    <t>Saturation/inhibition terms</t>
  </si>
  <si>
    <r>
      <t>Msat</t>
    </r>
    <r>
      <rPr>
        <vertAlign val="subscript"/>
        <sz val="11"/>
        <rFont val="Calibri"/>
        <family val="2"/>
        <scheme val="minor"/>
      </rPr>
      <t>SVFA,KVFA</t>
    </r>
  </si>
  <si>
    <r>
      <t>Msat(S</t>
    </r>
    <r>
      <rPr>
        <vertAlign val="subscript"/>
        <sz val="11"/>
        <rFont val="Calibri"/>
        <family val="2"/>
        <scheme val="minor"/>
      </rPr>
      <t>VFA</t>
    </r>
    <r>
      <rPr>
        <sz val="11"/>
        <rFont val="Calibri"/>
        <family val="2"/>
        <scheme val="minor"/>
      </rPr>
      <t>;K</t>
    </r>
    <r>
      <rPr>
        <vertAlign val="subscript"/>
        <sz val="11"/>
        <rFont val="Calibri"/>
        <family val="2"/>
        <scheme val="minor"/>
      </rPr>
      <t>VFA</t>
    </r>
    <r>
      <rPr>
        <sz val="11"/>
        <rFont val="Calibri"/>
        <family val="2"/>
        <scheme val="minor"/>
      </rPr>
      <t>)</t>
    </r>
  </si>
  <si>
    <r>
      <t>[HPO</t>
    </r>
    <r>
      <rPr>
        <vertAlign val="subscript"/>
        <sz val="11"/>
        <rFont val="Calibri"/>
        <family val="2"/>
        <scheme val="minor"/>
      </rPr>
      <t>4</t>
    </r>
    <r>
      <rPr>
        <vertAlign val="superscript"/>
        <sz val="11"/>
        <rFont val="Calibri"/>
        <family val="2"/>
        <scheme val="minor"/>
      </rPr>
      <t>2-</t>
    </r>
    <r>
      <rPr>
        <sz val="11"/>
        <rFont val="Calibri"/>
        <family val="2"/>
        <scheme val="minor"/>
      </rPr>
      <t>]</t>
    </r>
    <r>
      <rPr>
        <vertAlign val="subscript"/>
        <sz val="11"/>
        <rFont val="Calibri"/>
        <family val="2"/>
        <scheme val="minor"/>
      </rPr>
      <t>eq</t>
    </r>
  </si>
  <si>
    <t>Hydrogen phosphate molar concentration in equivalence point</t>
  </si>
  <si>
    <r>
      <t>[H</t>
    </r>
    <r>
      <rPr>
        <vertAlign val="subscript"/>
        <sz val="11"/>
        <rFont val="Calibri"/>
        <family val="2"/>
        <scheme val="minor"/>
      </rPr>
      <t>2</t>
    </r>
    <r>
      <rPr>
        <sz val="11"/>
        <rFont val="Calibri"/>
        <family val="2"/>
        <scheme val="minor"/>
      </rPr>
      <t>PO</t>
    </r>
    <r>
      <rPr>
        <vertAlign val="subscript"/>
        <sz val="11"/>
        <rFont val="Calibri"/>
        <family val="2"/>
        <scheme val="minor"/>
      </rPr>
      <t>4</t>
    </r>
    <r>
      <rPr>
        <vertAlign val="superscript"/>
        <sz val="11"/>
        <rFont val="Calibri"/>
        <family val="2"/>
        <scheme val="minor"/>
      </rPr>
      <t>-</t>
    </r>
    <r>
      <rPr>
        <sz val="11"/>
        <rFont val="Calibri"/>
        <family val="2"/>
        <scheme val="minor"/>
      </rPr>
      <t>]</t>
    </r>
    <r>
      <rPr>
        <vertAlign val="subscript"/>
        <sz val="11"/>
        <rFont val="Calibri"/>
        <family val="2"/>
        <scheme val="minor"/>
      </rPr>
      <t>eq</t>
    </r>
  </si>
  <si>
    <t>Dihydrogen phosphate molar concentration in equivalence point</t>
  </si>
  <si>
    <r>
      <t>[Ac</t>
    </r>
    <r>
      <rPr>
        <vertAlign val="superscript"/>
        <sz val="11"/>
        <rFont val="Calibri"/>
        <family val="2"/>
        <scheme val="minor"/>
      </rPr>
      <t>-</t>
    </r>
    <r>
      <rPr>
        <sz val="11"/>
        <rFont val="Calibri"/>
        <family val="2"/>
        <scheme val="minor"/>
      </rPr>
      <t>]</t>
    </r>
    <r>
      <rPr>
        <vertAlign val="subscript"/>
        <sz val="11"/>
        <rFont val="Calibri"/>
        <family val="2"/>
        <scheme val="minor"/>
      </rPr>
      <t>eq</t>
    </r>
  </si>
  <si>
    <t>Acetate molar concentration in equivalence point</t>
  </si>
  <si>
    <t>Coefficients for alkalinity calculation</t>
  </si>
  <si>
    <r>
      <t>[H</t>
    </r>
    <r>
      <rPr>
        <vertAlign val="superscript"/>
        <sz val="11"/>
        <rFont val="Calibri"/>
        <family val="2"/>
        <scheme val="minor"/>
      </rPr>
      <t>+</t>
    </r>
    <r>
      <rPr>
        <sz val="11"/>
        <rFont val="Calibri"/>
        <family val="2"/>
        <scheme val="minor"/>
      </rPr>
      <t>]</t>
    </r>
    <r>
      <rPr>
        <vertAlign val="subscript"/>
        <sz val="11"/>
        <rFont val="Calibri"/>
        <family val="2"/>
        <scheme val="minor"/>
      </rPr>
      <t>eq</t>
    </r>
  </si>
  <si>
    <t>Hydrogen ion concentration in equivalence point</t>
  </si>
  <si>
    <t>CH3COOH -&gt; CH4+CO2</t>
  </si>
  <si>
    <t>Davies correction coefficient</t>
  </si>
  <si>
    <t>1-(T-3.9863)^2*(T+288.9414)/(508929.2*(T+68.12963))+0.011445*Exp(-374.3/T)</t>
  </si>
  <si>
    <t>ε</t>
  </si>
  <si>
    <r>
      <t>A</t>
    </r>
    <r>
      <rPr>
        <vertAlign val="subscript"/>
        <sz val="11"/>
        <rFont val="Calibri"/>
        <family val="2"/>
        <scheme val="minor"/>
      </rPr>
      <t>Davies</t>
    </r>
  </si>
  <si>
    <t>ρ</t>
  </si>
  <si>
    <t>http://webbook.nist.gov/cgi/cbook.cgi?ID=C124389&amp;Mask=10</t>
  </si>
  <si>
    <t>http://webbook.nist.gov/cgi/cbook.cgi?ID=C10102439&amp;Mask=10</t>
  </si>
  <si>
    <t>http://webbook.nist.gov/cgi/cbook.cgi?ID=C10024972&amp;Mask=10</t>
  </si>
  <si>
    <t>http://webbook.nist.gov/cgi/cbook.cgi?ID=C7727379&amp;Mask=10</t>
  </si>
  <si>
    <r>
      <t>c</t>
    </r>
    <r>
      <rPr>
        <vertAlign val="subscript"/>
        <sz val="11"/>
        <rFont val="Calibri"/>
        <family val="2"/>
        <scheme val="minor"/>
      </rPr>
      <t>p,water</t>
    </r>
  </si>
  <si>
    <t>Heat capacity of water at standard temperature (25°C)</t>
  </si>
  <si>
    <r>
      <t>K</t>
    </r>
    <r>
      <rPr>
        <vertAlign val="subscript"/>
        <sz val="11"/>
        <rFont val="Calibri"/>
        <family val="2"/>
        <scheme val="minor"/>
      </rPr>
      <t>W,param</t>
    </r>
  </si>
  <si>
    <r>
      <t>K</t>
    </r>
    <r>
      <rPr>
        <vertAlign val="subscript"/>
        <sz val="11"/>
        <rFont val="Calibri"/>
        <family val="2"/>
        <scheme val="minor"/>
      </rPr>
      <t>C1,param</t>
    </r>
  </si>
  <si>
    <r>
      <t>K</t>
    </r>
    <r>
      <rPr>
        <vertAlign val="subscript"/>
        <sz val="11"/>
        <rFont val="Calibri"/>
        <family val="2"/>
        <scheme val="minor"/>
      </rPr>
      <t>C2,param</t>
    </r>
  </si>
  <si>
    <r>
      <t>K</t>
    </r>
    <r>
      <rPr>
        <vertAlign val="subscript"/>
        <sz val="11"/>
        <rFont val="Calibri"/>
        <family val="2"/>
        <scheme val="minor"/>
      </rPr>
      <t>P1,param</t>
    </r>
  </si>
  <si>
    <r>
      <t>K</t>
    </r>
    <r>
      <rPr>
        <vertAlign val="subscript"/>
        <sz val="11"/>
        <rFont val="Calibri"/>
        <family val="2"/>
        <scheme val="minor"/>
      </rPr>
      <t>P2,param</t>
    </r>
  </si>
  <si>
    <r>
      <t>K</t>
    </r>
    <r>
      <rPr>
        <vertAlign val="subscript"/>
        <sz val="11"/>
        <rFont val="Calibri"/>
        <family val="2"/>
        <scheme val="minor"/>
      </rPr>
      <t>P3,param</t>
    </r>
  </si>
  <si>
    <t>IS coefficients</t>
  </si>
  <si>
    <r>
      <t>f</t>
    </r>
    <r>
      <rPr>
        <vertAlign val="subscript"/>
        <sz val="11"/>
        <rFont val="Calibri"/>
        <family val="2"/>
        <scheme val="minor"/>
      </rPr>
      <t>mono,IS,cat</t>
    </r>
  </si>
  <si>
    <t>Coefficient for ionic strength calculation for monovalent cations</t>
  </si>
  <si>
    <r>
      <t>f</t>
    </r>
    <r>
      <rPr>
        <vertAlign val="subscript"/>
        <sz val="11"/>
        <rFont val="Calibri"/>
        <family val="2"/>
        <scheme val="minor"/>
      </rPr>
      <t>mono,IS,an</t>
    </r>
  </si>
  <si>
    <t>Coefficient for ionic strength calculation for monovalent anions</t>
  </si>
  <si>
    <r>
      <t>f</t>
    </r>
    <r>
      <rPr>
        <vertAlign val="subscript"/>
        <sz val="11"/>
        <rFont val="Calibri"/>
        <family val="2"/>
        <scheme val="minor"/>
      </rPr>
      <t>di,IS,cat</t>
    </r>
  </si>
  <si>
    <t>Coefficient for ionic strength calculation for divalent cations</t>
  </si>
  <si>
    <r>
      <t>f</t>
    </r>
    <r>
      <rPr>
        <vertAlign val="subscript"/>
        <sz val="11"/>
        <rFont val="Calibri"/>
        <family val="2"/>
        <scheme val="minor"/>
      </rPr>
      <t>di,IS,an</t>
    </r>
  </si>
  <si>
    <t>Coefficient for ionic strength calculation for divalent anions</t>
  </si>
  <si>
    <r>
      <t>f</t>
    </r>
    <r>
      <rPr>
        <vertAlign val="subscript"/>
        <sz val="11"/>
        <rFont val="Calibri"/>
        <family val="2"/>
        <scheme val="minor"/>
      </rPr>
      <t>tri,IS,cat</t>
    </r>
  </si>
  <si>
    <t>Coefficient for ionic strength calculation for trivalent cations</t>
  </si>
  <si>
    <r>
      <t>f</t>
    </r>
    <r>
      <rPr>
        <vertAlign val="subscript"/>
        <sz val="11"/>
        <rFont val="Calibri"/>
        <family val="2"/>
        <scheme val="minor"/>
      </rPr>
      <t>tri,IS,an</t>
    </r>
  </si>
  <si>
    <t>Coefficient for ionic strength calculation for trivalent anions</t>
  </si>
  <si>
    <t>Unit conversion coefficients</t>
  </si>
  <si>
    <r>
      <t>c</t>
    </r>
    <r>
      <rPr>
        <vertAlign val="subscript"/>
        <sz val="11"/>
        <rFont val="Calibri"/>
        <family val="2"/>
        <scheme val="minor"/>
      </rPr>
      <t>ppm,Vconc</t>
    </r>
  </si>
  <si>
    <t>Conversion coefficient between ppm and volumetric concentration</t>
  </si>
  <si>
    <r>
      <t>c</t>
    </r>
    <r>
      <rPr>
        <vertAlign val="subscript"/>
        <sz val="11"/>
        <rFont val="Calibri"/>
        <family val="2"/>
        <scheme val="minor"/>
      </rPr>
      <t>s,d</t>
    </r>
  </si>
  <si>
    <r>
      <t>c</t>
    </r>
    <r>
      <rPr>
        <vertAlign val="subscript"/>
        <sz val="11"/>
        <rFont val="Calibri"/>
        <family val="2"/>
        <scheme val="minor"/>
      </rPr>
      <t>mg,g</t>
    </r>
  </si>
  <si>
    <t>Conversion coefficient between milligrams and grams</t>
  </si>
  <si>
    <r>
      <t>c</t>
    </r>
    <r>
      <rPr>
        <vertAlign val="subscript"/>
        <sz val="11"/>
        <rFont val="Calibri"/>
        <family val="2"/>
        <scheme val="minor"/>
      </rPr>
      <t>L,m3</t>
    </r>
  </si>
  <si>
    <r>
      <t>2727.586+0.6224107*T</t>
    </r>
    <r>
      <rPr>
        <vertAlign val="subscript"/>
        <sz val="11"/>
        <rFont val="Calibri"/>
        <family val="2"/>
        <scheme val="minor"/>
      </rPr>
      <t>K</t>
    </r>
    <r>
      <rPr>
        <sz val="11"/>
        <rFont val="Calibri"/>
        <family val="2"/>
        <scheme val="minor"/>
      </rPr>
      <t>-466.9151*Ln( T</t>
    </r>
    <r>
      <rPr>
        <vertAlign val="subscript"/>
        <sz val="11"/>
        <rFont val="Calibri"/>
        <family val="2"/>
        <scheme val="minor"/>
      </rPr>
      <t xml:space="preserve">K </t>
    </r>
    <r>
      <rPr>
        <sz val="11"/>
        <rFont val="Calibri"/>
        <family val="2"/>
        <scheme val="minor"/>
      </rPr>
      <t>)-(52000.87/T</t>
    </r>
    <r>
      <rPr>
        <vertAlign val="subscript"/>
        <sz val="11"/>
        <rFont val="Calibri"/>
        <family val="2"/>
        <scheme val="minor"/>
      </rPr>
      <t>K</t>
    </r>
    <r>
      <rPr>
        <sz val="11"/>
        <rFont val="Calibri"/>
        <family val="2"/>
        <scheme val="minor"/>
      </rPr>
      <t>)</t>
    </r>
  </si>
  <si>
    <r>
      <t>S</t>
    </r>
    <r>
      <rPr>
        <vertAlign val="subscript"/>
        <sz val="11"/>
        <rFont val="Calibri"/>
        <family val="2"/>
        <scheme val="minor"/>
      </rPr>
      <t>COD</t>
    </r>
    <r>
      <rPr>
        <sz val="11"/>
        <rFont val="Calibri"/>
        <family val="2"/>
        <scheme val="minor"/>
      </rPr>
      <t xml:space="preserve"> + C</t>
    </r>
    <r>
      <rPr>
        <vertAlign val="subscript"/>
        <sz val="11"/>
        <rFont val="Calibri"/>
        <family val="2"/>
        <scheme val="minor"/>
      </rPr>
      <t xml:space="preserve">B </t>
    </r>
    <r>
      <rPr>
        <sz val="11"/>
        <rFont val="Calibri"/>
        <family val="2"/>
        <scheme val="minor"/>
      </rPr>
      <t>+C</t>
    </r>
    <r>
      <rPr>
        <vertAlign val="subscript"/>
        <sz val="11"/>
        <rFont val="Calibri"/>
        <family val="2"/>
        <scheme val="minor"/>
      </rPr>
      <t>U</t>
    </r>
  </si>
  <si>
    <t>Dissociation constants - temperature corrected</t>
  </si>
  <si>
    <r>
      <t>K</t>
    </r>
    <r>
      <rPr>
        <vertAlign val="subscript"/>
        <sz val="11"/>
        <rFont val="Calibri"/>
        <family val="2"/>
        <scheme val="minor"/>
      </rPr>
      <t>W,T</t>
    </r>
  </si>
  <si>
    <r>
      <t>K</t>
    </r>
    <r>
      <rPr>
        <vertAlign val="subscript"/>
        <sz val="11"/>
        <rFont val="Calibri"/>
        <family val="2"/>
        <scheme val="minor"/>
      </rPr>
      <t>C1,T</t>
    </r>
  </si>
  <si>
    <r>
      <t>K</t>
    </r>
    <r>
      <rPr>
        <vertAlign val="subscript"/>
        <sz val="11"/>
        <rFont val="Calibri"/>
        <family val="2"/>
        <scheme val="minor"/>
      </rPr>
      <t>C2,T</t>
    </r>
  </si>
  <si>
    <r>
      <t>K</t>
    </r>
    <r>
      <rPr>
        <vertAlign val="subscript"/>
        <sz val="11"/>
        <rFont val="Calibri"/>
        <family val="2"/>
        <scheme val="minor"/>
      </rPr>
      <t>P1,T</t>
    </r>
  </si>
  <si>
    <r>
      <t>K</t>
    </r>
    <r>
      <rPr>
        <vertAlign val="subscript"/>
        <sz val="11"/>
        <rFont val="Calibri"/>
        <family val="2"/>
        <scheme val="minor"/>
      </rPr>
      <t>P2,T</t>
    </r>
  </si>
  <si>
    <r>
      <t>K</t>
    </r>
    <r>
      <rPr>
        <vertAlign val="subscript"/>
        <sz val="11"/>
        <rFont val="Calibri"/>
        <family val="2"/>
        <scheme val="minor"/>
      </rPr>
      <t>P3,T</t>
    </r>
  </si>
  <si>
    <r>
      <t>K</t>
    </r>
    <r>
      <rPr>
        <vertAlign val="subscript"/>
        <sz val="11"/>
        <rFont val="Calibri"/>
        <family val="2"/>
        <scheme val="minor"/>
      </rPr>
      <t>W,T</t>
    </r>
    <r>
      <rPr>
        <sz val="11"/>
        <rFont val="Calibri"/>
        <family val="2"/>
        <scheme val="minor"/>
      </rPr>
      <t>/f</t>
    </r>
    <r>
      <rPr>
        <vertAlign val="subscript"/>
        <sz val="11"/>
        <rFont val="Calibri"/>
        <family val="2"/>
        <scheme val="minor"/>
      </rPr>
      <t>mono</t>
    </r>
    <r>
      <rPr>
        <sz val="11"/>
        <rFont val="Calibri"/>
        <family val="2"/>
        <scheme val="minor"/>
      </rPr>
      <t>^2</t>
    </r>
  </si>
  <si>
    <r>
      <t>K</t>
    </r>
    <r>
      <rPr>
        <vertAlign val="subscript"/>
        <sz val="11"/>
        <rFont val="Calibri"/>
        <family val="2"/>
        <scheme val="minor"/>
      </rPr>
      <t>C1,T</t>
    </r>
    <r>
      <rPr>
        <sz val="11"/>
        <rFont val="Calibri"/>
        <family val="2"/>
        <scheme val="minor"/>
      </rPr>
      <t>/f</t>
    </r>
    <r>
      <rPr>
        <vertAlign val="subscript"/>
        <sz val="11"/>
        <rFont val="Calibri"/>
        <family val="2"/>
        <scheme val="minor"/>
      </rPr>
      <t>mono</t>
    </r>
    <r>
      <rPr>
        <sz val="11"/>
        <rFont val="Calibri"/>
        <family val="2"/>
        <scheme val="minor"/>
      </rPr>
      <t>^2</t>
    </r>
  </si>
  <si>
    <r>
      <t>K</t>
    </r>
    <r>
      <rPr>
        <vertAlign val="subscript"/>
        <sz val="11"/>
        <rFont val="Calibri"/>
        <family val="2"/>
        <scheme val="minor"/>
      </rPr>
      <t>C2,T</t>
    </r>
    <r>
      <rPr>
        <sz val="11"/>
        <rFont val="Calibri"/>
        <family val="2"/>
        <scheme val="minor"/>
      </rPr>
      <t>/f</t>
    </r>
    <r>
      <rPr>
        <vertAlign val="subscript"/>
        <sz val="11"/>
        <rFont val="Calibri"/>
        <family val="2"/>
        <scheme val="minor"/>
      </rPr>
      <t>di</t>
    </r>
  </si>
  <si>
    <r>
      <t>K</t>
    </r>
    <r>
      <rPr>
        <vertAlign val="subscript"/>
        <sz val="11"/>
        <rFont val="Calibri"/>
        <family val="2"/>
        <scheme val="minor"/>
      </rPr>
      <t>P1,T</t>
    </r>
    <r>
      <rPr>
        <sz val="11"/>
        <rFont val="Calibri"/>
        <family val="2"/>
        <scheme val="minor"/>
      </rPr>
      <t>/f</t>
    </r>
    <r>
      <rPr>
        <vertAlign val="subscript"/>
        <sz val="11"/>
        <rFont val="Calibri"/>
        <family val="2"/>
        <scheme val="minor"/>
      </rPr>
      <t>mono</t>
    </r>
    <r>
      <rPr>
        <sz val="11"/>
        <rFont val="Calibri"/>
        <family val="2"/>
        <scheme val="minor"/>
      </rPr>
      <t>^2</t>
    </r>
  </si>
  <si>
    <r>
      <t>K</t>
    </r>
    <r>
      <rPr>
        <vertAlign val="subscript"/>
        <sz val="11"/>
        <rFont val="Calibri"/>
        <family val="2"/>
        <scheme val="minor"/>
      </rPr>
      <t>P2,T</t>
    </r>
    <r>
      <rPr>
        <sz val="11"/>
        <rFont val="Calibri"/>
        <family val="2"/>
        <scheme val="minor"/>
      </rPr>
      <t>/f</t>
    </r>
    <r>
      <rPr>
        <vertAlign val="subscript"/>
        <sz val="11"/>
        <rFont val="Calibri"/>
        <family val="2"/>
        <scheme val="minor"/>
      </rPr>
      <t>di</t>
    </r>
  </si>
  <si>
    <r>
      <t>K</t>
    </r>
    <r>
      <rPr>
        <vertAlign val="subscript"/>
        <sz val="11"/>
        <rFont val="Calibri"/>
        <family val="2"/>
        <scheme val="minor"/>
      </rPr>
      <t>P3,T</t>
    </r>
    <r>
      <rPr>
        <sz val="11"/>
        <rFont val="Calibri"/>
        <family val="2"/>
        <scheme val="minor"/>
      </rPr>
      <t>/(f</t>
    </r>
    <r>
      <rPr>
        <vertAlign val="subscript"/>
        <sz val="11"/>
        <rFont val="Calibri"/>
        <family val="2"/>
        <scheme val="minor"/>
      </rPr>
      <t>mono</t>
    </r>
    <r>
      <rPr>
        <sz val="11"/>
        <rFont val="Calibri"/>
        <family val="2"/>
        <scheme val="minor"/>
      </rPr>
      <t>*f</t>
    </r>
    <r>
      <rPr>
        <vertAlign val="subscript"/>
        <sz val="11"/>
        <rFont val="Calibri"/>
        <family val="2"/>
        <scheme val="minor"/>
      </rPr>
      <t>tri</t>
    </r>
    <r>
      <rPr>
        <sz val="11"/>
        <rFont val="Calibri"/>
        <family val="2"/>
        <scheme val="minor"/>
      </rPr>
      <t>)*f</t>
    </r>
    <r>
      <rPr>
        <vertAlign val="subscript"/>
        <sz val="11"/>
        <rFont val="Calibri"/>
        <family val="2"/>
        <scheme val="minor"/>
      </rPr>
      <t>di</t>
    </r>
  </si>
  <si>
    <t>Standard enthalpy of formation of species</t>
  </si>
  <si>
    <t>Standard enthalpy of proton</t>
  </si>
  <si>
    <t>http://www.riverdell.org/cms/lib05/NJ01001380/Centricity/Domain/68/Thermodynamic_Values.pdf</t>
  </si>
  <si>
    <t>Standard enthalpy of oxonium ion</t>
  </si>
  <si>
    <t>http://www.vias.org/genchem/standard_enthalpies_table.html</t>
  </si>
  <si>
    <t>Standard enthalpy of hydroxil ion</t>
  </si>
  <si>
    <t>Standard enthalpy of free ammonia</t>
  </si>
  <si>
    <t>Standard enthalpy of ammonium</t>
  </si>
  <si>
    <t>Standard enthalpy of nitrous acid</t>
  </si>
  <si>
    <t>Standard enthalpy of nitrite</t>
  </si>
  <si>
    <t>Standard enthalpy of nitrate</t>
  </si>
  <si>
    <t>Standard enthalpy of carbonic acid</t>
  </si>
  <si>
    <t>Standard enthalpy of bicarbonate ion</t>
  </si>
  <si>
    <t>Standard enthalpy of carbonate ion</t>
  </si>
  <si>
    <t>Perry's Chemical Engineering Handbook, Chap. 2</t>
  </si>
  <si>
    <t>Standard enthalpy of dihydrogen phosphate ion</t>
  </si>
  <si>
    <t>http://bluedevilchem.com/honorshome/hch10/hch10docs/files/heatsformation.pdf</t>
  </si>
  <si>
    <t>Standard enthalpy of hydrogen phosphate ion</t>
  </si>
  <si>
    <t>Standard enthalpy of phosphate ion</t>
  </si>
  <si>
    <t>Standard enthalpy of acetic acid</t>
  </si>
  <si>
    <t>Standard enthalpy of acetate ion</t>
  </si>
  <si>
    <t>Standard enthalpy of formation of compounds</t>
  </si>
  <si>
    <r>
      <t>H</t>
    </r>
    <r>
      <rPr>
        <vertAlign val="subscript"/>
        <sz val="11"/>
        <rFont val="Calibri"/>
        <family val="2"/>
        <scheme val="minor"/>
      </rPr>
      <t>H2O</t>
    </r>
  </si>
  <si>
    <t>Standard enthalpy of formation of H2O (l)</t>
  </si>
  <si>
    <t>Perry's Chemical Engineering Handbook, 2-189</t>
  </si>
  <si>
    <t>Dissociation constants - activity corrected</t>
  </si>
  <si>
    <t>Stoichiometric yields</t>
  </si>
  <si>
    <t>Calcium</t>
  </si>
  <si>
    <r>
      <t>g Ca.m</t>
    </r>
    <r>
      <rPr>
        <vertAlign val="superscript"/>
        <sz val="11"/>
        <rFont val="Calibri"/>
        <family val="2"/>
      </rPr>
      <t>-3</t>
    </r>
  </si>
  <si>
    <t>Ca</t>
  </si>
  <si>
    <t>Mg</t>
  </si>
  <si>
    <r>
      <t>map</t>
    </r>
    <r>
      <rPr>
        <vertAlign val="subscript"/>
        <sz val="11"/>
        <rFont val="Calibri"/>
        <family val="2"/>
      </rPr>
      <t>Ca</t>
    </r>
  </si>
  <si>
    <r>
      <t>map</t>
    </r>
    <r>
      <rPr>
        <vertAlign val="subscript"/>
        <sz val="11"/>
        <rFont val="Calibri"/>
        <family val="2"/>
      </rPr>
      <t>Mg</t>
    </r>
  </si>
  <si>
    <t>Calcium fully dissociated</t>
  </si>
  <si>
    <t>Magnesium fully dissociated</t>
  </si>
  <si>
    <r>
      <t>S</t>
    </r>
    <r>
      <rPr>
        <vertAlign val="subscript"/>
        <sz val="11"/>
        <rFont val="Calibri"/>
        <family val="2"/>
      </rPr>
      <t>Ca</t>
    </r>
    <r>
      <rPr>
        <sz val="11"/>
        <rFont val="Calibri"/>
        <family val="2"/>
      </rPr>
      <t>/(AM</t>
    </r>
    <r>
      <rPr>
        <vertAlign val="subscript"/>
        <sz val="11"/>
        <rFont val="Calibri"/>
        <family val="2"/>
      </rPr>
      <t>Ca</t>
    </r>
    <r>
      <rPr>
        <sz val="11"/>
        <rFont val="Calibri"/>
        <family val="2"/>
      </rPr>
      <t>*1000)</t>
    </r>
  </si>
  <si>
    <r>
      <t>S</t>
    </r>
    <r>
      <rPr>
        <vertAlign val="subscript"/>
        <sz val="11"/>
        <rFont val="Calibri"/>
        <family val="2"/>
      </rPr>
      <t>Mg</t>
    </r>
    <r>
      <rPr>
        <sz val="11"/>
        <rFont val="Calibri"/>
        <family val="2"/>
      </rPr>
      <t>/(AM</t>
    </r>
    <r>
      <rPr>
        <vertAlign val="subscript"/>
        <sz val="11"/>
        <rFont val="Calibri"/>
        <family val="2"/>
      </rPr>
      <t>Mg</t>
    </r>
    <r>
      <rPr>
        <sz val="11"/>
        <rFont val="Calibri"/>
        <family val="2"/>
      </rPr>
      <t>*1000)</t>
    </r>
  </si>
  <si>
    <r>
      <t>[Ca</t>
    </r>
    <r>
      <rPr>
        <b/>
        <vertAlign val="superscript"/>
        <sz val="11"/>
        <rFont val="Calibri"/>
        <family val="2"/>
      </rPr>
      <t>2+</t>
    </r>
    <r>
      <rPr>
        <b/>
        <sz val="11"/>
        <rFont val="Calibri"/>
        <family val="2"/>
      </rPr>
      <t>]</t>
    </r>
  </si>
  <si>
    <r>
      <t>[Mg</t>
    </r>
    <r>
      <rPr>
        <b/>
        <vertAlign val="superscript"/>
        <sz val="11"/>
        <rFont val="Calibri"/>
        <family val="2"/>
      </rPr>
      <t>2+</t>
    </r>
    <r>
      <rPr>
        <b/>
        <sz val="11"/>
        <rFont val="Calibri"/>
        <family val="2"/>
      </rPr>
      <t>]</t>
    </r>
  </si>
  <si>
    <t>Calcium ion</t>
  </si>
  <si>
    <t>Magnesium ion</t>
  </si>
  <si>
    <r>
      <t>S</t>
    </r>
    <r>
      <rPr>
        <b/>
        <vertAlign val="subscript"/>
        <sz val="11"/>
        <rFont val="Calibri"/>
        <family val="2"/>
        <scheme val="minor"/>
      </rPr>
      <t>Ca</t>
    </r>
  </si>
  <si>
    <r>
      <t>X</t>
    </r>
    <r>
      <rPr>
        <b/>
        <vertAlign val="subscript"/>
        <sz val="11"/>
        <rFont val="Calibri"/>
        <family val="2"/>
        <scheme val="minor"/>
      </rPr>
      <t>CaCO3</t>
    </r>
  </si>
  <si>
    <r>
      <t>X</t>
    </r>
    <r>
      <rPr>
        <b/>
        <vertAlign val="subscript"/>
        <sz val="12"/>
        <rFont val="Calibri"/>
        <family val="2"/>
        <scheme val="minor"/>
      </rPr>
      <t>CaCO3</t>
    </r>
  </si>
  <si>
    <r>
      <t>i</t>
    </r>
    <r>
      <rPr>
        <vertAlign val="subscript"/>
        <sz val="11"/>
        <rFont val="Calibri"/>
        <family val="2"/>
        <scheme val="minor"/>
      </rPr>
      <t>Ca,PP</t>
    </r>
  </si>
  <si>
    <r>
      <t>i</t>
    </r>
    <r>
      <rPr>
        <vertAlign val="subscript"/>
        <sz val="11"/>
        <rFont val="Calibri"/>
        <family val="2"/>
        <scheme val="minor"/>
      </rPr>
      <t>Mg,PP</t>
    </r>
  </si>
  <si>
    <r>
      <t>Henry</t>
    </r>
    <r>
      <rPr>
        <vertAlign val="subscript"/>
        <sz val="11"/>
        <rFont val="Calibri"/>
        <family val="2"/>
        <scheme val="minor"/>
      </rPr>
      <t>GO2,25</t>
    </r>
  </si>
  <si>
    <r>
      <t>Henry</t>
    </r>
    <r>
      <rPr>
        <vertAlign val="subscript"/>
        <sz val="11"/>
        <rFont val="Calibri"/>
        <family val="2"/>
        <scheme val="minor"/>
      </rPr>
      <t>GO2,dt</t>
    </r>
  </si>
  <si>
    <r>
      <t>Henry</t>
    </r>
    <r>
      <rPr>
        <vertAlign val="subscript"/>
        <sz val="11"/>
        <rFont val="Calibri"/>
        <family val="2"/>
        <scheme val="minor"/>
      </rPr>
      <t>GCO2,25</t>
    </r>
  </si>
  <si>
    <r>
      <t>Henry</t>
    </r>
    <r>
      <rPr>
        <vertAlign val="subscript"/>
        <sz val="11"/>
        <rFont val="Calibri"/>
        <family val="2"/>
        <scheme val="minor"/>
      </rPr>
      <t>GCO2,dt</t>
    </r>
  </si>
  <si>
    <r>
      <t>Henry</t>
    </r>
    <r>
      <rPr>
        <vertAlign val="subscript"/>
        <sz val="11"/>
        <rFont val="Calibri"/>
        <family val="2"/>
        <scheme val="minor"/>
      </rPr>
      <t>GNO,25</t>
    </r>
  </si>
  <si>
    <r>
      <t>Henry</t>
    </r>
    <r>
      <rPr>
        <vertAlign val="subscript"/>
        <sz val="11"/>
        <rFont val="Calibri"/>
        <family val="2"/>
        <scheme val="minor"/>
      </rPr>
      <t>GNO,dt</t>
    </r>
  </si>
  <si>
    <r>
      <t>Henry</t>
    </r>
    <r>
      <rPr>
        <vertAlign val="subscript"/>
        <sz val="11"/>
        <rFont val="Calibri"/>
        <family val="2"/>
        <scheme val="minor"/>
      </rPr>
      <t>GN2O,25</t>
    </r>
  </si>
  <si>
    <r>
      <t>Henry</t>
    </r>
    <r>
      <rPr>
        <vertAlign val="subscript"/>
        <sz val="11"/>
        <rFont val="Calibri"/>
        <family val="2"/>
        <scheme val="minor"/>
      </rPr>
      <t>GN2O,dt</t>
    </r>
  </si>
  <si>
    <r>
      <t>Henry</t>
    </r>
    <r>
      <rPr>
        <vertAlign val="subscript"/>
        <sz val="11"/>
        <rFont val="Calibri"/>
        <family val="2"/>
        <scheme val="minor"/>
      </rPr>
      <t>GN2,25</t>
    </r>
  </si>
  <si>
    <r>
      <t>Henry</t>
    </r>
    <r>
      <rPr>
        <vertAlign val="subscript"/>
        <sz val="11"/>
        <rFont val="Calibri"/>
        <family val="2"/>
        <scheme val="minor"/>
      </rPr>
      <t>GN2,dt</t>
    </r>
  </si>
  <si>
    <r>
      <t>Henry</t>
    </r>
    <r>
      <rPr>
        <vertAlign val="subscript"/>
        <sz val="11"/>
        <rFont val="Calibri"/>
        <family val="2"/>
        <scheme val="minor"/>
      </rPr>
      <t>GH2,25</t>
    </r>
  </si>
  <si>
    <r>
      <t>Henry</t>
    </r>
    <r>
      <rPr>
        <vertAlign val="subscript"/>
        <sz val="11"/>
        <rFont val="Calibri"/>
        <family val="2"/>
        <scheme val="minor"/>
      </rPr>
      <t>GH2,dt</t>
    </r>
  </si>
  <si>
    <r>
      <t>Henry</t>
    </r>
    <r>
      <rPr>
        <vertAlign val="subscript"/>
        <sz val="11"/>
        <rFont val="Calibri"/>
        <family val="2"/>
        <scheme val="minor"/>
      </rPr>
      <t>GCH4,25</t>
    </r>
  </si>
  <si>
    <r>
      <t>Henry</t>
    </r>
    <r>
      <rPr>
        <vertAlign val="subscript"/>
        <sz val="11"/>
        <rFont val="Calibri"/>
        <family val="2"/>
        <scheme val="minor"/>
      </rPr>
      <t>GCH4,dt</t>
    </r>
  </si>
  <si>
    <r>
      <t>MM</t>
    </r>
    <r>
      <rPr>
        <vertAlign val="subscript"/>
        <sz val="11"/>
        <rFont val="Calibri"/>
        <family val="2"/>
        <scheme val="minor"/>
      </rPr>
      <t>NH4</t>
    </r>
  </si>
  <si>
    <r>
      <t>MM</t>
    </r>
    <r>
      <rPr>
        <vertAlign val="subscript"/>
        <sz val="11"/>
        <rFont val="Calibri"/>
        <family val="2"/>
        <scheme val="minor"/>
      </rPr>
      <t>NO2</t>
    </r>
  </si>
  <si>
    <r>
      <t>MM</t>
    </r>
    <r>
      <rPr>
        <vertAlign val="subscript"/>
        <sz val="11"/>
        <rFont val="Calibri"/>
        <family val="2"/>
        <scheme val="minor"/>
      </rPr>
      <t>NO3</t>
    </r>
  </si>
  <si>
    <r>
      <t>MM</t>
    </r>
    <r>
      <rPr>
        <vertAlign val="subscript"/>
        <sz val="11"/>
        <rFont val="Calibri"/>
        <family val="2"/>
        <scheme val="minor"/>
      </rPr>
      <t>CO3</t>
    </r>
  </si>
  <si>
    <t>Molecular mass of carbonate</t>
  </si>
  <si>
    <r>
      <t>MM</t>
    </r>
    <r>
      <rPr>
        <vertAlign val="subscript"/>
        <sz val="11"/>
        <rFont val="Calibri"/>
        <family val="2"/>
        <scheme val="minor"/>
      </rPr>
      <t>HCO3</t>
    </r>
  </si>
  <si>
    <t>Molecular mass of hydrogen carbonate</t>
  </si>
  <si>
    <r>
      <t>MM</t>
    </r>
    <r>
      <rPr>
        <vertAlign val="subscript"/>
        <sz val="11"/>
        <rFont val="Calibri"/>
        <family val="2"/>
        <scheme val="minor"/>
      </rPr>
      <t>H2CO3</t>
    </r>
  </si>
  <si>
    <t>Molecular mass of carbonic acid</t>
  </si>
  <si>
    <t>Molecular mass of sulfuric acid</t>
  </si>
  <si>
    <r>
      <t>MM</t>
    </r>
    <r>
      <rPr>
        <vertAlign val="subscript"/>
        <sz val="11"/>
        <rFont val="Calibri"/>
        <family val="2"/>
        <scheme val="minor"/>
      </rPr>
      <t>HCl</t>
    </r>
  </si>
  <si>
    <t>Molecular mass of hydrogen sulfide</t>
  </si>
  <si>
    <t>Molecular mass of calcium carbonate</t>
  </si>
  <si>
    <t>Molecular mass of struvite</t>
  </si>
  <si>
    <r>
      <t>MM</t>
    </r>
    <r>
      <rPr>
        <vertAlign val="subscript"/>
        <sz val="11"/>
        <rFont val="Calibri"/>
        <family val="2"/>
        <scheme val="minor"/>
      </rPr>
      <t>SiO2</t>
    </r>
  </si>
  <si>
    <t>Molecular mass of silica</t>
  </si>
  <si>
    <r>
      <t>EEQ</t>
    </r>
    <r>
      <rPr>
        <vertAlign val="subscript"/>
        <sz val="11"/>
        <rFont val="Calibri"/>
        <family val="2"/>
      </rPr>
      <t>NO2,NO3</t>
    </r>
  </si>
  <si>
    <r>
      <t>EEQ</t>
    </r>
    <r>
      <rPr>
        <vertAlign val="subscript"/>
        <sz val="11"/>
        <rFont val="Calibri"/>
        <family val="2"/>
      </rPr>
      <t>N2,NO2</t>
    </r>
  </si>
  <si>
    <r>
      <t>EEQ</t>
    </r>
    <r>
      <rPr>
        <vertAlign val="subscript"/>
        <sz val="11"/>
        <rFont val="Calibri"/>
        <family val="2"/>
      </rPr>
      <t>NO,NO2</t>
    </r>
  </si>
  <si>
    <r>
      <t>EEQ</t>
    </r>
    <r>
      <rPr>
        <vertAlign val="subscript"/>
        <sz val="11"/>
        <rFont val="Calibri"/>
        <family val="2"/>
      </rPr>
      <t>N2O,NO</t>
    </r>
  </si>
  <si>
    <r>
      <t>EEQ</t>
    </r>
    <r>
      <rPr>
        <vertAlign val="subscript"/>
        <sz val="11"/>
        <rFont val="Calibri"/>
        <family val="2"/>
      </rPr>
      <t>N2,N2O</t>
    </r>
  </si>
  <si>
    <r>
      <t>c</t>
    </r>
    <r>
      <rPr>
        <vertAlign val="subscript"/>
        <sz val="11"/>
        <rFont val="Calibri"/>
        <family val="2"/>
        <scheme val="minor"/>
      </rPr>
      <t>g,kg</t>
    </r>
  </si>
  <si>
    <t>Conversion coefficient between grams and kilograms</t>
  </si>
  <si>
    <r>
      <t>c</t>
    </r>
    <r>
      <rPr>
        <vertAlign val="subscript"/>
        <sz val="11"/>
        <rFont val="Calibri"/>
        <family val="2"/>
        <scheme val="minor"/>
      </rPr>
      <t>Pa,Hgmm</t>
    </r>
  </si>
  <si>
    <r>
      <t>c</t>
    </r>
    <r>
      <rPr>
        <vertAlign val="subscript"/>
        <sz val="11"/>
        <rFont val="Calibri"/>
        <family val="2"/>
        <scheme val="minor"/>
      </rPr>
      <t>Pa,bar</t>
    </r>
  </si>
  <si>
    <r>
      <t>c</t>
    </r>
    <r>
      <rPr>
        <vertAlign val="subscript"/>
        <sz val="11"/>
        <rFont val="Calibri"/>
        <family val="2"/>
        <scheme val="minor"/>
      </rPr>
      <t>cm2,m2</t>
    </r>
  </si>
  <si>
    <t>Maximum specific growth rate of HMETO</t>
  </si>
  <si>
    <r>
      <t>S</t>
    </r>
    <r>
      <rPr>
        <b/>
        <vertAlign val="subscript"/>
        <sz val="11"/>
        <rFont val="Calibri"/>
        <family val="2"/>
      </rPr>
      <t>K</t>
    </r>
  </si>
  <si>
    <t>Potassium</t>
  </si>
  <si>
    <r>
      <t>g Na.m</t>
    </r>
    <r>
      <rPr>
        <vertAlign val="superscript"/>
        <sz val="11"/>
        <rFont val="Calibri"/>
        <family val="2"/>
      </rPr>
      <t>-3</t>
    </r>
  </si>
  <si>
    <r>
      <t>g K.m</t>
    </r>
    <r>
      <rPr>
        <vertAlign val="superscript"/>
        <sz val="11"/>
        <rFont val="Calibri"/>
        <family val="2"/>
      </rPr>
      <t>-3</t>
    </r>
  </si>
  <si>
    <r>
      <t>g Cl.m</t>
    </r>
    <r>
      <rPr>
        <vertAlign val="superscript"/>
        <sz val="11"/>
        <rFont val="Calibri"/>
        <family val="2"/>
      </rPr>
      <t>-3</t>
    </r>
  </si>
  <si>
    <r>
      <t>G</t>
    </r>
    <r>
      <rPr>
        <b/>
        <vertAlign val="subscript"/>
        <sz val="11"/>
        <rFont val="Calibri"/>
        <family val="2"/>
        <charset val="238"/>
      </rPr>
      <t>NH3</t>
    </r>
  </si>
  <si>
    <t>Ferrous ion</t>
  </si>
  <si>
    <r>
      <t>G</t>
    </r>
    <r>
      <rPr>
        <b/>
        <vertAlign val="subscript"/>
        <sz val="11"/>
        <rFont val="Calibri"/>
        <family val="2"/>
      </rPr>
      <t>NH3</t>
    </r>
  </si>
  <si>
    <t>Sodium (strong cations)</t>
  </si>
  <si>
    <r>
      <t>[K</t>
    </r>
    <r>
      <rPr>
        <b/>
        <vertAlign val="superscript"/>
        <sz val="11"/>
        <rFont val="Calibri"/>
        <family val="2"/>
      </rPr>
      <t>+</t>
    </r>
    <r>
      <rPr>
        <b/>
        <sz val="11"/>
        <rFont val="Calibri"/>
        <family val="2"/>
      </rPr>
      <t>]</t>
    </r>
  </si>
  <si>
    <t>Chloride (strong anions)</t>
  </si>
  <si>
    <r>
      <t>[Fe</t>
    </r>
    <r>
      <rPr>
        <b/>
        <vertAlign val="superscript"/>
        <sz val="11"/>
        <rFont val="Calibri"/>
        <family val="2"/>
      </rPr>
      <t>2+</t>
    </r>
    <r>
      <rPr>
        <b/>
        <sz val="11"/>
        <rFont val="Calibri"/>
        <family val="2"/>
      </rPr>
      <t>]</t>
    </r>
  </si>
  <si>
    <r>
      <t>10^(-(2835.8/T</t>
    </r>
    <r>
      <rPr>
        <vertAlign val="subscript"/>
        <sz val="11"/>
        <rFont val="Calibri"/>
        <family val="2"/>
        <scheme val="minor"/>
      </rPr>
      <t>K</t>
    </r>
    <r>
      <rPr>
        <sz val="11"/>
        <rFont val="Calibri"/>
        <family val="2"/>
        <scheme val="minor"/>
      </rPr>
      <t xml:space="preserve"> - 0.6322 + 0.00123*T</t>
    </r>
    <r>
      <rPr>
        <vertAlign val="subscript"/>
        <sz val="11"/>
        <rFont val="Calibri"/>
        <family val="2"/>
        <scheme val="minor"/>
      </rPr>
      <t>K</t>
    </r>
    <r>
      <rPr>
        <sz val="11"/>
        <rFont val="Calibri"/>
        <family val="2"/>
        <scheme val="minor"/>
      </rPr>
      <t>))</t>
    </r>
  </si>
  <si>
    <r>
      <t>i</t>
    </r>
    <r>
      <rPr>
        <vertAlign val="subscript"/>
        <sz val="11"/>
        <rFont val="Calibri"/>
        <family val="2"/>
        <scheme val="minor"/>
      </rPr>
      <t>N,CU</t>
    </r>
  </si>
  <si>
    <r>
      <t>i</t>
    </r>
    <r>
      <rPr>
        <vertAlign val="subscript"/>
        <sz val="11"/>
        <rFont val="Calibri"/>
        <family val="2"/>
        <scheme val="minor"/>
      </rPr>
      <t>P,CB</t>
    </r>
  </si>
  <si>
    <r>
      <t>i</t>
    </r>
    <r>
      <rPr>
        <vertAlign val="subscript"/>
        <sz val="11"/>
        <rFont val="Calibri"/>
        <family val="2"/>
        <scheme val="minor"/>
      </rPr>
      <t>P,CU</t>
    </r>
  </si>
  <si>
    <r>
      <t>i</t>
    </r>
    <r>
      <rPr>
        <vertAlign val="subscript"/>
        <sz val="11"/>
        <rFont val="Calibri"/>
        <family val="2"/>
        <scheme val="minor"/>
      </rPr>
      <t>P,SU</t>
    </r>
  </si>
  <si>
    <t>15% of VSS - Ekama</t>
  </si>
  <si>
    <t>and other cations</t>
  </si>
  <si>
    <t>and other anions</t>
  </si>
  <si>
    <t>Diffusion coefficient of ammonia in water</t>
  </si>
  <si>
    <r>
      <t>MM</t>
    </r>
    <r>
      <rPr>
        <vertAlign val="subscript"/>
        <sz val="11"/>
        <rFont val="Calibri"/>
        <family val="2"/>
        <scheme val="minor"/>
      </rPr>
      <t>SO4</t>
    </r>
  </si>
  <si>
    <r>
      <t>MM</t>
    </r>
    <r>
      <rPr>
        <vertAlign val="subscript"/>
        <sz val="11"/>
        <rFont val="Calibri"/>
        <family val="2"/>
        <scheme val="minor"/>
      </rPr>
      <t>HSO4</t>
    </r>
  </si>
  <si>
    <r>
      <t>MM</t>
    </r>
    <r>
      <rPr>
        <vertAlign val="subscript"/>
        <sz val="11"/>
        <rFont val="Calibri"/>
        <family val="2"/>
        <scheme val="minor"/>
      </rPr>
      <t>H2SO4</t>
    </r>
  </si>
  <si>
    <t>N content in GN2</t>
  </si>
  <si>
    <t>N content in GNO</t>
  </si>
  <si>
    <t>N content in GN2O</t>
  </si>
  <si>
    <t>Molecular mass of GCO2</t>
  </si>
  <si>
    <t>Molecular mass of GO2</t>
  </si>
  <si>
    <t>Molecular mass of GCH4</t>
  </si>
  <si>
    <t>Molecular mass of GH2</t>
  </si>
  <si>
    <r>
      <t>EEQ</t>
    </r>
    <r>
      <rPr>
        <vertAlign val="subscript"/>
        <sz val="11"/>
        <rFont val="Calibri"/>
        <family val="2"/>
        <scheme val="minor"/>
      </rPr>
      <t>N2,NO3</t>
    </r>
  </si>
  <si>
    <t>=0.5*1^2</t>
  </si>
  <si>
    <t>=0.5*(-1)^2</t>
  </si>
  <si>
    <t>=0.5*2^2</t>
  </si>
  <si>
    <t>=0.5*(-2)^2</t>
  </si>
  <si>
    <t>=0.5*3^2</t>
  </si>
  <si>
    <t>=0.5*(-3)^2</t>
  </si>
  <si>
    <r>
      <t>c</t>
    </r>
    <r>
      <rPr>
        <vertAlign val="subscript"/>
        <sz val="11"/>
        <rFont val="Calibri"/>
        <family val="2"/>
        <scheme val="minor"/>
      </rPr>
      <t>ms,h</t>
    </r>
  </si>
  <si>
    <t>Conversion coefficient between milliseconds and hours</t>
  </si>
  <si>
    <r>
      <t>ms.h</t>
    </r>
    <r>
      <rPr>
        <vertAlign val="superscript"/>
        <sz val="11"/>
        <rFont val="Calibri"/>
        <family val="2"/>
        <scheme val="minor"/>
      </rPr>
      <t>-1</t>
    </r>
  </si>
  <si>
    <r>
      <t>H</t>
    </r>
    <r>
      <rPr>
        <vertAlign val="subscript"/>
        <sz val="11"/>
        <rFont val="Calibri"/>
        <family val="2"/>
        <scheme val="minor"/>
      </rPr>
      <t>Hp</t>
    </r>
  </si>
  <si>
    <r>
      <t>H</t>
    </r>
    <r>
      <rPr>
        <vertAlign val="subscript"/>
        <sz val="11"/>
        <rFont val="Calibri"/>
        <family val="2"/>
        <scheme val="minor"/>
      </rPr>
      <t>H3Op</t>
    </r>
  </si>
  <si>
    <r>
      <t>H</t>
    </r>
    <r>
      <rPr>
        <vertAlign val="subscript"/>
        <sz val="11"/>
        <rFont val="Calibri"/>
        <family val="2"/>
        <scheme val="minor"/>
      </rPr>
      <t>OHm</t>
    </r>
  </si>
  <si>
    <r>
      <t>H</t>
    </r>
    <r>
      <rPr>
        <vertAlign val="subscript"/>
        <sz val="11"/>
        <rFont val="Calibri"/>
        <family val="2"/>
        <scheme val="minor"/>
      </rPr>
      <t>NH3</t>
    </r>
  </si>
  <si>
    <r>
      <t>H</t>
    </r>
    <r>
      <rPr>
        <vertAlign val="subscript"/>
        <sz val="11"/>
        <rFont val="Calibri"/>
        <family val="2"/>
        <scheme val="minor"/>
      </rPr>
      <t>NH4p</t>
    </r>
  </si>
  <si>
    <r>
      <t>H</t>
    </r>
    <r>
      <rPr>
        <vertAlign val="subscript"/>
        <sz val="11"/>
        <rFont val="Calibri"/>
        <family val="2"/>
        <scheme val="minor"/>
      </rPr>
      <t>HNO2</t>
    </r>
  </si>
  <si>
    <r>
      <t>H</t>
    </r>
    <r>
      <rPr>
        <vertAlign val="subscript"/>
        <sz val="11"/>
        <rFont val="Calibri"/>
        <family val="2"/>
        <scheme val="minor"/>
      </rPr>
      <t>NO2m</t>
    </r>
  </si>
  <si>
    <r>
      <t>H</t>
    </r>
    <r>
      <rPr>
        <vertAlign val="subscript"/>
        <sz val="11"/>
        <rFont val="Calibri"/>
        <family val="2"/>
        <scheme val="minor"/>
      </rPr>
      <t>NO3m</t>
    </r>
  </si>
  <si>
    <r>
      <t>H</t>
    </r>
    <r>
      <rPr>
        <vertAlign val="subscript"/>
        <sz val="11"/>
        <rFont val="Calibri"/>
        <family val="2"/>
        <scheme val="minor"/>
      </rPr>
      <t>H2CO3</t>
    </r>
  </si>
  <si>
    <r>
      <t>H</t>
    </r>
    <r>
      <rPr>
        <vertAlign val="subscript"/>
        <sz val="11"/>
        <rFont val="Calibri"/>
        <family val="2"/>
        <scheme val="minor"/>
      </rPr>
      <t>HCO3m</t>
    </r>
  </si>
  <si>
    <r>
      <t>H</t>
    </r>
    <r>
      <rPr>
        <vertAlign val="subscript"/>
        <sz val="11"/>
        <rFont val="Calibri"/>
        <family val="2"/>
        <scheme val="minor"/>
      </rPr>
      <t>CO32m</t>
    </r>
  </si>
  <si>
    <r>
      <t>H</t>
    </r>
    <r>
      <rPr>
        <vertAlign val="subscript"/>
        <sz val="11"/>
        <rFont val="Calibri"/>
        <family val="2"/>
        <scheme val="minor"/>
      </rPr>
      <t>H3PO4</t>
    </r>
  </si>
  <si>
    <r>
      <t>H</t>
    </r>
    <r>
      <rPr>
        <vertAlign val="subscript"/>
        <sz val="11"/>
        <rFont val="Calibri"/>
        <family val="2"/>
        <scheme val="minor"/>
      </rPr>
      <t>H2PO4m</t>
    </r>
  </si>
  <si>
    <r>
      <t>H</t>
    </r>
    <r>
      <rPr>
        <vertAlign val="subscript"/>
        <sz val="11"/>
        <rFont val="Calibri"/>
        <family val="2"/>
        <scheme val="minor"/>
      </rPr>
      <t>HPO42m</t>
    </r>
  </si>
  <si>
    <r>
      <t>H</t>
    </r>
    <r>
      <rPr>
        <vertAlign val="subscript"/>
        <sz val="11"/>
        <rFont val="Calibri"/>
        <family val="2"/>
        <scheme val="minor"/>
      </rPr>
      <t>PO43m</t>
    </r>
  </si>
  <si>
    <r>
      <t>H</t>
    </r>
    <r>
      <rPr>
        <vertAlign val="subscript"/>
        <sz val="11"/>
        <rFont val="Calibri"/>
        <family val="2"/>
        <scheme val="minor"/>
      </rPr>
      <t>HAc</t>
    </r>
  </si>
  <si>
    <r>
      <t>H</t>
    </r>
    <r>
      <rPr>
        <vertAlign val="subscript"/>
        <sz val="11"/>
        <rFont val="Calibri"/>
        <family val="2"/>
        <scheme val="minor"/>
      </rPr>
      <t>Acm</t>
    </r>
  </si>
  <si>
    <r>
      <t>S</t>
    </r>
    <r>
      <rPr>
        <vertAlign val="subscript"/>
        <sz val="11"/>
        <rFont val="Calibri"/>
        <family val="2"/>
      </rPr>
      <t>K</t>
    </r>
    <r>
      <rPr>
        <sz val="11"/>
        <rFont val="Calibri"/>
        <family val="2"/>
      </rPr>
      <t>/(AM</t>
    </r>
    <r>
      <rPr>
        <vertAlign val="subscript"/>
        <sz val="11"/>
        <rFont val="Calibri"/>
        <family val="2"/>
      </rPr>
      <t>K</t>
    </r>
    <r>
      <rPr>
        <sz val="11"/>
        <rFont val="Calibri"/>
        <family val="2"/>
      </rPr>
      <t>*1000)</t>
    </r>
  </si>
  <si>
    <r>
      <t>map</t>
    </r>
    <r>
      <rPr>
        <vertAlign val="subscript"/>
        <sz val="11"/>
        <rFont val="Calibri"/>
        <family val="2"/>
      </rPr>
      <t>K</t>
    </r>
  </si>
  <si>
    <r>
      <t>map</t>
    </r>
    <r>
      <rPr>
        <vertAlign val="subscript"/>
        <sz val="11"/>
        <rFont val="Calibri"/>
        <family val="2"/>
      </rPr>
      <t>NO3</t>
    </r>
  </si>
  <si>
    <t>Potassium fully dissociated</t>
  </si>
  <si>
    <r>
      <t>map</t>
    </r>
    <r>
      <rPr>
        <vertAlign val="subscript"/>
        <sz val="11"/>
        <rFont val="Calibri"/>
        <family val="2"/>
      </rPr>
      <t>SFerrous</t>
    </r>
  </si>
  <si>
    <t>Molecular mass of hydrogen chloride</t>
  </si>
  <si>
    <t>Molecular mass of hydrogen sulfate</t>
  </si>
  <si>
    <r>
      <t>MM</t>
    </r>
    <r>
      <rPr>
        <vertAlign val="subscript"/>
        <sz val="11"/>
        <rFont val="Calibri"/>
        <family val="2"/>
        <scheme val="minor"/>
      </rPr>
      <t>GNH3</t>
    </r>
  </si>
  <si>
    <t>Molecular mass of sulfate</t>
  </si>
  <si>
    <r>
      <t>MM</t>
    </r>
    <r>
      <rPr>
        <vertAlign val="subscript"/>
        <sz val="11"/>
        <rFont val="Calibri"/>
        <family val="2"/>
        <scheme val="minor"/>
      </rPr>
      <t>H2S</t>
    </r>
  </si>
  <si>
    <t>N content in GNH3</t>
  </si>
  <si>
    <t>Na</t>
  </si>
  <si>
    <r>
      <t>X</t>
    </r>
    <r>
      <rPr>
        <b/>
        <vertAlign val="subscript"/>
        <sz val="11"/>
        <rFont val="Calibri"/>
        <family val="2"/>
        <scheme val="minor"/>
      </rPr>
      <t>Vivi</t>
    </r>
  </si>
  <si>
    <t>Molecular mass of vivianite</t>
  </si>
  <si>
    <t>Molecular mass of iron sulfide</t>
  </si>
  <si>
    <r>
      <t>MM</t>
    </r>
    <r>
      <rPr>
        <vertAlign val="subscript"/>
        <sz val="11"/>
        <rFont val="Calibri"/>
        <family val="2"/>
        <scheme val="minor"/>
      </rPr>
      <t>H2O</t>
    </r>
  </si>
  <si>
    <t>Molecular mass of water</t>
  </si>
  <si>
    <r>
      <t>MM</t>
    </r>
    <r>
      <rPr>
        <vertAlign val="subscript"/>
        <sz val="11"/>
        <rFont val="Calibri"/>
        <family val="2"/>
        <scheme val="minor"/>
      </rPr>
      <t>Vivi</t>
    </r>
  </si>
  <si>
    <r>
      <t>MM</t>
    </r>
    <r>
      <rPr>
        <vertAlign val="subscript"/>
        <sz val="11"/>
        <rFont val="Calibri"/>
        <family val="2"/>
        <scheme val="minor"/>
      </rPr>
      <t>FeS</t>
    </r>
  </si>
  <si>
    <t xml:space="preserve">                                                      </t>
  </si>
  <si>
    <r>
      <t>i</t>
    </r>
    <r>
      <rPr>
        <vertAlign val="subscript"/>
        <sz val="11"/>
        <rFont val="Calibri"/>
        <family val="2"/>
        <scheme val="minor"/>
      </rPr>
      <t>N,CB</t>
    </r>
  </si>
  <si>
    <r>
      <t>i</t>
    </r>
    <r>
      <rPr>
        <vertAlign val="subscript"/>
        <sz val="11"/>
        <rFont val="Calibri"/>
        <family val="2"/>
        <scheme val="minor"/>
      </rPr>
      <t>N,SU</t>
    </r>
  </si>
  <si>
    <t>Vivianite precipitation</t>
  </si>
  <si>
    <r>
      <t>MgNH</t>
    </r>
    <r>
      <rPr>
        <vertAlign val="subscript"/>
        <sz val="11"/>
        <color indexed="8"/>
        <rFont val="Calibri"/>
        <family val="2"/>
        <scheme val="minor"/>
      </rPr>
      <t>4</t>
    </r>
    <r>
      <rPr>
        <sz val="11"/>
        <color indexed="8"/>
        <rFont val="Calibri"/>
        <family val="2"/>
        <scheme val="minor"/>
      </rPr>
      <t>PO</t>
    </r>
    <r>
      <rPr>
        <vertAlign val="subscript"/>
        <sz val="11"/>
        <color indexed="8"/>
        <rFont val="Calibri"/>
        <family val="2"/>
        <scheme val="minor"/>
      </rPr>
      <t>4</t>
    </r>
    <r>
      <rPr>
        <sz val="11"/>
        <color indexed="8"/>
        <rFont val="Calibri"/>
        <family val="2"/>
        <scheme val="minor"/>
      </rPr>
      <t xml:space="preserve"> * 6H</t>
    </r>
    <r>
      <rPr>
        <vertAlign val="subscript"/>
        <sz val="11"/>
        <color indexed="8"/>
        <rFont val="Calibri"/>
        <family val="2"/>
        <scheme val="minor"/>
      </rPr>
      <t>2</t>
    </r>
    <r>
      <rPr>
        <sz val="11"/>
        <color indexed="8"/>
        <rFont val="Calibri"/>
        <family val="2"/>
        <scheme val="minor"/>
      </rPr>
      <t>O</t>
    </r>
  </si>
  <si>
    <t>Amorphous calcium phosphate precipitation</t>
  </si>
  <si>
    <t>Calcium carbonate precipitation</t>
  </si>
  <si>
    <r>
      <t>CaCO</t>
    </r>
    <r>
      <rPr>
        <vertAlign val="subscript"/>
        <sz val="11"/>
        <color indexed="8"/>
        <rFont val="Calibri"/>
        <family val="2"/>
        <scheme val="minor"/>
      </rPr>
      <t>3</t>
    </r>
  </si>
  <si>
    <r>
      <t>Ca</t>
    </r>
    <r>
      <rPr>
        <vertAlign val="subscript"/>
        <sz val="11"/>
        <color indexed="8"/>
        <rFont val="Calibri"/>
        <family val="2"/>
      </rPr>
      <t>3</t>
    </r>
    <r>
      <rPr>
        <sz val="11"/>
        <color indexed="8"/>
        <rFont val="Calibri"/>
        <family val="2"/>
      </rPr>
      <t>(</t>
    </r>
    <r>
      <rPr>
        <sz val="11"/>
        <color indexed="8"/>
        <rFont val="Calibri"/>
        <family val="2"/>
        <scheme val="minor"/>
      </rPr>
      <t>PO</t>
    </r>
    <r>
      <rPr>
        <vertAlign val="subscript"/>
        <sz val="11"/>
        <color indexed="8"/>
        <rFont val="Calibri"/>
        <family val="2"/>
        <scheme val="minor"/>
      </rPr>
      <t>4</t>
    </r>
    <r>
      <rPr>
        <sz val="11"/>
        <color indexed="8"/>
        <rFont val="Calibri"/>
        <family val="2"/>
        <scheme val="minor"/>
      </rPr>
      <t>)</t>
    </r>
    <r>
      <rPr>
        <vertAlign val="subscript"/>
        <sz val="11"/>
        <color indexed="8"/>
        <rFont val="Calibri"/>
        <family val="2"/>
        <scheme val="minor"/>
      </rPr>
      <t>2</t>
    </r>
    <r>
      <rPr>
        <sz val="11"/>
        <color indexed="8"/>
        <rFont val="Calibri"/>
        <family val="2"/>
        <scheme val="minor"/>
      </rPr>
      <t xml:space="preserve"> * 4H</t>
    </r>
    <r>
      <rPr>
        <vertAlign val="subscript"/>
        <sz val="11"/>
        <color indexed="8"/>
        <rFont val="Calibri"/>
        <family val="2"/>
        <scheme val="minor"/>
      </rPr>
      <t>2</t>
    </r>
    <r>
      <rPr>
        <sz val="11"/>
        <color indexed="8"/>
        <rFont val="Calibri"/>
        <family val="2"/>
        <scheme val="minor"/>
      </rPr>
      <t>O</t>
    </r>
  </si>
  <si>
    <r>
      <t>Fe</t>
    </r>
    <r>
      <rPr>
        <vertAlign val="subscript"/>
        <sz val="11"/>
        <color indexed="8"/>
        <rFont val="Calibri"/>
        <family val="2"/>
      </rPr>
      <t>3</t>
    </r>
    <r>
      <rPr>
        <sz val="11"/>
        <color indexed="8"/>
        <rFont val="Calibri"/>
        <family val="2"/>
      </rPr>
      <t>(PO</t>
    </r>
    <r>
      <rPr>
        <vertAlign val="subscript"/>
        <sz val="11"/>
        <color indexed="8"/>
        <rFont val="Calibri"/>
        <family val="2"/>
      </rPr>
      <t>4</t>
    </r>
    <r>
      <rPr>
        <sz val="11"/>
        <color indexed="8"/>
        <rFont val="Calibri"/>
        <family val="2"/>
      </rPr>
      <t>)</t>
    </r>
    <r>
      <rPr>
        <vertAlign val="subscript"/>
        <sz val="11"/>
        <color indexed="8"/>
        <rFont val="Calibri"/>
        <family val="2"/>
      </rPr>
      <t xml:space="preserve">2 </t>
    </r>
    <r>
      <rPr>
        <sz val="11"/>
        <color indexed="8"/>
        <rFont val="Calibri"/>
        <family val="2"/>
      </rPr>
      <t>* 8H</t>
    </r>
    <r>
      <rPr>
        <vertAlign val="subscript"/>
        <sz val="11"/>
        <color indexed="8"/>
        <rFont val="Calibri"/>
        <family val="2"/>
      </rPr>
      <t>2</t>
    </r>
    <r>
      <rPr>
        <sz val="11"/>
        <color indexed="8"/>
        <rFont val="Calibri"/>
        <family val="2"/>
      </rPr>
      <t>O</t>
    </r>
  </si>
  <si>
    <t>Molecular mass of amorphous calcium phosphate</t>
  </si>
  <si>
    <r>
      <t>X</t>
    </r>
    <r>
      <rPr>
        <b/>
        <vertAlign val="subscript"/>
        <sz val="12"/>
        <rFont val="Calibri"/>
        <family val="2"/>
        <scheme val="minor"/>
      </rPr>
      <t>ACP</t>
    </r>
  </si>
  <si>
    <r>
      <t>X</t>
    </r>
    <r>
      <rPr>
        <b/>
        <vertAlign val="subscript"/>
        <sz val="11"/>
        <rFont val="Calibri"/>
        <family val="2"/>
        <scheme val="minor"/>
      </rPr>
      <t>ACP</t>
    </r>
  </si>
  <si>
    <r>
      <t>g TIC.m</t>
    </r>
    <r>
      <rPr>
        <vertAlign val="superscript"/>
        <sz val="11"/>
        <rFont val="Calibri"/>
        <family val="2"/>
      </rPr>
      <t>-3</t>
    </r>
  </si>
  <si>
    <t>Anaerobic endogenous decay products</t>
  </si>
  <si>
    <t>1 / (1 + Exp((halfval - var) * slope))</t>
  </si>
  <si>
    <t>1 / (1 + Exp((var - halfval) * slope))</t>
  </si>
  <si>
    <t>Haldane equation</t>
  </si>
  <si>
    <t>Noncompinh(var; halfinh)</t>
  </si>
  <si>
    <t>Non-competetive inhibition</t>
  </si>
  <si>
    <t>1 / (1 + (var / halfinh))</t>
  </si>
  <si>
    <r>
      <t>i</t>
    </r>
    <r>
      <rPr>
        <vertAlign val="subscript"/>
        <sz val="11"/>
        <rFont val="Calibri"/>
        <family val="2"/>
        <scheme val="minor"/>
      </rPr>
      <t>CV,VFA</t>
    </r>
  </si>
  <si>
    <r>
      <t>i</t>
    </r>
    <r>
      <rPr>
        <vertAlign val="subscript"/>
        <sz val="11"/>
        <rFont val="Calibri"/>
        <family val="2"/>
        <scheme val="minor"/>
      </rPr>
      <t>CV,SB</t>
    </r>
  </si>
  <si>
    <r>
      <t>i</t>
    </r>
    <r>
      <rPr>
        <vertAlign val="subscript"/>
        <sz val="11"/>
        <rFont val="Calibri"/>
        <family val="2"/>
        <scheme val="minor"/>
      </rPr>
      <t>CV,SU</t>
    </r>
  </si>
  <si>
    <r>
      <t>i</t>
    </r>
    <r>
      <rPr>
        <vertAlign val="subscript"/>
        <sz val="11"/>
        <rFont val="Calibri"/>
        <family val="2"/>
        <scheme val="minor"/>
      </rPr>
      <t>CV,CB</t>
    </r>
  </si>
  <si>
    <r>
      <t>i</t>
    </r>
    <r>
      <rPr>
        <vertAlign val="subscript"/>
        <sz val="11"/>
        <rFont val="Calibri"/>
        <family val="2"/>
        <scheme val="minor"/>
      </rPr>
      <t>CV,CU</t>
    </r>
  </si>
  <si>
    <r>
      <t>EEQ</t>
    </r>
    <r>
      <rPr>
        <vertAlign val="subscript"/>
        <sz val="11"/>
        <rFont val="Calibri"/>
        <family val="2"/>
        <scheme val="minor"/>
      </rPr>
      <t>H2S</t>
    </r>
  </si>
  <si>
    <t>-1</t>
  </si>
  <si>
    <r>
      <t>MM</t>
    </r>
    <r>
      <rPr>
        <vertAlign val="subscript"/>
        <sz val="11"/>
        <rFont val="Calibri"/>
        <family val="2"/>
        <scheme val="minor"/>
      </rPr>
      <t>EQ,GH2S</t>
    </r>
  </si>
  <si>
    <t>Molecular mass of GH2S</t>
  </si>
  <si>
    <t>Non-pH</t>
  </si>
  <si>
    <r>
      <t>Henry</t>
    </r>
    <r>
      <rPr>
        <vertAlign val="subscript"/>
        <sz val="11"/>
        <rFont val="Calibri"/>
        <family val="2"/>
        <scheme val="minor"/>
      </rPr>
      <t>GH2S,25</t>
    </r>
  </si>
  <si>
    <r>
      <t>Henry</t>
    </r>
    <r>
      <rPr>
        <vertAlign val="subscript"/>
        <sz val="11"/>
        <rFont val="Calibri"/>
        <family val="2"/>
        <scheme val="minor"/>
      </rPr>
      <t>GH2S,dt</t>
    </r>
  </si>
  <si>
    <r>
      <t>Temperature dependency factor for H</t>
    </r>
    <r>
      <rPr>
        <vertAlign val="subscript"/>
        <sz val="11"/>
        <rFont val="Calibri"/>
        <family val="2"/>
        <scheme val="minor"/>
      </rPr>
      <t>2</t>
    </r>
    <r>
      <rPr>
        <sz val="11"/>
        <rFont val="Calibri"/>
        <family val="2"/>
        <scheme val="minor"/>
      </rPr>
      <t>S Henry coefficient</t>
    </r>
  </si>
  <si>
    <r>
      <t>MM</t>
    </r>
    <r>
      <rPr>
        <vertAlign val="subscript"/>
        <sz val="11"/>
        <rFont val="Calibri"/>
        <family val="2"/>
        <scheme val="minor"/>
      </rPr>
      <t>GH2S</t>
    </r>
  </si>
  <si>
    <r>
      <t>f</t>
    </r>
    <r>
      <rPr>
        <vertAlign val="subscript"/>
        <sz val="11"/>
        <rFont val="Calibri"/>
        <family val="2"/>
        <scheme val="minor"/>
      </rPr>
      <t>Na</t>
    </r>
  </si>
  <si>
    <t>To clean up any remaining methanol in digesters without having to ferment mechanistically</t>
  </si>
  <si>
    <r>
      <t>S</t>
    </r>
    <r>
      <rPr>
        <b/>
        <vertAlign val="subscript"/>
        <sz val="11"/>
        <rFont val="Calibri"/>
        <family val="2"/>
      </rPr>
      <t>CAT</t>
    </r>
  </si>
  <si>
    <r>
      <t>S</t>
    </r>
    <r>
      <rPr>
        <b/>
        <vertAlign val="subscript"/>
        <sz val="11"/>
        <rFont val="Calibri"/>
        <family val="2"/>
      </rPr>
      <t>AN</t>
    </r>
  </si>
  <si>
    <r>
      <t>S</t>
    </r>
    <r>
      <rPr>
        <vertAlign val="subscript"/>
        <sz val="11"/>
        <rFont val="Calibri"/>
        <family val="2"/>
        <scheme val="minor"/>
      </rPr>
      <t>CAT</t>
    </r>
  </si>
  <si>
    <r>
      <t>S</t>
    </r>
    <r>
      <rPr>
        <vertAlign val="subscript"/>
        <sz val="11"/>
        <rFont val="Calibri"/>
        <family val="2"/>
      </rPr>
      <t>CAT</t>
    </r>
    <r>
      <rPr>
        <sz val="11"/>
        <rFont val="Calibri"/>
        <family val="2"/>
      </rPr>
      <t>/(AM</t>
    </r>
    <r>
      <rPr>
        <vertAlign val="subscript"/>
        <sz val="11"/>
        <rFont val="Calibri"/>
        <family val="2"/>
      </rPr>
      <t>Na</t>
    </r>
    <r>
      <rPr>
        <sz val="11"/>
        <rFont val="Calibri"/>
        <family val="2"/>
      </rPr>
      <t>*1000)</t>
    </r>
  </si>
  <si>
    <r>
      <t>S</t>
    </r>
    <r>
      <rPr>
        <vertAlign val="subscript"/>
        <sz val="11"/>
        <rFont val="Calibri"/>
        <family val="2"/>
      </rPr>
      <t>AN</t>
    </r>
    <r>
      <rPr>
        <sz val="11"/>
        <rFont val="Calibri"/>
        <family val="2"/>
      </rPr>
      <t>/(AM</t>
    </r>
    <r>
      <rPr>
        <vertAlign val="subscript"/>
        <sz val="11"/>
        <rFont val="Calibri"/>
        <family val="2"/>
      </rPr>
      <t>Cl</t>
    </r>
    <r>
      <rPr>
        <sz val="11"/>
        <rFont val="Calibri"/>
        <family val="2"/>
      </rPr>
      <t>*1000)</t>
    </r>
  </si>
  <si>
    <t>Charge balance error for SCAT calculation</t>
  </si>
  <si>
    <r>
      <t>pH</t>
    </r>
    <r>
      <rPr>
        <vertAlign val="subscript"/>
        <sz val="11"/>
        <rFont val="Calibri"/>
        <family val="2"/>
        <scheme val="minor"/>
      </rPr>
      <t>low</t>
    </r>
  </si>
  <si>
    <r>
      <t>pH</t>
    </r>
    <r>
      <rPr>
        <vertAlign val="subscript"/>
        <sz val="11"/>
        <rFont val="Calibri"/>
        <family val="2"/>
        <scheme val="minor"/>
      </rPr>
      <t>high</t>
    </r>
  </si>
  <si>
    <t>www.dynamita.com</t>
  </si>
  <si>
    <r>
      <t>f(G</t>
    </r>
    <r>
      <rPr>
        <vertAlign val="subscript"/>
        <sz val="11"/>
        <rFont val="Calibri"/>
        <family val="2"/>
      </rPr>
      <t>O2</t>
    </r>
    <r>
      <rPr>
        <sz val="11"/>
        <rFont val="Calibri"/>
        <family val="2"/>
      </rPr>
      <t>)</t>
    </r>
  </si>
  <si>
    <r>
      <t>f(G</t>
    </r>
    <r>
      <rPr>
        <vertAlign val="subscript"/>
        <sz val="11"/>
        <rFont val="Calibri"/>
        <family val="2"/>
      </rPr>
      <t>CO2</t>
    </r>
    <r>
      <rPr>
        <sz val="11"/>
        <rFont val="Calibri"/>
        <family val="2"/>
      </rPr>
      <t>)</t>
    </r>
  </si>
  <si>
    <r>
      <t>f(G</t>
    </r>
    <r>
      <rPr>
        <vertAlign val="subscript"/>
        <sz val="11"/>
        <rFont val="Calibri"/>
        <family val="2"/>
      </rPr>
      <t>CH4</t>
    </r>
    <r>
      <rPr>
        <sz val="11"/>
        <rFont val="Calibri"/>
        <family val="2"/>
      </rPr>
      <t>)</t>
    </r>
  </si>
  <si>
    <r>
      <t>f(G</t>
    </r>
    <r>
      <rPr>
        <vertAlign val="subscript"/>
        <sz val="11"/>
        <rFont val="Calibri"/>
        <family val="2"/>
      </rPr>
      <t>H2</t>
    </r>
    <r>
      <rPr>
        <sz val="11"/>
        <rFont val="Calibri"/>
        <family val="2"/>
      </rPr>
      <t>)</t>
    </r>
  </si>
  <si>
    <r>
      <t>f(G</t>
    </r>
    <r>
      <rPr>
        <vertAlign val="subscript"/>
        <sz val="11"/>
        <rFont val="Calibri"/>
        <family val="2"/>
      </rPr>
      <t>N2</t>
    </r>
    <r>
      <rPr>
        <sz val="11"/>
        <rFont val="Calibri"/>
        <family val="2"/>
      </rPr>
      <t>)</t>
    </r>
  </si>
  <si>
    <t>Other system parameters</t>
  </si>
  <si>
    <t>NoName</t>
  </si>
  <si>
    <t>Testing Attributes</t>
  </si>
  <si>
    <t>Biofilm</t>
  </si>
  <si>
    <t>TestAttribute</t>
  </si>
  <si>
    <r>
      <t>f(G</t>
    </r>
    <r>
      <rPr>
        <vertAlign val="subscript"/>
        <sz val="11"/>
        <rFont val="Calibri"/>
        <family val="2"/>
      </rPr>
      <t>H2S</t>
    </r>
    <r>
      <rPr>
        <sz val="11"/>
        <rFont val="Calibri"/>
        <family val="2"/>
      </rPr>
      <t>)</t>
    </r>
  </si>
  <si>
    <r>
      <t>f(G</t>
    </r>
    <r>
      <rPr>
        <vertAlign val="subscript"/>
        <sz val="11"/>
        <rFont val="Calibri"/>
        <family val="2"/>
      </rPr>
      <t>NH3</t>
    </r>
    <r>
      <rPr>
        <sz val="11"/>
        <rFont val="Calibri"/>
        <family val="2"/>
      </rPr>
      <t>)</t>
    </r>
  </si>
  <si>
    <r>
      <t>g O</t>
    </r>
    <r>
      <rPr>
        <vertAlign val="subscript"/>
        <sz val="11"/>
        <rFont val="Calibri"/>
        <family val="2"/>
        <scheme val="minor"/>
      </rPr>
      <t>2</t>
    </r>
    <r>
      <rPr>
        <sz val="11"/>
        <rFont val="Calibri"/>
        <family val="2"/>
        <scheme val="minor"/>
      </rPr>
      <t>.m</t>
    </r>
    <r>
      <rPr>
        <vertAlign val="superscript"/>
        <sz val="11"/>
        <rFont val="Calibri"/>
        <family val="2"/>
        <scheme val="minor"/>
      </rPr>
      <t>-3</t>
    </r>
  </si>
  <si>
    <r>
      <t>g COD.m</t>
    </r>
    <r>
      <rPr>
        <vertAlign val="superscript"/>
        <sz val="11"/>
        <rFont val="Calibri"/>
        <family val="2"/>
        <scheme val="minor"/>
      </rPr>
      <t>-3</t>
    </r>
  </si>
  <si>
    <r>
      <t>K</t>
    </r>
    <r>
      <rPr>
        <vertAlign val="subscript"/>
        <sz val="11"/>
        <rFont val="Calibri"/>
        <family val="2"/>
        <scheme val="minor"/>
      </rPr>
      <t>PO4,PAO</t>
    </r>
  </si>
  <si>
    <r>
      <t>K</t>
    </r>
    <r>
      <rPr>
        <vertAlign val="subscript"/>
        <sz val="11"/>
        <rFont val="Calibri"/>
        <family val="2"/>
        <scheme val="minor"/>
      </rPr>
      <t>PP,lim</t>
    </r>
  </si>
  <si>
    <r>
      <t>K</t>
    </r>
    <r>
      <rPr>
        <vertAlign val="subscript"/>
        <sz val="11"/>
        <rFont val="Calibri"/>
        <family val="2"/>
        <scheme val="minor"/>
      </rPr>
      <t>HYD</t>
    </r>
  </si>
  <si>
    <r>
      <t>µ</t>
    </r>
    <r>
      <rPr>
        <vertAlign val="subscript"/>
        <sz val="11"/>
        <rFont val="Calibri"/>
        <family val="2"/>
        <scheme val="minor"/>
      </rPr>
      <t>OHO</t>
    </r>
  </si>
  <si>
    <r>
      <t>b</t>
    </r>
    <r>
      <rPr>
        <vertAlign val="subscript"/>
        <sz val="11"/>
        <rFont val="Calibri"/>
        <family val="2"/>
        <scheme val="minor"/>
      </rPr>
      <t>OHO</t>
    </r>
  </si>
  <si>
    <r>
      <t>µ</t>
    </r>
    <r>
      <rPr>
        <vertAlign val="subscript"/>
        <sz val="11"/>
        <rFont val="Calibri"/>
        <family val="2"/>
        <scheme val="minor"/>
      </rPr>
      <t>FERM,OHO</t>
    </r>
  </si>
  <si>
    <r>
      <t>µ</t>
    </r>
    <r>
      <rPr>
        <vertAlign val="subscript"/>
        <sz val="11"/>
        <rFont val="Calibri"/>
        <family val="2"/>
        <scheme val="minor"/>
      </rPr>
      <t>MEOLO</t>
    </r>
  </si>
  <si>
    <r>
      <t>b</t>
    </r>
    <r>
      <rPr>
        <vertAlign val="subscript"/>
        <sz val="11"/>
        <rFont val="Calibri"/>
        <family val="2"/>
        <scheme val="minor"/>
      </rPr>
      <t>MEOLO</t>
    </r>
  </si>
  <si>
    <r>
      <t>q</t>
    </r>
    <r>
      <rPr>
        <vertAlign val="subscript"/>
        <sz val="11"/>
        <rFont val="Calibri"/>
        <family val="2"/>
        <scheme val="minor"/>
      </rPr>
      <t>MEOL</t>
    </r>
  </si>
  <si>
    <r>
      <t>µ</t>
    </r>
    <r>
      <rPr>
        <vertAlign val="subscript"/>
        <sz val="11"/>
        <rFont val="Calibri"/>
        <family val="2"/>
        <scheme val="minor"/>
      </rPr>
      <t>AMETO</t>
    </r>
  </si>
  <si>
    <r>
      <t>b</t>
    </r>
    <r>
      <rPr>
        <vertAlign val="subscript"/>
        <sz val="11"/>
        <rFont val="Calibri"/>
        <family val="2"/>
        <scheme val="minor"/>
      </rPr>
      <t>AMETO</t>
    </r>
    <r>
      <rPr>
        <sz val="11"/>
        <color indexed="8"/>
        <rFont val="Calibri"/>
        <family val="2"/>
      </rPr>
      <t/>
    </r>
  </si>
  <si>
    <t>Parameters for half saturation coefficients in biofilms</t>
  </si>
  <si>
    <r>
      <rPr>
        <sz val="11"/>
        <rFont val="Calibri"/>
        <family val="2"/>
        <scheme val="minor"/>
      </rPr>
      <t>f</t>
    </r>
    <r>
      <rPr>
        <vertAlign val="subscript"/>
        <sz val="11"/>
        <rFont val="Calibri"/>
        <family val="2"/>
        <scheme val="minor"/>
      </rPr>
      <t>KS,biofilm</t>
    </r>
  </si>
  <si>
    <t>http://webbook.nist.gov/cgi/cbook.cgi?Formula=H2&amp;NoIon=on&amp;Units=SI&amp;cSO=on</t>
  </si>
  <si>
    <t>http://webbook.nist.gov/cgi/cbook.cgi?Formula=CH4&amp;NoIon=on&amp;Units=SI&amp;cSO=on</t>
  </si>
  <si>
    <r>
      <t>Henry</t>
    </r>
    <r>
      <rPr>
        <vertAlign val="subscript"/>
        <sz val="11"/>
        <rFont val="Calibri"/>
        <family val="2"/>
        <scheme val="minor"/>
      </rPr>
      <t>GNH3,25</t>
    </r>
  </si>
  <si>
    <r>
      <t>Henry coefficient for NH</t>
    </r>
    <r>
      <rPr>
        <vertAlign val="subscript"/>
        <sz val="11"/>
        <rFont val="Calibri"/>
        <family val="2"/>
        <scheme val="minor"/>
      </rPr>
      <t xml:space="preserve">3 </t>
    </r>
    <r>
      <rPr>
        <sz val="11"/>
        <rFont val="Calibri"/>
        <family val="2"/>
        <scheme val="minor"/>
      </rPr>
      <t>@25°C</t>
    </r>
  </si>
  <si>
    <t>http://webbook.nist.gov/cgi/cbook.cgi?Formula=NH3&amp;NoIon=on&amp;Units=SI&amp;cSO=on</t>
  </si>
  <si>
    <r>
      <t>Henry</t>
    </r>
    <r>
      <rPr>
        <vertAlign val="subscript"/>
        <sz val="11"/>
        <rFont val="Calibri"/>
        <family val="2"/>
        <scheme val="minor"/>
      </rPr>
      <t>GNH3,dt</t>
    </r>
  </si>
  <si>
    <r>
      <t>Temperature dependency factor for NH</t>
    </r>
    <r>
      <rPr>
        <vertAlign val="subscript"/>
        <sz val="11"/>
        <rFont val="Calibri"/>
        <family val="2"/>
        <scheme val="minor"/>
      </rPr>
      <t>3</t>
    </r>
    <r>
      <rPr>
        <sz val="11"/>
        <rFont val="Calibri"/>
        <family val="2"/>
        <scheme val="minor"/>
      </rPr>
      <t xml:space="preserve"> Henry coefficient</t>
    </r>
  </si>
  <si>
    <r>
      <t>Henry coefficient for H</t>
    </r>
    <r>
      <rPr>
        <vertAlign val="subscript"/>
        <sz val="11"/>
        <rFont val="Calibri"/>
        <family val="2"/>
        <scheme val="minor"/>
      </rPr>
      <t>2</t>
    </r>
    <r>
      <rPr>
        <sz val="11"/>
        <rFont val="Calibri"/>
        <family val="2"/>
        <scheme val="minor"/>
      </rPr>
      <t>S</t>
    </r>
    <r>
      <rPr>
        <vertAlign val="subscript"/>
        <sz val="11"/>
        <rFont val="Calibri"/>
        <family val="2"/>
        <scheme val="minor"/>
      </rPr>
      <t xml:space="preserve"> </t>
    </r>
    <r>
      <rPr>
        <sz val="11"/>
        <rFont val="Calibri"/>
        <family val="2"/>
        <scheme val="minor"/>
      </rPr>
      <t>@25°C</t>
    </r>
  </si>
  <si>
    <t>http://webbook.nist.gov/cgi/cbook.cgi?Formula=H2S&amp;NoIon=on&amp;Units=SI&amp;cSO=on</t>
  </si>
  <si>
    <t>Diffusion coefficient of hydrogen sulfide in water @ 25°C</t>
  </si>
  <si>
    <t>Enthalpy of water at 0°C</t>
  </si>
  <si>
    <t>Molecular mass of hydrogen sulphide</t>
  </si>
  <si>
    <r>
      <t>MM</t>
    </r>
    <r>
      <rPr>
        <vertAlign val="subscript"/>
        <sz val="11"/>
        <rFont val="Calibri"/>
        <family val="2"/>
        <scheme val="minor"/>
      </rPr>
      <t>ACP</t>
    </r>
  </si>
  <si>
    <r>
      <t>Electron equivalence of H</t>
    </r>
    <r>
      <rPr>
        <vertAlign val="subscript"/>
        <sz val="11"/>
        <rFont val="Calibri"/>
        <family val="2"/>
        <scheme val="minor"/>
      </rPr>
      <t>2</t>
    </r>
    <r>
      <rPr>
        <sz val="11"/>
        <rFont val="Calibri"/>
        <family val="2"/>
        <scheme val="minor"/>
      </rPr>
      <t>S to H</t>
    </r>
    <r>
      <rPr>
        <vertAlign val="subscript"/>
        <sz val="11"/>
        <rFont val="Calibri"/>
        <family val="2"/>
        <scheme val="minor"/>
      </rPr>
      <t>2</t>
    </r>
    <r>
      <rPr>
        <sz val="11"/>
        <rFont val="Calibri"/>
        <family val="2"/>
        <scheme val="minor"/>
      </rPr>
      <t>SO</t>
    </r>
    <r>
      <rPr>
        <vertAlign val="subscript"/>
        <sz val="11"/>
        <rFont val="Calibri"/>
        <family val="2"/>
        <scheme val="minor"/>
      </rPr>
      <t>4</t>
    </r>
  </si>
  <si>
    <t>Precipitation/redissolution rates</t>
  </si>
  <si>
    <t>Digester</t>
  </si>
  <si>
    <t>NonDetect</t>
  </si>
  <si>
    <r>
      <t>g TIC.m</t>
    </r>
    <r>
      <rPr>
        <vertAlign val="superscript"/>
        <sz val="11"/>
        <rFont val="Calibri"/>
        <family val="2"/>
        <scheme val="minor"/>
      </rPr>
      <t>-3</t>
    </r>
  </si>
  <si>
    <t>Type(Energy)</t>
  </si>
  <si>
    <t>Temperature [K]</t>
  </si>
  <si>
    <t>Temperature [°C]</t>
  </si>
  <si>
    <t>°C</t>
  </si>
  <si>
    <t>Zero</t>
  </si>
  <si>
    <t xml:space="preserve">  </t>
  </si>
  <si>
    <t>Type(Chargebalance)</t>
  </si>
  <si>
    <t>Rate</t>
  </si>
  <si>
    <r>
      <t>f(S</t>
    </r>
    <r>
      <rPr>
        <vertAlign val="subscript"/>
        <sz val="11"/>
        <rFont val="Calibri"/>
        <family val="2"/>
        <scheme val="minor"/>
      </rPr>
      <t>CO2</t>
    </r>
    <r>
      <rPr>
        <sz val="11"/>
        <rFont val="Calibri"/>
        <family val="2"/>
        <scheme val="minor"/>
      </rPr>
      <t>); pH</t>
    </r>
  </si>
  <si>
    <r>
      <t>f(S</t>
    </r>
    <r>
      <rPr>
        <vertAlign val="subscript"/>
        <sz val="11"/>
        <rFont val="Calibri"/>
        <family val="2"/>
        <scheme val="minor"/>
      </rPr>
      <t>PO4</t>
    </r>
    <r>
      <rPr>
        <sz val="11"/>
        <rFont val="Calibri"/>
        <family val="2"/>
        <scheme val="minor"/>
      </rPr>
      <t>);pH</t>
    </r>
  </si>
  <si>
    <r>
      <t>f(S</t>
    </r>
    <r>
      <rPr>
        <vertAlign val="subscript"/>
        <sz val="11"/>
        <rFont val="Calibri"/>
        <family val="2"/>
        <scheme val="minor"/>
      </rPr>
      <t>Ca</t>
    </r>
    <r>
      <rPr>
        <sz val="11"/>
        <rFont val="Calibri"/>
        <family val="2"/>
        <scheme val="minor"/>
      </rPr>
      <t>); pH</t>
    </r>
  </si>
  <si>
    <r>
      <t>f(S</t>
    </r>
    <r>
      <rPr>
        <vertAlign val="subscript"/>
        <sz val="11"/>
        <rFont val="Calibri"/>
        <family val="2"/>
      </rPr>
      <t>Mg</t>
    </r>
    <r>
      <rPr>
        <sz val="11"/>
        <rFont val="Calibri"/>
        <family val="2"/>
      </rPr>
      <t>); pH</t>
    </r>
  </si>
  <si>
    <r>
      <t>f(S</t>
    </r>
    <r>
      <rPr>
        <vertAlign val="subscript"/>
        <sz val="11"/>
        <rFont val="Calibri"/>
        <family val="2"/>
      </rPr>
      <t>CAT</t>
    </r>
    <r>
      <rPr>
        <sz val="11"/>
        <rFont val="Calibri"/>
        <family val="2"/>
      </rPr>
      <t>); pH</t>
    </r>
  </si>
  <si>
    <r>
      <t>f(S</t>
    </r>
    <r>
      <rPr>
        <vertAlign val="subscript"/>
        <sz val="11"/>
        <rFont val="Calibri"/>
        <family val="2"/>
      </rPr>
      <t>K</t>
    </r>
    <r>
      <rPr>
        <sz val="11"/>
        <rFont val="Calibri"/>
        <family val="2"/>
      </rPr>
      <t>); pH</t>
    </r>
  </si>
  <si>
    <r>
      <t>f(S</t>
    </r>
    <r>
      <rPr>
        <vertAlign val="subscript"/>
        <sz val="11"/>
        <rFont val="Calibri"/>
        <family val="2"/>
      </rPr>
      <t>AN</t>
    </r>
    <r>
      <rPr>
        <sz val="11"/>
        <rFont val="Calibri"/>
        <family val="2"/>
      </rPr>
      <t>); pH</t>
    </r>
  </si>
  <si>
    <t>Hsat(var; halfval; halfinh)</t>
  </si>
  <si>
    <t>var / (halfval + var + (var^2/halfinh))</t>
  </si>
  <si>
    <t>Arrhenius coefficient for fermentation (OHO)</t>
  </si>
  <si>
    <t>Arrhenius coefficient for flocculation</t>
  </si>
  <si>
    <t>Arrhenius coefficient for hydrolysis</t>
  </si>
  <si>
    <t>Arrhenius coefficient for ammonification</t>
  </si>
  <si>
    <t>Arrhenius coefficient for PO4 conversion</t>
  </si>
  <si>
    <t>Arrhenius coefficient endogenous residual conversion</t>
  </si>
  <si>
    <t>Arrhenius coefficient assimilative kinetics</t>
  </si>
  <si>
    <t>Arrhenius coefficient for OHO growth</t>
  </si>
  <si>
    <t>Arrhenius coefficient for OHO decay</t>
  </si>
  <si>
    <t>Arrhenius coefficient for MEOLO growth</t>
  </si>
  <si>
    <t>Arrhenius coefficient for MEOLO decay</t>
  </si>
  <si>
    <t>Arrhenius coefficient for PAO growth (P limited)</t>
  </si>
  <si>
    <t>Arrhenius coefficient for PHA storage</t>
  </si>
  <si>
    <t>Arrhenius coefficient for anaerobic PP storage</t>
  </si>
  <si>
    <t>Arrhenius coefficient for AMETO growth</t>
  </si>
  <si>
    <t>Arrhenius coefficient for AMETO decay</t>
  </si>
  <si>
    <t>Arrhenius coefficient for HMETO growth</t>
  </si>
  <si>
    <t>Arrhenius coefficient for HMETO decay</t>
  </si>
  <si>
    <r>
      <t>f(S</t>
    </r>
    <r>
      <rPr>
        <vertAlign val="subscript"/>
        <sz val="11"/>
        <rFont val="Calibri"/>
        <family val="2"/>
        <scheme val="minor"/>
      </rPr>
      <t>NHx</t>
    </r>
    <r>
      <rPr>
        <sz val="11"/>
        <rFont val="Calibri"/>
        <family val="2"/>
        <scheme val="minor"/>
      </rPr>
      <t>); pH</t>
    </r>
  </si>
  <si>
    <t>Non-Biofilm</t>
  </si>
  <si>
    <t>Non-pHSet; pH</t>
  </si>
  <si>
    <r>
      <t>[AN</t>
    </r>
    <r>
      <rPr>
        <b/>
        <vertAlign val="superscript"/>
        <sz val="11"/>
        <rFont val="Calibri"/>
        <family val="2"/>
      </rPr>
      <t>-</t>
    </r>
    <r>
      <rPr>
        <b/>
        <sz val="11"/>
        <rFont val="Calibri"/>
        <family val="2"/>
      </rPr>
      <t>]</t>
    </r>
  </si>
  <si>
    <r>
      <t>[CAT</t>
    </r>
    <r>
      <rPr>
        <b/>
        <vertAlign val="superscript"/>
        <sz val="11"/>
        <rFont val="Calibri"/>
        <family val="2"/>
      </rPr>
      <t>+</t>
    </r>
    <r>
      <rPr>
        <b/>
        <sz val="11"/>
        <rFont val="Calibri"/>
        <family val="2"/>
      </rPr>
      <t>]</t>
    </r>
  </si>
  <si>
    <t>Parameters for gas transfer</t>
  </si>
  <si>
    <t>BigNumber</t>
  </si>
  <si>
    <t>pHSet</t>
  </si>
  <si>
    <r>
      <t>Diffusion coefficient of N</t>
    </r>
    <r>
      <rPr>
        <vertAlign val="subscript"/>
        <sz val="11"/>
        <rFont val="Calibri"/>
        <family val="2"/>
      </rPr>
      <t>2</t>
    </r>
    <r>
      <rPr>
        <sz val="11"/>
        <rFont val="Calibri"/>
        <family val="2"/>
      </rPr>
      <t>O in water @ 25°C</t>
    </r>
  </si>
  <si>
    <r>
      <t>MM</t>
    </r>
    <r>
      <rPr>
        <vertAlign val="subscript"/>
        <sz val="11"/>
        <rFont val="Calibri"/>
        <family val="2"/>
      </rPr>
      <t>Fe2O3</t>
    </r>
  </si>
  <si>
    <r>
      <t>Molecular mass of Fe</t>
    </r>
    <r>
      <rPr>
        <vertAlign val="subscript"/>
        <sz val="11"/>
        <rFont val="Calibri"/>
        <family val="2"/>
        <scheme val="minor"/>
      </rPr>
      <t>2</t>
    </r>
    <r>
      <rPr>
        <sz val="11"/>
        <rFont val="Calibri"/>
        <family val="2"/>
        <scheme val="minor"/>
      </rPr>
      <t>O</t>
    </r>
    <r>
      <rPr>
        <vertAlign val="subscript"/>
        <sz val="11"/>
        <rFont val="Calibri"/>
        <family val="2"/>
        <scheme val="minor"/>
      </rPr>
      <t>3</t>
    </r>
  </si>
  <si>
    <r>
      <t>MM</t>
    </r>
    <r>
      <rPr>
        <vertAlign val="subscript"/>
        <sz val="11"/>
        <rFont val="Calibri"/>
        <family val="2"/>
      </rPr>
      <t>PO4</t>
    </r>
  </si>
  <si>
    <r>
      <t>MM</t>
    </r>
    <r>
      <rPr>
        <vertAlign val="subscript"/>
        <sz val="11"/>
        <rFont val="Calibri"/>
        <family val="2"/>
      </rPr>
      <t>CO2</t>
    </r>
  </si>
  <si>
    <r>
      <t>MM</t>
    </r>
    <r>
      <rPr>
        <vertAlign val="subscript"/>
        <sz val="11"/>
        <rFont val="Calibri"/>
        <family val="2"/>
        <scheme val="minor"/>
      </rPr>
      <t>CaCO3</t>
    </r>
  </si>
  <si>
    <r>
      <t>MM</t>
    </r>
    <r>
      <rPr>
        <vertAlign val="subscript"/>
        <sz val="11"/>
        <rFont val="Calibri"/>
        <family val="2"/>
        <scheme val="minor"/>
      </rPr>
      <t>STR</t>
    </r>
  </si>
  <si>
    <r>
      <t>MM</t>
    </r>
    <r>
      <rPr>
        <vertAlign val="subscript"/>
        <sz val="11"/>
        <rFont val="Calibri"/>
        <family val="2"/>
        <scheme val="minor"/>
      </rPr>
      <t>EQ,GN2</t>
    </r>
  </si>
  <si>
    <r>
      <t>MM</t>
    </r>
    <r>
      <rPr>
        <vertAlign val="subscript"/>
        <sz val="11"/>
        <rFont val="Calibri"/>
        <family val="2"/>
        <scheme val="minor"/>
      </rPr>
      <t>EQ,GNH3</t>
    </r>
  </si>
  <si>
    <r>
      <t>MM</t>
    </r>
    <r>
      <rPr>
        <vertAlign val="subscript"/>
        <sz val="11"/>
        <rFont val="Calibri"/>
        <family val="2"/>
        <scheme val="minor"/>
      </rPr>
      <t>EQ,GNO</t>
    </r>
  </si>
  <si>
    <r>
      <t>MM</t>
    </r>
    <r>
      <rPr>
        <vertAlign val="subscript"/>
        <sz val="11"/>
        <rFont val="Calibri"/>
        <family val="2"/>
        <scheme val="minor"/>
      </rPr>
      <t>EQ,GN2O</t>
    </r>
  </si>
  <si>
    <r>
      <t>MM</t>
    </r>
    <r>
      <rPr>
        <vertAlign val="subscript"/>
        <sz val="11"/>
        <rFont val="Calibri"/>
        <family val="2"/>
        <scheme val="minor"/>
      </rPr>
      <t>EQ,GCO2</t>
    </r>
  </si>
  <si>
    <r>
      <t>C</t>
    </r>
    <r>
      <rPr>
        <vertAlign val="subscript"/>
        <sz val="11"/>
        <rFont val="Calibri"/>
        <family val="2"/>
        <scheme val="minor"/>
      </rPr>
      <t>O2</t>
    </r>
    <r>
      <rPr>
        <sz val="11"/>
        <rFont val="Calibri"/>
        <family val="2"/>
        <scheme val="minor"/>
      </rPr>
      <t xml:space="preserve"> is used in mg/l in kinetic matrix, no need for any special eq-type value, so the exact value is the same as the molecular mass. This is needed only because of the CSTR code, which needs MM</t>
    </r>
    <r>
      <rPr>
        <vertAlign val="subscript"/>
        <sz val="11"/>
        <rFont val="Calibri"/>
        <family val="2"/>
        <scheme val="minor"/>
      </rPr>
      <t>EQ,XXX</t>
    </r>
    <r>
      <rPr>
        <sz val="11"/>
        <rFont val="Calibri"/>
        <family val="2"/>
        <scheme val="minor"/>
      </rPr>
      <t xml:space="preserve"> data</t>
    </r>
  </si>
  <si>
    <r>
      <t>MM</t>
    </r>
    <r>
      <rPr>
        <vertAlign val="subscript"/>
        <sz val="11"/>
        <rFont val="Calibri"/>
        <family val="2"/>
        <scheme val="minor"/>
      </rPr>
      <t>EQ,GO2</t>
    </r>
  </si>
  <si>
    <t>Hvitved-Jacobsen 2013</t>
  </si>
  <si>
    <t>base is sulphate</t>
  </si>
  <si>
    <t>pH = 4.1929</t>
  </si>
  <si>
    <t>Standard enthalpy of hydrogen sulfide (aq)</t>
  </si>
  <si>
    <t>Standard enthalpy of bisulfide ion</t>
  </si>
  <si>
    <t xml:space="preserve">Minteq V4 H+ + HS- = H2S  (log_k 7.02/ delta_h -22 kJ)and  HS- = S-2 + H+ ( log_k -17.3/delta_h 49.4 kJ)
</t>
  </si>
  <si>
    <t>Standard enthalpy of sulfide ion</t>
  </si>
  <si>
    <t>Standard enthalpy of sulfuric acid</t>
  </si>
  <si>
    <t>Standard enthalpy of hydrosulfate ion</t>
  </si>
  <si>
    <t>Minteq V4 H+ + SO42- = HSO4- (log_k 1.99/ delta_h 22 kJ) and http://bluedevilchem.com/honorshome/hch10/hch10docs/files/heatsformation.pdf</t>
  </si>
  <si>
    <t>Standard enthalpy of sulfate ion</t>
  </si>
  <si>
    <r>
      <t>S</t>
    </r>
    <r>
      <rPr>
        <vertAlign val="subscript"/>
        <sz val="11"/>
        <rFont val="Calibri"/>
        <family val="2"/>
        <scheme val="minor"/>
      </rPr>
      <t>ALK</t>
    </r>
  </si>
  <si>
    <r>
      <t>f</t>
    </r>
    <r>
      <rPr>
        <vertAlign val="subscript"/>
        <sz val="11"/>
        <rFont val="Calibri"/>
        <family val="2"/>
      </rPr>
      <t>mono,IS,cat</t>
    </r>
  </si>
  <si>
    <r>
      <t>f</t>
    </r>
    <r>
      <rPr>
        <vertAlign val="subscript"/>
        <sz val="11"/>
        <rFont val="Calibri"/>
        <family val="2"/>
      </rPr>
      <t>mono,IS,an</t>
    </r>
  </si>
  <si>
    <r>
      <t>f</t>
    </r>
    <r>
      <rPr>
        <vertAlign val="subscript"/>
        <sz val="11"/>
        <rFont val="Calibri"/>
        <family val="2"/>
      </rPr>
      <t>di,IS,an</t>
    </r>
  </si>
  <si>
    <r>
      <t>f</t>
    </r>
    <r>
      <rPr>
        <vertAlign val="subscript"/>
        <sz val="11"/>
        <rFont val="Calibri"/>
        <family val="2"/>
      </rPr>
      <t>tri,IS,an</t>
    </r>
  </si>
  <si>
    <r>
      <t>f</t>
    </r>
    <r>
      <rPr>
        <vertAlign val="subscript"/>
        <sz val="11"/>
        <rFont val="Calibri"/>
        <family val="2"/>
      </rPr>
      <t>di,IS,cat</t>
    </r>
  </si>
  <si>
    <t>Enthalpy</t>
  </si>
  <si>
    <t>Water with 0°C is considered to have zero enthalpy. Initial values are calculated for 20°C</t>
  </si>
  <si>
    <r>
      <t>MM</t>
    </r>
    <r>
      <rPr>
        <vertAlign val="subscript"/>
        <sz val="11"/>
        <rFont val="Calibri"/>
        <family val="2"/>
        <charset val="238"/>
        <scheme val="minor"/>
      </rPr>
      <t>MKP</t>
    </r>
  </si>
  <si>
    <t>Molecular mass of struvite-K</t>
  </si>
  <si>
    <r>
      <t>MM</t>
    </r>
    <r>
      <rPr>
        <vertAlign val="subscript"/>
        <sz val="11"/>
        <rFont val="Calibri"/>
        <family val="2"/>
        <scheme val="minor"/>
      </rPr>
      <t>HDP</t>
    </r>
  </si>
  <si>
    <t>Molecular mass of HDP</t>
  </si>
  <si>
    <r>
      <t>MM</t>
    </r>
    <r>
      <rPr>
        <vertAlign val="subscript"/>
        <sz val="11"/>
        <rFont val="Calibri"/>
        <family val="2"/>
        <scheme val="minor"/>
      </rPr>
      <t>HAP</t>
    </r>
  </si>
  <si>
    <t>Molecular mass of HAP</t>
  </si>
  <si>
    <r>
      <t>MM</t>
    </r>
    <r>
      <rPr>
        <vertAlign val="subscript"/>
        <sz val="11"/>
        <rFont val="Calibri"/>
        <family val="2"/>
        <scheme val="minor"/>
      </rPr>
      <t>CaOH</t>
    </r>
  </si>
  <si>
    <t>Molecular mass of CaOH</t>
  </si>
  <si>
    <r>
      <t>MM</t>
    </r>
    <r>
      <rPr>
        <vertAlign val="subscript"/>
        <sz val="11"/>
        <rFont val="Calibri"/>
        <family val="2"/>
        <scheme val="minor"/>
      </rPr>
      <t>CaHCO3</t>
    </r>
  </si>
  <si>
    <r>
      <t>MM</t>
    </r>
    <r>
      <rPr>
        <vertAlign val="subscript"/>
        <sz val="11"/>
        <rFont val="Calibri"/>
        <family val="2"/>
        <scheme val="minor"/>
      </rPr>
      <t>CaPO4</t>
    </r>
  </si>
  <si>
    <r>
      <t>MM</t>
    </r>
    <r>
      <rPr>
        <vertAlign val="subscript"/>
        <sz val="11"/>
        <rFont val="Calibri"/>
        <family val="2"/>
        <scheme val="minor"/>
      </rPr>
      <t>CaHPO4</t>
    </r>
  </si>
  <si>
    <r>
      <t>MM</t>
    </r>
    <r>
      <rPr>
        <vertAlign val="subscript"/>
        <sz val="11"/>
        <rFont val="Calibri"/>
        <family val="2"/>
        <scheme val="minor"/>
      </rPr>
      <t>CaH2PO4</t>
    </r>
  </si>
  <si>
    <r>
      <t>MM</t>
    </r>
    <r>
      <rPr>
        <vertAlign val="subscript"/>
        <sz val="11"/>
        <rFont val="Calibri"/>
        <family val="2"/>
        <scheme val="minor"/>
      </rPr>
      <t>MgOH</t>
    </r>
  </si>
  <si>
    <r>
      <t>MM</t>
    </r>
    <r>
      <rPr>
        <vertAlign val="subscript"/>
        <sz val="11"/>
        <rFont val="Calibri"/>
        <family val="2"/>
        <scheme val="minor"/>
      </rPr>
      <t>MgCO3</t>
    </r>
  </si>
  <si>
    <r>
      <t>MM</t>
    </r>
    <r>
      <rPr>
        <vertAlign val="subscript"/>
        <sz val="11"/>
        <rFont val="Calibri"/>
        <family val="2"/>
        <scheme val="minor"/>
      </rPr>
      <t>MgHCO3</t>
    </r>
  </si>
  <si>
    <r>
      <t>MM</t>
    </r>
    <r>
      <rPr>
        <vertAlign val="subscript"/>
        <sz val="11"/>
        <rFont val="Calibri"/>
        <family val="2"/>
        <scheme val="minor"/>
      </rPr>
      <t>MgHPO4</t>
    </r>
  </si>
  <si>
    <r>
      <t>MM</t>
    </r>
    <r>
      <rPr>
        <vertAlign val="subscript"/>
        <sz val="11"/>
        <rFont val="Calibri"/>
        <family val="2"/>
        <scheme val="minor"/>
      </rPr>
      <t>MgPO4</t>
    </r>
  </si>
  <si>
    <r>
      <t>MM</t>
    </r>
    <r>
      <rPr>
        <vertAlign val="subscript"/>
        <sz val="11"/>
        <rFont val="Calibri"/>
        <family val="2"/>
        <scheme val="minor"/>
      </rPr>
      <t>MgH2PO4</t>
    </r>
  </si>
  <si>
    <r>
      <t>MM</t>
    </r>
    <r>
      <rPr>
        <vertAlign val="subscript"/>
        <sz val="11"/>
        <rFont val="Calibri"/>
        <family val="2"/>
        <scheme val="minor"/>
      </rPr>
      <t>NaHPO4</t>
    </r>
  </si>
  <si>
    <t>Precipitation constants</t>
  </si>
  <si>
    <r>
      <t>H</t>
    </r>
    <r>
      <rPr>
        <vertAlign val="subscript"/>
        <sz val="11"/>
        <rFont val="Calibri"/>
        <family val="2"/>
        <scheme val="minor"/>
      </rPr>
      <t>Ca2p</t>
    </r>
  </si>
  <si>
    <t>Standard enthalpy of calcium ion</t>
  </si>
  <si>
    <r>
      <t>H</t>
    </r>
    <r>
      <rPr>
        <vertAlign val="subscript"/>
        <sz val="11"/>
        <rFont val="Calibri"/>
        <family val="2"/>
        <scheme val="minor"/>
      </rPr>
      <t>Mg2p</t>
    </r>
  </si>
  <si>
    <r>
      <t>H</t>
    </r>
    <r>
      <rPr>
        <vertAlign val="subscript"/>
        <sz val="11"/>
        <rFont val="Calibri"/>
        <family val="2"/>
        <scheme val="minor"/>
      </rPr>
      <t>Nap</t>
    </r>
  </si>
  <si>
    <t>Standard enthalpy of sodium ion</t>
  </si>
  <si>
    <r>
      <t>g.m</t>
    </r>
    <r>
      <rPr>
        <vertAlign val="superscript"/>
        <sz val="11"/>
        <rFont val="Calibri"/>
        <family val="2"/>
        <scheme val="minor"/>
      </rPr>
      <t>-3</t>
    </r>
    <r>
      <rPr>
        <sz val="11"/>
        <rFont val="Calibri"/>
        <family val="2"/>
        <scheme val="minor"/>
      </rPr>
      <t>.d</t>
    </r>
    <r>
      <rPr>
        <vertAlign val="superscript"/>
        <sz val="11"/>
        <rFont val="Calibri"/>
        <family val="2"/>
        <scheme val="minor"/>
      </rPr>
      <t>-1</t>
    </r>
  </si>
  <si>
    <t>d-1</t>
  </si>
  <si>
    <r>
      <t>Electron equivalence of S0 to H</t>
    </r>
    <r>
      <rPr>
        <vertAlign val="subscript"/>
        <sz val="11"/>
        <rFont val="Calibri"/>
        <family val="2"/>
        <scheme val="minor"/>
      </rPr>
      <t>2</t>
    </r>
    <r>
      <rPr>
        <sz val="11"/>
        <rFont val="Calibri"/>
        <family val="2"/>
        <scheme val="minor"/>
      </rPr>
      <t>SO</t>
    </r>
    <r>
      <rPr>
        <vertAlign val="subscript"/>
        <sz val="11"/>
        <rFont val="Calibri"/>
        <family val="2"/>
        <scheme val="minor"/>
      </rPr>
      <t>4</t>
    </r>
  </si>
  <si>
    <t>Precipitation constants - activity corrected</t>
  </si>
  <si>
    <r>
      <t>K</t>
    </r>
    <r>
      <rPr>
        <vertAlign val="subscript"/>
        <sz val="11"/>
        <rFont val="Calibri"/>
        <family val="2"/>
        <scheme val="minor"/>
      </rPr>
      <t>sp,CaCO3,param</t>
    </r>
  </si>
  <si>
    <r>
      <t>K</t>
    </r>
    <r>
      <rPr>
        <vertAlign val="subscript"/>
        <sz val="11"/>
        <rFont val="Calibri"/>
        <family val="2"/>
        <scheme val="minor"/>
      </rPr>
      <t>sp,STR,param</t>
    </r>
  </si>
  <si>
    <r>
      <t>K</t>
    </r>
    <r>
      <rPr>
        <vertAlign val="subscript"/>
        <sz val="11"/>
        <rFont val="Calibri"/>
        <family val="2"/>
        <scheme val="minor"/>
      </rPr>
      <t>sp,Vivi,param</t>
    </r>
  </si>
  <si>
    <r>
      <t>K</t>
    </r>
    <r>
      <rPr>
        <vertAlign val="subscript"/>
        <sz val="11"/>
        <rFont val="Calibri"/>
        <family val="2"/>
        <scheme val="minor"/>
      </rPr>
      <t>sp,HDP,param</t>
    </r>
  </si>
  <si>
    <r>
      <t>K</t>
    </r>
    <r>
      <rPr>
        <vertAlign val="subscript"/>
        <sz val="11"/>
        <rFont val="Calibri"/>
        <family val="2"/>
        <scheme val="minor"/>
      </rPr>
      <t>sp,MKP,param</t>
    </r>
  </si>
  <si>
    <r>
      <t>K</t>
    </r>
    <r>
      <rPr>
        <vertAlign val="subscript"/>
        <sz val="11"/>
        <rFont val="Calibri"/>
        <family val="2"/>
        <scheme val="minor"/>
      </rPr>
      <t>sp,ACP,param</t>
    </r>
  </si>
  <si>
    <r>
      <t>K</t>
    </r>
    <r>
      <rPr>
        <vertAlign val="subscript"/>
        <sz val="11"/>
        <rFont val="Calibri"/>
        <family val="2"/>
        <scheme val="minor"/>
      </rPr>
      <t>sp,STR</t>
    </r>
  </si>
  <si>
    <r>
      <t>K</t>
    </r>
    <r>
      <rPr>
        <vertAlign val="subscript"/>
        <sz val="11"/>
        <rFont val="Calibri"/>
        <family val="2"/>
        <scheme val="minor"/>
      </rPr>
      <t>sp,Vivi</t>
    </r>
  </si>
  <si>
    <r>
      <t>K</t>
    </r>
    <r>
      <rPr>
        <vertAlign val="subscript"/>
        <sz val="11"/>
        <rFont val="Calibri"/>
        <family val="2"/>
        <scheme val="minor"/>
      </rPr>
      <t>sp,ACP</t>
    </r>
  </si>
  <si>
    <r>
      <t>K</t>
    </r>
    <r>
      <rPr>
        <vertAlign val="subscript"/>
        <sz val="11"/>
        <rFont val="Calibri"/>
        <family val="2"/>
        <scheme val="minor"/>
      </rPr>
      <t>sp,CaCO3</t>
    </r>
  </si>
  <si>
    <r>
      <t>EEQ</t>
    </r>
    <r>
      <rPr>
        <vertAlign val="subscript"/>
        <sz val="11"/>
        <rFont val="Calibri"/>
        <family val="2"/>
        <scheme val="minor"/>
      </rPr>
      <t>S</t>
    </r>
  </si>
  <si>
    <t>Molecular mass of CaHCO3+</t>
  </si>
  <si>
    <t>Molecular mass of CaPO4-</t>
  </si>
  <si>
    <t>Molecular mass of CaHPO4</t>
  </si>
  <si>
    <t>Molecular mass of CaH2PO4+</t>
  </si>
  <si>
    <t>Molecular mass of MgOH+</t>
  </si>
  <si>
    <t>Molecular mass of MgCO3</t>
  </si>
  <si>
    <t>Molecular mass of MgHCO3+</t>
  </si>
  <si>
    <t>Molecular mass of MgHPO4</t>
  </si>
  <si>
    <t>Molecular mass of MgPO4-</t>
  </si>
  <si>
    <t>Molecular mass of MgH2PO4+</t>
  </si>
  <si>
    <t>Molecular mass of NaHPO4-</t>
  </si>
  <si>
    <r>
      <t>K</t>
    </r>
    <r>
      <rPr>
        <vertAlign val="subscript"/>
        <sz val="11"/>
        <rFont val="Calibri"/>
        <family val="2"/>
        <scheme val="minor"/>
      </rPr>
      <t>S1,param</t>
    </r>
  </si>
  <si>
    <r>
      <t>K</t>
    </r>
    <r>
      <rPr>
        <vertAlign val="subscript"/>
        <sz val="11"/>
        <rFont val="Calibri"/>
        <family val="2"/>
        <scheme val="minor"/>
      </rPr>
      <t>S2,param</t>
    </r>
  </si>
  <si>
    <r>
      <t>K</t>
    </r>
    <r>
      <rPr>
        <vertAlign val="subscript"/>
        <sz val="11"/>
        <rFont val="Calibri"/>
        <family val="2"/>
        <scheme val="minor"/>
      </rPr>
      <t>SO41,param</t>
    </r>
  </si>
  <si>
    <r>
      <t>K</t>
    </r>
    <r>
      <rPr>
        <vertAlign val="subscript"/>
        <sz val="11"/>
        <rFont val="Calibri"/>
        <family val="2"/>
        <scheme val="minor"/>
      </rPr>
      <t>SO42,param</t>
    </r>
  </si>
  <si>
    <r>
      <t>K</t>
    </r>
    <r>
      <rPr>
        <vertAlign val="subscript"/>
        <sz val="11"/>
        <rFont val="Calibri"/>
        <family val="2"/>
        <scheme val="minor"/>
      </rPr>
      <t>sp,FeS,param</t>
    </r>
  </si>
  <si>
    <r>
      <t>EEQ</t>
    </r>
    <r>
      <rPr>
        <vertAlign val="subscript"/>
        <sz val="11"/>
        <rFont val="Calibri"/>
        <family val="2"/>
        <scheme val="minor"/>
      </rPr>
      <t>Fe2</t>
    </r>
  </si>
  <si>
    <r>
      <t>Electron equivalence of Fe</t>
    </r>
    <r>
      <rPr>
        <vertAlign val="superscript"/>
        <sz val="11"/>
        <rFont val="Calibri"/>
        <family val="2"/>
        <scheme val="minor"/>
      </rPr>
      <t>2+</t>
    </r>
  </si>
  <si>
    <r>
      <t>H</t>
    </r>
    <r>
      <rPr>
        <vertAlign val="subscript"/>
        <sz val="11"/>
        <rFont val="Calibri"/>
        <family val="2"/>
        <scheme val="minor"/>
      </rPr>
      <t>H2S</t>
    </r>
  </si>
  <si>
    <r>
      <t>H</t>
    </r>
    <r>
      <rPr>
        <vertAlign val="subscript"/>
        <sz val="11"/>
        <rFont val="Calibri"/>
        <family val="2"/>
        <scheme val="minor"/>
      </rPr>
      <t>HSm</t>
    </r>
  </si>
  <si>
    <r>
      <t>H</t>
    </r>
    <r>
      <rPr>
        <vertAlign val="subscript"/>
        <sz val="11"/>
        <rFont val="Calibri"/>
        <family val="2"/>
        <scheme val="minor"/>
      </rPr>
      <t>S2m</t>
    </r>
  </si>
  <si>
    <r>
      <t>H</t>
    </r>
    <r>
      <rPr>
        <vertAlign val="subscript"/>
        <sz val="11"/>
        <rFont val="Calibri"/>
        <family val="2"/>
        <scheme val="minor"/>
      </rPr>
      <t>H2SO4</t>
    </r>
  </si>
  <si>
    <r>
      <t>H</t>
    </r>
    <r>
      <rPr>
        <vertAlign val="subscript"/>
        <sz val="11"/>
        <rFont val="Calibri"/>
        <family val="2"/>
        <scheme val="minor"/>
      </rPr>
      <t>HSO4m</t>
    </r>
  </si>
  <si>
    <r>
      <t>H</t>
    </r>
    <r>
      <rPr>
        <vertAlign val="subscript"/>
        <sz val="11"/>
        <rFont val="Calibri"/>
        <family val="2"/>
        <scheme val="minor"/>
      </rPr>
      <t>SO42m</t>
    </r>
  </si>
  <si>
    <r>
      <t>-X</t>
    </r>
    <r>
      <rPr>
        <vertAlign val="subscript"/>
        <sz val="11"/>
        <rFont val="Calibri"/>
        <family val="2"/>
      </rPr>
      <t>HFO,H</t>
    </r>
    <r>
      <rPr>
        <sz val="11"/>
        <rFont val="Calibri"/>
        <family val="2"/>
      </rPr>
      <t>/(X</t>
    </r>
    <r>
      <rPr>
        <vertAlign val="subscript"/>
        <sz val="11"/>
        <rFont val="Calibri"/>
        <family val="2"/>
      </rPr>
      <t>HFO,H</t>
    </r>
    <r>
      <rPr>
        <sz val="11"/>
        <rFont val="Calibri"/>
        <family val="2"/>
      </rPr>
      <t>+X</t>
    </r>
    <r>
      <rPr>
        <vertAlign val="subscript"/>
        <sz val="11"/>
        <rFont val="Calibri"/>
        <family val="2"/>
      </rPr>
      <t>HFO,H,P</t>
    </r>
    <r>
      <rPr>
        <sz val="11"/>
        <rFont val="Calibri"/>
        <family val="2"/>
      </rPr>
      <t>)</t>
    </r>
  </si>
  <si>
    <r>
      <t>X</t>
    </r>
    <r>
      <rPr>
        <vertAlign val="subscript"/>
        <sz val="11"/>
        <rFont val="Calibri"/>
        <family val="2"/>
      </rPr>
      <t>HFO,H</t>
    </r>
    <r>
      <rPr>
        <sz val="11"/>
        <rFont val="Calibri"/>
        <family val="2"/>
      </rPr>
      <t>/(X</t>
    </r>
    <r>
      <rPr>
        <vertAlign val="subscript"/>
        <sz val="11"/>
        <rFont val="Calibri"/>
        <family val="2"/>
      </rPr>
      <t>HFO,H</t>
    </r>
    <r>
      <rPr>
        <sz val="11"/>
        <rFont val="Calibri"/>
        <family val="2"/>
      </rPr>
      <t>+X</t>
    </r>
    <r>
      <rPr>
        <vertAlign val="subscript"/>
        <sz val="11"/>
        <rFont val="Calibri"/>
        <family val="2"/>
      </rPr>
      <t>HFO,H,P</t>
    </r>
    <r>
      <rPr>
        <sz val="11"/>
        <rFont val="Calibri"/>
        <family val="2"/>
      </rPr>
      <t>)</t>
    </r>
  </si>
  <si>
    <r>
      <t>-X</t>
    </r>
    <r>
      <rPr>
        <vertAlign val="subscript"/>
        <sz val="11"/>
        <rFont val="Calibri"/>
        <family val="2"/>
      </rPr>
      <t>HFO,L</t>
    </r>
    <r>
      <rPr>
        <sz val="11"/>
        <rFont val="Calibri"/>
        <family val="2"/>
      </rPr>
      <t>/(X</t>
    </r>
    <r>
      <rPr>
        <vertAlign val="subscript"/>
        <sz val="11"/>
        <rFont val="Calibri"/>
        <family val="2"/>
      </rPr>
      <t>HFO,L</t>
    </r>
    <r>
      <rPr>
        <sz val="11"/>
        <rFont val="Calibri"/>
        <family val="2"/>
      </rPr>
      <t>+X</t>
    </r>
    <r>
      <rPr>
        <vertAlign val="subscript"/>
        <sz val="11"/>
        <rFont val="Calibri"/>
        <family val="2"/>
      </rPr>
      <t>HFO,L,P</t>
    </r>
    <r>
      <rPr>
        <sz val="11"/>
        <rFont val="Calibri"/>
        <family val="2"/>
      </rPr>
      <t>)</t>
    </r>
  </si>
  <si>
    <r>
      <t>X</t>
    </r>
    <r>
      <rPr>
        <vertAlign val="subscript"/>
        <sz val="11"/>
        <rFont val="Calibri"/>
        <family val="2"/>
      </rPr>
      <t>HFO,L</t>
    </r>
    <r>
      <rPr>
        <sz val="11"/>
        <rFont val="Calibri"/>
        <family val="2"/>
      </rPr>
      <t>/(X</t>
    </r>
    <r>
      <rPr>
        <vertAlign val="subscript"/>
        <sz val="11"/>
        <rFont val="Calibri"/>
        <family val="2"/>
      </rPr>
      <t>HFO,L</t>
    </r>
    <r>
      <rPr>
        <sz val="11"/>
        <rFont val="Calibri"/>
        <family val="2"/>
      </rPr>
      <t>+X</t>
    </r>
    <r>
      <rPr>
        <vertAlign val="subscript"/>
        <sz val="11"/>
        <rFont val="Calibri"/>
        <family val="2"/>
      </rPr>
      <t>HFO,L,P</t>
    </r>
    <r>
      <rPr>
        <sz val="11"/>
        <rFont val="Calibri"/>
        <family val="2"/>
      </rPr>
      <t>)</t>
    </r>
  </si>
  <si>
    <r>
      <t>-X</t>
    </r>
    <r>
      <rPr>
        <vertAlign val="subscript"/>
        <sz val="11"/>
        <rFont val="Calibri"/>
        <family val="2"/>
      </rPr>
      <t>HFO,H,P</t>
    </r>
    <r>
      <rPr>
        <sz val="11"/>
        <rFont val="Calibri"/>
        <family val="2"/>
      </rPr>
      <t>/(X</t>
    </r>
    <r>
      <rPr>
        <vertAlign val="subscript"/>
        <sz val="11"/>
        <rFont val="Calibri"/>
        <family val="2"/>
      </rPr>
      <t>HFO,H</t>
    </r>
    <r>
      <rPr>
        <sz val="11"/>
        <rFont val="Calibri"/>
        <family val="2"/>
      </rPr>
      <t>+X</t>
    </r>
    <r>
      <rPr>
        <vertAlign val="subscript"/>
        <sz val="11"/>
        <rFont val="Calibri"/>
        <family val="2"/>
      </rPr>
      <t>HFO,H,P</t>
    </r>
    <r>
      <rPr>
        <sz val="11"/>
        <rFont val="Calibri"/>
        <family val="2"/>
      </rPr>
      <t>)</t>
    </r>
  </si>
  <si>
    <r>
      <t>X</t>
    </r>
    <r>
      <rPr>
        <vertAlign val="subscript"/>
        <sz val="11"/>
        <rFont val="Calibri"/>
        <family val="2"/>
      </rPr>
      <t>HFO,H,P</t>
    </r>
    <r>
      <rPr>
        <sz val="11"/>
        <rFont val="Calibri"/>
        <family val="2"/>
      </rPr>
      <t>/(X</t>
    </r>
    <r>
      <rPr>
        <vertAlign val="subscript"/>
        <sz val="11"/>
        <rFont val="Calibri"/>
        <family val="2"/>
      </rPr>
      <t>HFO,H</t>
    </r>
    <r>
      <rPr>
        <sz val="11"/>
        <rFont val="Calibri"/>
        <family val="2"/>
      </rPr>
      <t>+X</t>
    </r>
    <r>
      <rPr>
        <vertAlign val="subscript"/>
        <sz val="11"/>
        <rFont val="Calibri"/>
        <family val="2"/>
      </rPr>
      <t>HFO,H,P</t>
    </r>
    <r>
      <rPr>
        <sz val="11"/>
        <rFont val="Calibri"/>
        <family val="2"/>
      </rPr>
      <t>)</t>
    </r>
  </si>
  <si>
    <r>
      <t>-X</t>
    </r>
    <r>
      <rPr>
        <vertAlign val="subscript"/>
        <sz val="11"/>
        <rFont val="Calibri"/>
        <family val="2"/>
      </rPr>
      <t>HFO,L,P</t>
    </r>
    <r>
      <rPr>
        <sz val="11"/>
        <rFont val="Calibri"/>
        <family val="2"/>
      </rPr>
      <t>/(X</t>
    </r>
    <r>
      <rPr>
        <vertAlign val="subscript"/>
        <sz val="11"/>
        <rFont val="Calibri"/>
        <family val="2"/>
      </rPr>
      <t>HFO,L</t>
    </r>
    <r>
      <rPr>
        <sz val="11"/>
        <rFont val="Calibri"/>
        <family val="2"/>
      </rPr>
      <t>+X</t>
    </r>
    <r>
      <rPr>
        <vertAlign val="subscript"/>
        <sz val="11"/>
        <rFont val="Calibri"/>
        <family val="2"/>
      </rPr>
      <t>HFO,L,P</t>
    </r>
    <r>
      <rPr>
        <sz val="11"/>
        <rFont val="Calibri"/>
        <family val="2"/>
      </rPr>
      <t>)</t>
    </r>
  </si>
  <si>
    <r>
      <t>X</t>
    </r>
    <r>
      <rPr>
        <vertAlign val="subscript"/>
        <sz val="11"/>
        <rFont val="Calibri"/>
        <family val="2"/>
      </rPr>
      <t>HFO,L,P</t>
    </r>
    <r>
      <rPr>
        <sz val="11"/>
        <rFont val="Calibri"/>
        <family val="2"/>
      </rPr>
      <t>/(X</t>
    </r>
    <r>
      <rPr>
        <vertAlign val="subscript"/>
        <sz val="11"/>
        <rFont val="Calibri"/>
        <family val="2"/>
      </rPr>
      <t>HFO,L</t>
    </r>
    <r>
      <rPr>
        <sz val="11"/>
        <rFont val="Calibri"/>
        <family val="2"/>
      </rPr>
      <t>+X</t>
    </r>
    <r>
      <rPr>
        <vertAlign val="subscript"/>
        <sz val="11"/>
        <rFont val="Calibri"/>
        <family val="2"/>
      </rPr>
      <t>HFO,L,P</t>
    </r>
    <r>
      <rPr>
        <sz val="11"/>
        <rFont val="Calibri"/>
        <family val="2"/>
      </rPr>
      <t>)</t>
    </r>
  </si>
  <si>
    <t>r30</t>
  </si>
  <si>
    <t>r31</t>
  </si>
  <si>
    <t>Precipitation kinetics</t>
  </si>
  <si>
    <t>Arrhenius coefficient for ferrous iron oxidation kinetics</t>
  </si>
  <si>
    <t>Arrhenius coefficient for ferric iron reduction kinetics</t>
  </si>
  <si>
    <r>
      <t>i</t>
    </r>
    <r>
      <rPr>
        <vertAlign val="subscript"/>
        <sz val="11"/>
        <rFont val="Calibri"/>
        <family val="2"/>
        <scheme val="minor"/>
      </rPr>
      <t>N,XSTR</t>
    </r>
  </si>
  <si>
    <r>
      <t>i</t>
    </r>
    <r>
      <rPr>
        <vertAlign val="subscript"/>
        <sz val="11"/>
        <rFont val="Calibri"/>
        <family val="2"/>
        <scheme val="minor"/>
      </rPr>
      <t>P,XACP</t>
    </r>
  </si>
  <si>
    <r>
      <t>q</t>
    </r>
    <r>
      <rPr>
        <vertAlign val="subscript"/>
        <sz val="11"/>
        <color theme="1"/>
        <rFont val="Calibri"/>
        <family val="2"/>
        <scheme val="minor"/>
      </rPr>
      <t>STR</t>
    </r>
  </si>
  <si>
    <r>
      <t>q</t>
    </r>
    <r>
      <rPr>
        <vertAlign val="subscript"/>
        <sz val="11"/>
        <color theme="1"/>
        <rFont val="Calibri"/>
        <family val="2"/>
        <scheme val="minor"/>
      </rPr>
      <t>ACP</t>
    </r>
  </si>
  <si>
    <r>
      <t>q</t>
    </r>
    <r>
      <rPr>
        <vertAlign val="subscript"/>
        <sz val="11"/>
        <color theme="1"/>
        <rFont val="Calibri"/>
        <family val="2"/>
        <scheme val="minor"/>
      </rPr>
      <t>CaCO3</t>
    </r>
  </si>
  <si>
    <r>
      <t>q</t>
    </r>
    <r>
      <rPr>
        <vertAlign val="subscript"/>
        <sz val="11"/>
        <color theme="1"/>
        <rFont val="Calibri"/>
        <family val="2"/>
        <scheme val="minor"/>
      </rPr>
      <t>Vivi</t>
    </r>
  </si>
  <si>
    <r>
      <t>i</t>
    </r>
    <r>
      <rPr>
        <vertAlign val="subscript"/>
        <sz val="11"/>
        <rFont val="Calibri"/>
        <family val="2"/>
        <scheme val="minor"/>
      </rPr>
      <t>P,XVivi</t>
    </r>
  </si>
  <si>
    <t>2/3</t>
  </si>
  <si>
    <t>1/3</t>
  </si>
  <si>
    <r>
      <t>i</t>
    </r>
    <r>
      <rPr>
        <vertAlign val="subscript"/>
        <sz val="11"/>
        <rFont val="Calibri"/>
        <family val="2"/>
        <scheme val="minor"/>
      </rPr>
      <t>K,PP</t>
    </r>
  </si>
  <si>
    <t>(k)/(s/x+k)</t>
  </si>
  <si>
    <t>Logsat(var; halfval; slope)</t>
  </si>
  <si>
    <t>Loginh(var; halfval; slope)</t>
  </si>
  <si>
    <t>Dmp(dx; x)</t>
  </si>
  <si>
    <t xml:space="preserve">Derivative damping </t>
  </si>
  <si>
    <t>if (x &lt; Sumo__DampingLimit &amp;&amp; dx &lt; 0.0 &amp;&amp; fabs(dx/x) &gt; Sumo__DerivToStateRatiolimit)
{
     pvt x_d = 1/((1+exp(-Sumo__DampingStrength/(Sumo__DampingLimit)*
                      (x - Sumo__DampingLimit/2.0))));
    return x_d*dx;
}
else return dx;</t>
  </si>
  <si>
    <r>
      <t>Henry</t>
    </r>
    <r>
      <rPr>
        <vertAlign val="subscript"/>
        <sz val="11"/>
        <rFont val="Calibri"/>
        <family val="2"/>
        <scheme val="minor"/>
      </rPr>
      <t>GO2</t>
    </r>
    <r>
      <rPr>
        <sz val="11"/>
        <rFont val="Calibri"/>
        <family val="2"/>
        <scheme val="minor"/>
      </rPr>
      <t>(T)</t>
    </r>
  </si>
  <si>
    <r>
      <t>Temperature dependent Henry coefficient for O</t>
    </r>
    <r>
      <rPr>
        <vertAlign val="subscript"/>
        <sz val="11"/>
        <rFont val="Calibri"/>
        <family val="2"/>
        <scheme val="minor"/>
      </rPr>
      <t>2</t>
    </r>
  </si>
  <si>
    <r>
      <t>Henry</t>
    </r>
    <r>
      <rPr>
        <vertAlign val="subscript"/>
        <sz val="11"/>
        <rFont val="Calibri"/>
        <family val="2"/>
        <scheme val="minor"/>
      </rPr>
      <t>GO2_25</t>
    </r>
    <r>
      <rPr>
        <sz val="11"/>
        <rFont val="Calibri"/>
        <family val="2"/>
        <scheme val="minor"/>
      </rPr>
      <t>*Exp(Henry</t>
    </r>
    <r>
      <rPr>
        <vertAlign val="subscript"/>
        <sz val="11"/>
        <rFont val="Calibri"/>
        <family val="2"/>
        <scheme val="minor"/>
      </rPr>
      <t>GO2_dt</t>
    </r>
    <r>
      <rPr>
        <sz val="11"/>
        <rFont val="Calibri"/>
        <family val="2"/>
        <scheme val="minor"/>
      </rPr>
      <t>*((1/T)-(1/298.15)))</t>
    </r>
  </si>
  <si>
    <r>
      <t>Henry</t>
    </r>
    <r>
      <rPr>
        <vertAlign val="subscript"/>
        <sz val="11"/>
        <rFont val="Calibri"/>
        <family val="2"/>
        <scheme val="minor"/>
      </rPr>
      <t>GCO2</t>
    </r>
    <r>
      <rPr>
        <sz val="11"/>
        <rFont val="Calibri"/>
        <family val="2"/>
        <scheme val="minor"/>
      </rPr>
      <t>(T)</t>
    </r>
  </si>
  <si>
    <r>
      <t>Temperature dependent Henry coefficient for CO</t>
    </r>
    <r>
      <rPr>
        <vertAlign val="subscript"/>
        <sz val="11"/>
        <rFont val="Calibri"/>
        <family val="2"/>
        <scheme val="minor"/>
      </rPr>
      <t>2</t>
    </r>
  </si>
  <si>
    <r>
      <t>Henry</t>
    </r>
    <r>
      <rPr>
        <vertAlign val="subscript"/>
        <sz val="11"/>
        <rFont val="Calibri"/>
        <family val="2"/>
        <scheme val="minor"/>
      </rPr>
      <t>GCO2_25</t>
    </r>
    <r>
      <rPr>
        <sz val="11"/>
        <rFont val="Calibri"/>
        <family val="2"/>
        <scheme val="minor"/>
      </rPr>
      <t>*Exp(Henry</t>
    </r>
    <r>
      <rPr>
        <vertAlign val="subscript"/>
        <sz val="11"/>
        <rFont val="Calibri"/>
        <family val="2"/>
        <scheme val="minor"/>
      </rPr>
      <t>GCO2_dt</t>
    </r>
    <r>
      <rPr>
        <sz val="11"/>
        <rFont val="Calibri"/>
        <family val="2"/>
        <scheme val="minor"/>
      </rPr>
      <t>*((1/T)-(1/298.15)))</t>
    </r>
  </si>
  <si>
    <r>
      <t>Henry</t>
    </r>
    <r>
      <rPr>
        <vertAlign val="subscript"/>
        <sz val="11"/>
        <rFont val="Calibri"/>
        <family val="2"/>
        <scheme val="minor"/>
      </rPr>
      <t>GNO</t>
    </r>
    <r>
      <rPr>
        <sz val="11"/>
        <rFont val="Calibri"/>
        <family val="2"/>
        <scheme val="minor"/>
      </rPr>
      <t>(T)</t>
    </r>
  </si>
  <si>
    <r>
      <t>Henry</t>
    </r>
    <r>
      <rPr>
        <vertAlign val="subscript"/>
        <sz val="11"/>
        <rFont val="Calibri"/>
        <family val="2"/>
        <scheme val="minor"/>
      </rPr>
      <t>GNO_25</t>
    </r>
    <r>
      <rPr>
        <sz val="11"/>
        <rFont val="Calibri"/>
        <family val="2"/>
        <scheme val="minor"/>
      </rPr>
      <t>*Exp(Henry</t>
    </r>
    <r>
      <rPr>
        <vertAlign val="subscript"/>
        <sz val="11"/>
        <rFont val="Calibri"/>
        <family val="2"/>
        <scheme val="minor"/>
      </rPr>
      <t>GNO_dt</t>
    </r>
    <r>
      <rPr>
        <sz val="11"/>
        <rFont val="Calibri"/>
        <family val="2"/>
        <scheme val="minor"/>
      </rPr>
      <t>*((1/T)-(1/298.15)))</t>
    </r>
  </si>
  <si>
    <r>
      <t>Henry</t>
    </r>
    <r>
      <rPr>
        <vertAlign val="subscript"/>
        <sz val="11"/>
        <rFont val="Calibri"/>
        <family val="2"/>
        <scheme val="minor"/>
      </rPr>
      <t>GN2O</t>
    </r>
    <r>
      <rPr>
        <sz val="11"/>
        <rFont val="Calibri"/>
        <family val="2"/>
        <scheme val="minor"/>
      </rPr>
      <t>(T)</t>
    </r>
  </si>
  <si>
    <r>
      <t>Temperature dependent Henry coefficient for N</t>
    </r>
    <r>
      <rPr>
        <vertAlign val="subscript"/>
        <sz val="11"/>
        <rFont val="Calibri"/>
        <family val="2"/>
        <scheme val="minor"/>
      </rPr>
      <t>2</t>
    </r>
    <r>
      <rPr>
        <sz val="11"/>
        <rFont val="Calibri"/>
        <family val="2"/>
        <scheme val="minor"/>
      </rPr>
      <t>O</t>
    </r>
  </si>
  <si>
    <r>
      <t>Henry</t>
    </r>
    <r>
      <rPr>
        <vertAlign val="subscript"/>
        <sz val="11"/>
        <rFont val="Calibri"/>
        <family val="2"/>
        <scheme val="minor"/>
      </rPr>
      <t>GN2O_25</t>
    </r>
    <r>
      <rPr>
        <sz val="11"/>
        <rFont val="Calibri"/>
        <family val="2"/>
        <scheme val="minor"/>
      </rPr>
      <t>*Exp(Henry</t>
    </r>
    <r>
      <rPr>
        <vertAlign val="subscript"/>
        <sz val="11"/>
        <rFont val="Calibri"/>
        <family val="2"/>
        <scheme val="minor"/>
      </rPr>
      <t>GN2O_dt</t>
    </r>
    <r>
      <rPr>
        <sz val="11"/>
        <rFont val="Calibri"/>
        <family val="2"/>
        <scheme val="minor"/>
      </rPr>
      <t>*((1/T)-(1/298.15)))</t>
    </r>
  </si>
  <si>
    <r>
      <t>Henry</t>
    </r>
    <r>
      <rPr>
        <vertAlign val="subscript"/>
        <sz val="11"/>
        <rFont val="Calibri"/>
        <family val="2"/>
        <scheme val="minor"/>
      </rPr>
      <t>GN2</t>
    </r>
    <r>
      <rPr>
        <sz val="11"/>
        <rFont val="Calibri"/>
        <family val="2"/>
        <scheme val="minor"/>
      </rPr>
      <t>(T)</t>
    </r>
  </si>
  <si>
    <r>
      <t>Temperature dependent Henry coefficient for N</t>
    </r>
    <r>
      <rPr>
        <vertAlign val="subscript"/>
        <sz val="11"/>
        <rFont val="Calibri"/>
        <family val="2"/>
        <scheme val="minor"/>
      </rPr>
      <t>2</t>
    </r>
  </si>
  <si>
    <r>
      <t>Henry</t>
    </r>
    <r>
      <rPr>
        <vertAlign val="subscript"/>
        <sz val="11"/>
        <rFont val="Calibri"/>
        <family val="2"/>
        <scheme val="minor"/>
      </rPr>
      <t>GN2_25</t>
    </r>
    <r>
      <rPr>
        <sz val="11"/>
        <rFont val="Calibri"/>
        <family val="2"/>
        <scheme val="minor"/>
      </rPr>
      <t>*Exp(Henry</t>
    </r>
    <r>
      <rPr>
        <vertAlign val="subscript"/>
        <sz val="11"/>
        <rFont val="Calibri"/>
        <family val="2"/>
        <scheme val="minor"/>
      </rPr>
      <t>GN2_dt</t>
    </r>
    <r>
      <rPr>
        <sz val="11"/>
        <rFont val="Calibri"/>
        <family val="2"/>
        <scheme val="minor"/>
      </rPr>
      <t>*((1/T)-(1/298.15)))</t>
    </r>
  </si>
  <si>
    <r>
      <t>Henry</t>
    </r>
    <r>
      <rPr>
        <vertAlign val="subscript"/>
        <sz val="11"/>
        <rFont val="Calibri"/>
        <family val="2"/>
        <scheme val="minor"/>
      </rPr>
      <t>GH2</t>
    </r>
    <r>
      <rPr>
        <sz val="11"/>
        <rFont val="Calibri"/>
        <family val="2"/>
        <scheme val="minor"/>
      </rPr>
      <t>(T)</t>
    </r>
  </si>
  <si>
    <r>
      <t>Temperature dependent Henry coefficient for H</t>
    </r>
    <r>
      <rPr>
        <vertAlign val="subscript"/>
        <sz val="11"/>
        <rFont val="Calibri"/>
        <family val="2"/>
        <scheme val="minor"/>
      </rPr>
      <t>2</t>
    </r>
  </si>
  <si>
    <r>
      <t>Henry</t>
    </r>
    <r>
      <rPr>
        <vertAlign val="subscript"/>
        <sz val="11"/>
        <rFont val="Calibri"/>
        <family val="2"/>
        <scheme val="minor"/>
      </rPr>
      <t>GH2_25</t>
    </r>
    <r>
      <rPr>
        <sz val="11"/>
        <rFont val="Calibri"/>
        <family val="2"/>
        <scheme val="minor"/>
      </rPr>
      <t>*Exp(Henry</t>
    </r>
    <r>
      <rPr>
        <vertAlign val="subscript"/>
        <sz val="11"/>
        <rFont val="Calibri"/>
        <family val="2"/>
        <scheme val="minor"/>
      </rPr>
      <t>GH2_dt</t>
    </r>
    <r>
      <rPr>
        <sz val="11"/>
        <rFont val="Calibri"/>
        <family val="2"/>
        <scheme val="minor"/>
      </rPr>
      <t>*((1/T)-(1/298.15)))</t>
    </r>
  </si>
  <si>
    <r>
      <t>Henry</t>
    </r>
    <r>
      <rPr>
        <vertAlign val="subscript"/>
        <sz val="11"/>
        <rFont val="Calibri"/>
        <family val="2"/>
        <scheme val="minor"/>
      </rPr>
      <t>GCH4</t>
    </r>
    <r>
      <rPr>
        <sz val="11"/>
        <rFont val="Calibri"/>
        <family val="2"/>
        <scheme val="minor"/>
      </rPr>
      <t>(T)</t>
    </r>
  </si>
  <si>
    <r>
      <t>Temperature dependent Henry coefficient for CH</t>
    </r>
    <r>
      <rPr>
        <vertAlign val="subscript"/>
        <sz val="11"/>
        <rFont val="Calibri"/>
        <family val="2"/>
        <scheme val="minor"/>
      </rPr>
      <t>4</t>
    </r>
  </si>
  <si>
    <r>
      <t>Henry</t>
    </r>
    <r>
      <rPr>
        <vertAlign val="subscript"/>
        <sz val="11"/>
        <rFont val="Calibri"/>
        <family val="2"/>
        <scheme val="minor"/>
      </rPr>
      <t>GCH4_25</t>
    </r>
    <r>
      <rPr>
        <sz val="11"/>
        <rFont val="Calibri"/>
        <family val="2"/>
        <scheme val="minor"/>
      </rPr>
      <t>*Exp(Henry</t>
    </r>
    <r>
      <rPr>
        <vertAlign val="subscript"/>
        <sz val="11"/>
        <rFont val="Calibri"/>
        <family val="2"/>
        <scheme val="minor"/>
      </rPr>
      <t>GCH4_dt</t>
    </r>
    <r>
      <rPr>
        <sz val="11"/>
        <rFont val="Calibri"/>
        <family val="2"/>
        <scheme val="minor"/>
      </rPr>
      <t>*((1/T)-(1/298.15)))</t>
    </r>
  </si>
  <si>
    <t>HenryGNH3(T)</t>
  </si>
  <si>
    <t>Temperature dependent Henry coefficient for NH3</t>
  </si>
  <si>
    <t>HenryGNH3_25*Exp(HenryGNH3_dt*((1/T)-(1/298.15)))</t>
  </si>
  <si>
    <t>HenryGH2S(T)</t>
  </si>
  <si>
    <t>Temperature dependent Henry coefficient for H2S</t>
  </si>
  <si>
    <t>HenryGH2S_25*Exp(HenryGH2S_dt*((1/T)-(1/298.15)))</t>
  </si>
  <si>
    <t>C++ functions</t>
  </si>
  <si>
    <t>New functions to be used only in C++ (must follow C++ syntax)</t>
  </si>
  <si>
    <t>SignedAbs(x1; x2)</t>
  </si>
  <si>
    <t>Abs value with sign of x2</t>
  </si>
  <si>
    <t>Sign(x2) * abs(x1)</t>
  </si>
  <si>
    <t>Damp(x)</t>
  </si>
  <si>
    <t xml:space="preserve">Logarithmic damping </t>
  </si>
  <si>
    <t>if (x &lt; 0) 
  return -log10(-x+1);
else
  return log10(x+1);</t>
  </si>
  <si>
    <t>AbsError(modelvar;data)</t>
  </si>
  <si>
    <t>Absolute error</t>
  </si>
  <si>
    <t>abs(modelvar-data)</t>
  </si>
  <si>
    <t>RelError(modelvar;data)</t>
  </si>
  <si>
    <t>Relative error</t>
  </si>
  <si>
    <t>abs((modelvar-data)/modelvar)</t>
  </si>
  <si>
    <t>AbsSumOfSquares(modelvar;data)</t>
  </si>
  <si>
    <t>Sum of squares</t>
  </si>
  <si>
    <t>pow((modelvar-data), 2)</t>
  </si>
  <si>
    <t>RelSumOfSquares(modelvar;data)</t>
  </si>
  <si>
    <t>Sum of relative squares</t>
  </si>
  <si>
    <t>pow(((modelvar-data)/modelvar), 2)</t>
  </si>
  <si>
    <t>MaxElemIndex([] x)</t>
  </si>
  <si>
    <t>Index of element with maximum value in 'x'</t>
  </si>
  <si>
    <t>return std::distance(x.data, std::max_element(x.data, x.data+x.size))+1;</t>
  </si>
  <si>
    <t>SumIf([] x;[] y; z)</t>
  </si>
  <si>
    <t>Conditional sum</t>
  </si>
  <si>
    <t>pvt sum = 0.0;
for( int i = 0; i &lt; y.size; ++i )
{
  if( y(i) == z ) sum += x(i);
}
return sum;</t>
  </si>
  <si>
    <t>If(BOOL a;b;c)</t>
  </si>
  <si>
    <t>if (a is true) then b else c</t>
  </si>
  <si>
    <t>return a ? b : c;</t>
  </si>
  <si>
    <t>Average([] x)</t>
  </si>
  <si>
    <t>Average of array elements</t>
  </si>
  <si>
    <t>pvt sum = 0.0;
for( int i = 0; i &lt; x.size; ++i )
{
  sum += x(i);
}
return sum/x.size;</t>
  </si>
  <si>
    <t>Max([] x)</t>
  </si>
  <si>
    <t>Maximum of array elements</t>
  </si>
  <si>
    <t>pvt m = x(0);
for( int i = 1; i &lt; x.size; ++i )
{
    m = max( m, x(i) );
}
return m;</t>
  </si>
  <si>
    <t>Min([] x)</t>
  </si>
  <si>
    <t>Minimum of array elements</t>
  </si>
  <si>
    <t>pvt m = x(0);
for( int i = 1; i &lt; x.size; ++i )
{
    m = min( m, x(i) );
}
return m;</t>
  </si>
  <si>
    <t>Sum([] x)</t>
  </si>
  <si>
    <t>Sum of array elements</t>
  </si>
  <si>
    <t>pvt sum = 0.0;
for( int i = 0; i &lt;= x.size; ++i )
{
  sum += x(i);
}
return sum;</t>
  </si>
  <si>
    <t>And(BOOL x; BOOL y)</t>
  </si>
  <si>
    <t>Logical 'and'</t>
  </si>
  <si>
    <t>return x &amp;&amp; y;</t>
  </si>
  <si>
    <t>And(BOOL x; BOOL y; BOOL z)</t>
  </si>
  <si>
    <t>Logical 'and' for three arguments</t>
  </si>
  <si>
    <t>return x &amp;&amp; y &amp;&amp; z;</t>
  </si>
  <si>
    <t>And(BOOL x; BOOL y; BOOL z; BOOL m)</t>
  </si>
  <si>
    <t>Logical 'and' for four arguments</t>
  </si>
  <si>
    <t>return x &amp;&amp; y &amp;&amp; z &amp;&amp; m;</t>
  </si>
  <si>
    <t>And(BOOL x; BOOL y; BOOL z; BOOL m; BOOL n)</t>
  </si>
  <si>
    <t>Logical 'and' for five arguments</t>
  </si>
  <si>
    <t>return x &amp;&amp; y &amp;&amp; z &amp;&amp; m &amp;&amp; n;</t>
  </si>
  <si>
    <t>And(BOOL x; BOOL y; BOOL z; BOOL m; BOOL n; BOOL o)</t>
  </si>
  <si>
    <t>Logical 'and' for six arguments</t>
  </si>
  <si>
    <t>return x &amp;&amp; y &amp;&amp; z &amp;&amp; m &amp;&amp; n &amp;&amp; o;</t>
  </si>
  <si>
    <t>Or(BOOL x; BOOL y)</t>
  </si>
  <si>
    <t>Logical 'or'</t>
  </si>
  <si>
    <t>return x || y;</t>
  </si>
  <si>
    <t>Or(BOOL x; BOOL y; BOOL z)</t>
  </si>
  <si>
    <t>Logical 'or' for three arguments</t>
  </si>
  <si>
    <t>return x || y || z;</t>
  </si>
  <si>
    <t>Or(BOOL x; BOOL y; BOOL z; BOOL m)</t>
  </si>
  <si>
    <t>Logical 'or' for four arguments</t>
  </si>
  <si>
    <t>return x || y || z || m;</t>
  </si>
  <si>
    <t>Or(BOOL x; BOOL y; BOOL z; BOOL m; BOOL n)</t>
  </si>
  <si>
    <t>Logical 'or' for five arguments</t>
  </si>
  <si>
    <t>return x || y || z || m || n;</t>
  </si>
  <si>
    <t>Or(BOOL x; BOOL y; BOOL z; BOOL m; BOOL n; BOOL o)</t>
  </si>
  <si>
    <t>Logical 'or' for six arguments</t>
  </si>
  <si>
    <t>return x || y || z || m || n || o;</t>
  </si>
  <si>
    <t>SUMO to C++ mapping</t>
  </si>
  <si>
    <t>Straight mapping from Excel to C++. Will work in both</t>
  </si>
  <si>
    <t>Min(a;b)</t>
  </si>
  <si>
    <t>min(a,b)</t>
  </si>
  <si>
    <t>Max(a;b;c)</t>
  </si>
  <si>
    <t>max(Max(a;b);c)</t>
  </si>
  <si>
    <t>Max(a;b;c;d)</t>
  </si>
  <si>
    <t>max(Max(a;b;c);d)</t>
  </si>
  <si>
    <t>Max(a;b;c;d;e)</t>
  </si>
  <si>
    <t>max(Max(a;b;c;d);e)</t>
  </si>
  <si>
    <t>Max(a;b;c;d;e;f)</t>
  </si>
  <si>
    <t>max(Max(a;b;c;d;e);f)</t>
  </si>
  <si>
    <t>Max(a;b;c;d;e;f;g)</t>
  </si>
  <si>
    <t>max(Max(a;b;c;d;e;f);g)</t>
  </si>
  <si>
    <t>Max(a;b;c;d;e;f;g;h)</t>
  </si>
  <si>
    <t>max(Max(a;b;c;d;e;f;g);h)</t>
  </si>
  <si>
    <t>Max(a;b;c;d;e;f;g;h;i)</t>
  </si>
  <si>
    <t>max(Max(a;b;c;d;e;f;g;h);i)</t>
  </si>
  <si>
    <t>Max(a;b;c;d;e;f;g;h;i;j)</t>
  </si>
  <si>
    <t>max(Max(a;b;c;d;e;f;g;h;i);j)</t>
  </si>
  <si>
    <t>Max(a;b;c;d;e;f;g;h;i;j;k)</t>
  </si>
  <si>
    <t>max(Max(a;b;c;d;e;f;g;h;i;j);k)</t>
  </si>
  <si>
    <t>Max(a;b;c;d;e;f;g;h;i;j;k;l)</t>
  </si>
  <si>
    <t>max(Max(a;b;c;d;e;f;g;h;i;j;k);l)</t>
  </si>
  <si>
    <t>Max(a;b;c;d;e;f;g;h;i;j;k;l;m)</t>
  </si>
  <si>
    <t>max(Max(a;b;c;d;e;f;g;h;i;j;k;l);m)</t>
  </si>
  <si>
    <t>Max(a;b;c;d;e;f;g;h;i;j;k;l;m;n)</t>
  </si>
  <si>
    <t>max(Max(a;b;c;d;e;f;g;h;i;j;k;l;m);n)</t>
  </si>
  <si>
    <t>Max(a;b;c;d;e;f;g;h;i;j;k;l;m;n;o)</t>
  </si>
  <si>
    <t>max(Max(a;b;c;d;e;f;g;h;i;j;k;l;m;n);o)</t>
  </si>
  <si>
    <t>Max(a;b;c;d;e;f;g;h;i;j;k;l;m;n;o;p)</t>
  </si>
  <si>
    <t>max(Max(a;b;c;d;e;f;g;h;i;j;k;l;m;n;o);p)</t>
  </si>
  <si>
    <t>Max(a;b;c;d;e;f;g;h;i;j;k;l;m;n;o;p;q)</t>
  </si>
  <si>
    <t>max(Max(a;b;c;d;e;f;g;h;i;j;k;l;m;n;o;p);q)</t>
  </si>
  <si>
    <t>Max(a;b;c;d;e;f;g;h;i;j;k;l;m;n;o;p;q;r)</t>
  </si>
  <si>
    <t>max(Max(a;b;c;d;e;f;g;h;i;j;k;l;m;n;o;p;q);r)</t>
  </si>
  <si>
    <t>Max(a;b;c;d;e;f;g;h;i;j;k;l;m;n;o;p;q;r;s)</t>
  </si>
  <si>
    <t>max(Max(a;b;c;d;e;f;g;h;i;j;k;l;m;n;o;p;q;r);s)</t>
  </si>
  <si>
    <t>Max(a;b;c;d;e;f;g;h;i;j;k;l;m;n;o;p;q;r;s;t)</t>
  </si>
  <si>
    <t>max(Max(a;b;c;d;e;f;g;h;i;j;k;l;m;n;o;p;q;r;s);t)</t>
  </si>
  <si>
    <t>Power</t>
  </si>
  <si>
    <t>Absolute value</t>
  </si>
  <si>
    <t>Natural base exponent</t>
  </si>
  <si>
    <t>Ln(x)</t>
  </si>
  <si>
    <t>e based logarithm</t>
  </si>
  <si>
    <t>log(x)</t>
  </si>
  <si>
    <t>Min(a;b;c)</t>
  </si>
  <si>
    <t>Minimum of three numbers</t>
  </si>
  <si>
    <t>min(min(a;b);c)</t>
  </si>
  <si>
    <t>Min(a;b;c;d)</t>
  </si>
  <si>
    <t>Minimum of four numbers</t>
  </si>
  <si>
    <t>min(Min(a;b;c);d)</t>
  </si>
  <si>
    <t>Min(a;b;c;d;e)</t>
  </si>
  <si>
    <t>Minimum of five numbers</t>
  </si>
  <si>
    <t>min(Min(a;b;c;d);e)</t>
  </si>
  <si>
    <t>Built in C++ functions</t>
  </si>
  <si>
    <t>Pure</t>
  </si>
  <si>
    <t>valid C++ functions (don't need definition)</t>
  </si>
  <si>
    <t>Argument</t>
  </si>
  <si>
    <t>cos</t>
  </si>
  <si>
    <t>Compute cosine</t>
  </si>
  <si>
    <t>sin</t>
  </si>
  <si>
    <t>Compute sine</t>
  </si>
  <si>
    <t>tan</t>
  </si>
  <si>
    <t>Compute tangent</t>
  </si>
  <si>
    <t>acos</t>
  </si>
  <si>
    <t>Compute arc cosine</t>
  </si>
  <si>
    <t>asin</t>
  </si>
  <si>
    <t>Compute arc sine</t>
  </si>
  <si>
    <t>atan</t>
  </si>
  <si>
    <t>Compute arc tangent</t>
  </si>
  <si>
    <t>atan2</t>
  </si>
  <si>
    <t>Compute arc tangent with two parameters</t>
  </si>
  <si>
    <t>cosh</t>
  </si>
  <si>
    <t>Compute hyperbolic cosine</t>
  </si>
  <si>
    <t>sinh</t>
  </si>
  <si>
    <t>Compute hyperbolic sine</t>
  </si>
  <si>
    <t>tanh</t>
  </si>
  <si>
    <t>Compute hyperbolic tangent</t>
  </si>
  <si>
    <t>exp</t>
  </si>
  <si>
    <t>Compute exponential function</t>
  </si>
  <si>
    <t>(power)</t>
  </si>
  <si>
    <t>ldexp</t>
  </si>
  <si>
    <t>Generate number from significand and exponent</t>
  </si>
  <si>
    <t>log</t>
  </si>
  <si>
    <t>Compute natural logarithm</t>
  </si>
  <si>
    <t>log10</t>
  </si>
  <si>
    <t>Compute common logarithm</t>
  </si>
  <si>
    <t>sqrt</t>
  </si>
  <si>
    <t>Compute square root</t>
  </si>
  <si>
    <t>ceil</t>
  </si>
  <si>
    <t>Round up value</t>
  </si>
  <si>
    <t>fabs</t>
  </si>
  <si>
    <t>Compute absolute value</t>
  </si>
  <si>
    <t>floor</t>
  </si>
  <si>
    <t>Round down value</t>
  </si>
  <si>
    <t>round</t>
  </si>
  <si>
    <t>Round value to next integer</t>
  </si>
  <si>
    <t>fmod</t>
  </si>
  <si>
    <t>Compute remainder of division</t>
  </si>
  <si>
    <t>pow</t>
  </si>
  <si>
    <t>(base,power)</t>
  </si>
  <si>
    <t>abs of</t>
  </si>
  <si>
    <t>min</t>
  </si>
  <si>
    <t>minimum of</t>
  </si>
  <si>
    <t>max</t>
  </si>
  <si>
    <t>maximum of</t>
  </si>
  <si>
    <t>distance</t>
  </si>
  <si>
    <t>Return distance between two iterators</t>
  </si>
  <si>
    <t>max_element</t>
  </si>
  <si>
    <t>Return largest element in a range</t>
  </si>
  <si>
    <t>int</t>
  </si>
  <si>
    <t>converts to integer</t>
  </si>
  <si>
    <r>
      <t>η</t>
    </r>
    <r>
      <rPr>
        <vertAlign val="subscript"/>
        <sz val="11"/>
        <rFont val="Calibri"/>
        <family val="2"/>
        <scheme val="minor"/>
      </rPr>
      <t>H2O</t>
    </r>
  </si>
  <si>
    <r>
      <t>kg.m</t>
    </r>
    <r>
      <rPr>
        <vertAlign val="superscript"/>
        <sz val="11"/>
        <rFont val="Calibri"/>
        <family val="2"/>
        <scheme val="minor"/>
      </rPr>
      <t>-1</t>
    </r>
    <r>
      <rPr>
        <sz val="11"/>
        <rFont val="Calibri"/>
        <family val="2"/>
        <scheme val="minor"/>
      </rPr>
      <t>.s</t>
    </r>
    <r>
      <rPr>
        <vertAlign val="superscript"/>
        <sz val="11"/>
        <rFont val="Calibri"/>
        <family val="2"/>
        <scheme val="minor"/>
      </rPr>
      <t>-1</t>
    </r>
  </si>
  <si>
    <r>
      <t>R</t>
    </r>
    <r>
      <rPr>
        <vertAlign val="subscript"/>
        <sz val="11"/>
        <rFont val="Calibri"/>
        <family val="2"/>
        <scheme val="minor"/>
      </rPr>
      <t>air</t>
    </r>
  </si>
  <si>
    <t>Specific mass based gas constant for air</t>
  </si>
  <si>
    <r>
      <t>J.kg</t>
    </r>
    <r>
      <rPr>
        <vertAlign val="superscript"/>
        <sz val="11"/>
        <rFont val="Calibri"/>
        <family val="2"/>
        <scheme val="minor"/>
      </rPr>
      <t>-1</t>
    </r>
    <r>
      <rPr>
        <sz val="11"/>
        <rFont val="Calibri"/>
        <family val="2"/>
        <scheme val="minor"/>
      </rPr>
      <t>.K</t>
    </r>
    <r>
      <rPr>
        <vertAlign val="superscript"/>
        <sz val="11"/>
        <rFont val="Calibri"/>
        <family val="2"/>
        <scheme val="minor"/>
      </rPr>
      <t>-1</t>
    </r>
  </si>
  <si>
    <t>κ</t>
  </si>
  <si>
    <r>
      <t xml:space="preserve">However the elements under standard conditions are considered to have zero enthalpy, Sumo uses 0°C as the point where water has zero enthalpy. Reason: in this case there is no need for solvers to deal with negative </t>
    </r>
    <r>
      <rPr>
        <sz val="11"/>
        <color rgb="FF0082C8"/>
        <rFont val="Calibri"/>
        <family val="2"/>
        <scheme val="minor"/>
      </rPr>
      <t>SV</t>
    </r>
    <r>
      <rPr>
        <sz val="11"/>
        <rFont val="Calibri"/>
        <family val="2"/>
        <scheme val="minor"/>
      </rPr>
      <t>s. Otherwise all cases when T is below 25°C, this would be the case.</t>
    </r>
  </si>
  <si>
    <t>Conversion coefficient between secs and days</t>
  </si>
  <si>
    <r>
      <t>s.d</t>
    </r>
    <r>
      <rPr>
        <vertAlign val="superscript"/>
        <sz val="11"/>
        <rFont val="Calibri"/>
        <family val="2"/>
        <scheme val="minor"/>
      </rPr>
      <t>-1</t>
    </r>
  </si>
  <si>
    <r>
      <t>c</t>
    </r>
    <r>
      <rPr>
        <vertAlign val="subscript"/>
        <sz val="11"/>
        <rFont val="Calibri"/>
        <family val="2"/>
        <scheme val="minor"/>
      </rPr>
      <t>s,h</t>
    </r>
  </si>
  <si>
    <t>Conversion coefficient between seconds and hours</t>
  </si>
  <si>
    <r>
      <t>s.h</t>
    </r>
    <r>
      <rPr>
        <vertAlign val="superscript"/>
        <sz val="11"/>
        <rFont val="Calibri"/>
        <family val="2"/>
        <scheme val="minor"/>
      </rPr>
      <t>-1</t>
    </r>
  </si>
  <si>
    <r>
      <t>mg.g</t>
    </r>
    <r>
      <rPr>
        <vertAlign val="superscript"/>
        <sz val="11"/>
        <rFont val="Calibri"/>
        <family val="2"/>
        <scheme val="minor"/>
      </rPr>
      <t>-1</t>
    </r>
  </si>
  <si>
    <r>
      <t>g.kg</t>
    </r>
    <r>
      <rPr>
        <vertAlign val="superscript"/>
        <sz val="11"/>
        <rFont val="Calibri"/>
        <family val="2"/>
        <scheme val="minor"/>
      </rPr>
      <t>-1</t>
    </r>
  </si>
  <si>
    <t>Conversion coefficient between liters and cubic meters</t>
  </si>
  <si>
    <r>
      <t>L.m</t>
    </r>
    <r>
      <rPr>
        <vertAlign val="superscript"/>
        <sz val="11"/>
        <rFont val="Calibri"/>
        <family val="2"/>
        <scheme val="minor"/>
      </rPr>
      <t>-3</t>
    </r>
  </si>
  <si>
    <r>
      <t>Pa.Hgmm</t>
    </r>
    <r>
      <rPr>
        <vertAlign val="superscript"/>
        <sz val="11"/>
        <rFont val="Calibri"/>
        <family val="2"/>
        <scheme val="minor"/>
      </rPr>
      <t>-1</t>
    </r>
  </si>
  <si>
    <r>
      <t>Pa.bar</t>
    </r>
    <r>
      <rPr>
        <vertAlign val="superscript"/>
        <sz val="11"/>
        <rFont val="Calibri"/>
        <family val="2"/>
        <scheme val="minor"/>
      </rPr>
      <t>-1</t>
    </r>
  </si>
  <si>
    <r>
      <t>cm</t>
    </r>
    <r>
      <rPr>
        <vertAlign val="superscript"/>
        <sz val="11"/>
        <rFont val="Calibri"/>
        <family val="2"/>
        <scheme val="minor"/>
      </rPr>
      <t>2</t>
    </r>
    <r>
      <rPr>
        <sz val="11"/>
        <rFont val="Calibri"/>
        <family val="2"/>
        <scheme val="minor"/>
      </rPr>
      <t>.m</t>
    </r>
    <r>
      <rPr>
        <vertAlign val="superscript"/>
        <sz val="11"/>
        <rFont val="Calibri"/>
        <family val="2"/>
        <scheme val="minor"/>
      </rPr>
      <t>-2</t>
    </r>
  </si>
  <si>
    <r>
      <t>S</t>
    </r>
    <r>
      <rPr>
        <b/>
        <vertAlign val="subscript"/>
        <sz val="11"/>
        <rFont val="Calibri"/>
        <family val="2"/>
        <scheme val="minor"/>
      </rPr>
      <t>Fe2</t>
    </r>
  </si>
  <si>
    <r>
      <t>S</t>
    </r>
    <r>
      <rPr>
        <vertAlign val="subscript"/>
        <sz val="11"/>
        <rFont val="Calibri"/>
        <family val="2"/>
      </rPr>
      <t>Fe2</t>
    </r>
    <r>
      <rPr>
        <sz val="11"/>
        <rFont val="Calibri"/>
        <family val="2"/>
      </rPr>
      <t>/(AM</t>
    </r>
    <r>
      <rPr>
        <vertAlign val="subscript"/>
        <sz val="11"/>
        <rFont val="Calibri"/>
        <family val="2"/>
      </rPr>
      <t>Fe</t>
    </r>
    <r>
      <rPr>
        <sz val="11"/>
        <rFont val="Calibri"/>
        <family val="2"/>
      </rPr>
      <t>*1000)</t>
    </r>
  </si>
  <si>
    <t>Total iron</t>
  </si>
  <si>
    <r>
      <t>PrecipDrivingForce</t>
    </r>
    <r>
      <rPr>
        <vertAlign val="subscript"/>
        <sz val="11"/>
        <color theme="1"/>
        <rFont val="Calibri"/>
        <family val="2"/>
        <scheme val="minor"/>
      </rPr>
      <t>ACP</t>
    </r>
  </si>
  <si>
    <r>
      <t>PrecipDrivingForce</t>
    </r>
    <r>
      <rPr>
        <vertAlign val="subscript"/>
        <sz val="11"/>
        <color theme="1"/>
        <rFont val="Calibri"/>
        <family val="2"/>
        <scheme val="minor"/>
      </rPr>
      <t>CaCO3</t>
    </r>
  </si>
  <si>
    <t>Sidestream</t>
  </si>
  <si>
    <r>
      <t>g TIC.m</t>
    </r>
    <r>
      <rPr>
        <vertAlign val="superscript"/>
        <sz val="11"/>
        <color indexed="8"/>
        <rFont val="Calibri"/>
        <family val="2"/>
        <scheme val="minor"/>
      </rPr>
      <t>-3</t>
    </r>
  </si>
  <si>
    <r>
      <t>f(S</t>
    </r>
    <r>
      <rPr>
        <vertAlign val="subscript"/>
        <sz val="11"/>
        <rFont val="Calibri"/>
        <family val="2"/>
      </rPr>
      <t>VFA</t>
    </r>
    <r>
      <rPr>
        <sz val="11"/>
        <rFont val="Calibri"/>
        <family val="2"/>
      </rPr>
      <t>)pH</t>
    </r>
  </si>
  <si>
    <t>Non-Biofilm; Non-Sidestream</t>
  </si>
  <si>
    <t>Biofilm; Non-Sidestream</t>
  </si>
  <si>
    <r>
      <t>g Mg.m</t>
    </r>
    <r>
      <rPr>
        <vertAlign val="superscript"/>
        <sz val="11"/>
        <rFont val="Calibri"/>
        <family val="2"/>
        <scheme val="minor"/>
      </rPr>
      <t>-3</t>
    </r>
  </si>
  <si>
    <r>
      <t>g K.m</t>
    </r>
    <r>
      <rPr>
        <vertAlign val="superscript"/>
        <sz val="11"/>
        <rFont val="Calibri"/>
        <family val="2"/>
        <scheme val="minor"/>
      </rPr>
      <t>-3</t>
    </r>
  </si>
  <si>
    <r>
      <t>g Ca.m</t>
    </r>
    <r>
      <rPr>
        <vertAlign val="superscript"/>
        <sz val="11"/>
        <rFont val="Calibri"/>
        <family val="2"/>
        <scheme val="minor"/>
      </rPr>
      <t>-3</t>
    </r>
  </si>
  <si>
    <r>
      <t>K</t>
    </r>
    <r>
      <rPr>
        <vertAlign val="subscript"/>
        <sz val="11"/>
        <rFont val="Calibri"/>
        <family val="2"/>
        <scheme val="minor"/>
      </rPr>
      <t>Mg,PAO</t>
    </r>
  </si>
  <si>
    <r>
      <t>K</t>
    </r>
    <r>
      <rPr>
        <vertAlign val="subscript"/>
        <sz val="11"/>
        <rFont val="Calibri"/>
        <family val="2"/>
        <scheme val="minor"/>
      </rPr>
      <t>K,PAO</t>
    </r>
  </si>
  <si>
    <r>
      <t>K</t>
    </r>
    <r>
      <rPr>
        <vertAlign val="subscript"/>
        <sz val="11"/>
        <rFont val="Calibri"/>
        <family val="2"/>
        <scheme val="minor"/>
      </rPr>
      <t>Ca,PAO</t>
    </r>
  </si>
  <si>
    <t>Precipitation</t>
  </si>
  <si>
    <r>
      <t>f(S</t>
    </r>
    <r>
      <rPr>
        <vertAlign val="subscript"/>
        <sz val="11"/>
        <rFont val="Calibri"/>
        <family val="2"/>
      </rPr>
      <t>Fe2</t>
    </r>
    <r>
      <rPr>
        <sz val="11"/>
        <rFont val="Calibri"/>
        <family val="2"/>
      </rPr>
      <t>); pH</t>
    </r>
  </si>
  <si>
    <r>
      <t>f(X</t>
    </r>
    <r>
      <rPr>
        <vertAlign val="subscript"/>
        <sz val="11"/>
        <rFont val="Calibri"/>
        <family val="2"/>
      </rPr>
      <t>B</t>
    </r>
    <r>
      <rPr>
        <sz val="11"/>
        <rFont val="Calibri"/>
        <family val="2"/>
      </rPr>
      <t>)</t>
    </r>
  </si>
  <si>
    <r>
      <t>i</t>
    </r>
    <r>
      <rPr>
        <vertAlign val="subscript"/>
        <sz val="11"/>
        <rFont val="Calibri"/>
        <family val="2"/>
        <scheme val="minor"/>
      </rPr>
      <t>CIT,BIO</t>
    </r>
  </si>
  <si>
    <r>
      <t>-EEQ</t>
    </r>
    <r>
      <rPr>
        <vertAlign val="subscript"/>
        <sz val="11"/>
        <rFont val="Calibri"/>
        <family val="2"/>
        <scheme val="minor"/>
      </rPr>
      <t>NO3</t>
    </r>
  </si>
  <si>
    <r>
      <t>-EEQ</t>
    </r>
    <r>
      <rPr>
        <vertAlign val="subscript"/>
        <sz val="11"/>
        <rFont val="Calibri"/>
        <family val="2"/>
        <scheme val="minor"/>
      </rPr>
      <t>N2</t>
    </r>
  </si>
  <si>
    <r>
      <t>3*AM</t>
    </r>
    <r>
      <rPr>
        <vertAlign val="subscript"/>
        <sz val="11"/>
        <rFont val="Calibri"/>
        <family val="2"/>
      </rPr>
      <t>Fe</t>
    </r>
    <r>
      <rPr>
        <sz val="11"/>
        <rFont val="Calibri"/>
        <family val="2"/>
      </rPr>
      <t>/MM</t>
    </r>
    <r>
      <rPr>
        <vertAlign val="subscript"/>
        <sz val="11"/>
        <rFont val="Calibri"/>
        <family val="2"/>
      </rPr>
      <t>Vivi</t>
    </r>
    <r>
      <rPr>
        <sz val="11"/>
        <rFont val="Calibri"/>
        <family val="2"/>
      </rPr>
      <t>*EEQ</t>
    </r>
    <r>
      <rPr>
        <vertAlign val="subscript"/>
        <sz val="11"/>
        <rFont val="Calibri"/>
        <family val="2"/>
      </rPr>
      <t>Fe2</t>
    </r>
  </si>
  <si>
    <r>
      <t>AM</t>
    </r>
    <r>
      <rPr>
        <vertAlign val="subscript"/>
        <sz val="11"/>
        <rFont val="Calibri"/>
        <family val="2"/>
        <scheme val="minor"/>
      </rPr>
      <t>N</t>
    </r>
    <r>
      <rPr>
        <sz val="11"/>
        <rFont val="Calibri"/>
        <family val="2"/>
        <scheme val="minor"/>
      </rPr>
      <t>/MM</t>
    </r>
    <r>
      <rPr>
        <vertAlign val="subscript"/>
        <sz val="11"/>
        <rFont val="Calibri"/>
        <family val="2"/>
        <scheme val="minor"/>
      </rPr>
      <t>STR</t>
    </r>
  </si>
  <si>
    <r>
      <t>i</t>
    </r>
    <r>
      <rPr>
        <vertAlign val="subscript"/>
        <sz val="11"/>
        <rFont val="Calibri"/>
        <family val="2"/>
      </rPr>
      <t>P,BIO</t>
    </r>
  </si>
  <si>
    <r>
      <t>2*AM</t>
    </r>
    <r>
      <rPr>
        <vertAlign val="subscript"/>
        <sz val="11"/>
        <rFont val="Calibri"/>
        <family val="2"/>
        <scheme val="minor"/>
      </rPr>
      <t>P</t>
    </r>
    <r>
      <rPr>
        <sz val="11"/>
        <rFont val="Calibri"/>
        <family val="2"/>
        <scheme val="minor"/>
      </rPr>
      <t>/MM</t>
    </r>
    <r>
      <rPr>
        <vertAlign val="subscript"/>
        <sz val="11"/>
        <rFont val="Calibri"/>
        <family val="2"/>
        <scheme val="minor"/>
      </rPr>
      <t>ACP</t>
    </r>
  </si>
  <si>
    <r>
      <t>AM</t>
    </r>
    <r>
      <rPr>
        <vertAlign val="subscript"/>
        <sz val="11"/>
        <rFont val="Calibri"/>
        <family val="2"/>
        <scheme val="minor"/>
      </rPr>
      <t>P</t>
    </r>
    <r>
      <rPr>
        <sz val="11"/>
        <rFont val="Calibri"/>
        <family val="2"/>
        <scheme val="minor"/>
      </rPr>
      <t>/MM</t>
    </r>
    <r>
      <rPr>
        <vertAlign val="subscript"/>
        <sz val="11"/>
        <rFont val="Calibri"/>
        <family val="2"/>
        <scheme val="minor"/>
      </rPr>
      <t>STR</t>
    </r>
  </si>
  <si>
    <r>
      <t>2*AM</t>
    </r>
    <r>
      <rPr>
        <vertAlign val="subscript"/>
        <sz val="11"/>
        <rFont val="Calibri"/>
        <family val="2"/>
      </rPr>
      <t>P</t>
    </r>
    <r>
      <rPr>
        <sz val="11"/>
        <rFont val="Calibri"/>
        <family val="2"/>
      </rPr>
      <t>/MM</t>
    </r>
    <r>
      <rPr>
        <vertAlign val="subscript"/>
        <sz val="11"/>
        <rFont val="Calibri"/>
        <family val="2"/>
      </rPr>
      <t>Vivi</t>
    </r>
  </si>
  <si>
    <r>
      <t>i</t>
    </r>
    <r>
      <rPr>
        <vertAlign val="subscript"/>
        <sz val="11"/>
        <rFont val="Calibri"/>
        <family val="2"/>
        <scheme val="minor"/>
      </rPr>
      <t>K,PP</t>
    </r>
    <r>
      <rPr>
        <sz val="11"/>
        <rFont val="Calibri"/>
        <family val="2"/>
        <scheme val="minor"/>
      </rPr>
      <t>*AM</t>
    </r>
    <r>
      <rPr>
        <vertAlign val="subscript"/>
        <sz val="11"/>
        <rFont val="Calibri"/>
        <family val="2"/>
        <scheme val="minor"/>
      </rPr>
      <t>K</t>
    </r>
    <r>
      <rPr>
        <sz val="11"/>
        <rFont val="Calibri"/>
        <family val="2"/>
        <scheme val="minor"/>
      </rPr>
      <t>/AM</t>
    </r>
    <r>
      <rPr>
        <vertAlign val="subscript"/>
        <sz val="11"/>
        <rFont val="Calibri"/>
        <family val="2"/>
        <scheme val="minor"/>
      </rPr>
      <t>P</t>
    </r>
  </si>
  <si>
    <r>
      <t>i</t>
    </r>
    <r>
      <rPr>
        <vertAlign val="subscript"/>
        <sz val="11"/>
        <rFont val="Calibri"/>
        <family val="2"/>
        <scheme val="minor"/>
      </rPr>
      <t>Ca,PP</t>
    </r>
    <r>
      <rPr>
        <sz val="11"/>
        <rFont val="Calibri"/>
        <family val="2"/>
        <scheme val="minor"/>
      </rPr>
      <t>*AM</t>
    </r>
    <r>
      <rPr>
        <vertAlign val="subscript"/>
        <sz val="11"/>
        <rFont val="Calibri"/>
        <family val="2"/>
        <scheme val="minor"/>
      </rPr>
      <t>Ca</t>
    </r>
    <r>
      <rPr>
        <sz val="11"/>
        <rFont val="Calibri"/>
        <family val="2"/>
        <scheme val="minor"/>
      </rPr>
      <t>/AM</t>
    </r>
    <r>
      <rPr>
        <vertAlign val="subscript"/>
        <sz val="11"/>
        <rFont val="Calibri"/>
        <family val="2"/>
        <scheme val="minor"/>
      </rPr>
      <t>P</t>
    </r>
  </si>
  <si>
    <r>
      <t>AM</t>
    </r>
    <r>
      <rPr>
        <vertAlign val="subscript"/>
        <sz val="11"/>
        <rFont val="Calibri"/>
        <family val="2"/>
        <scheme val="minor"/>
      </rPr>
      <t>Ca</t>
    </r>
    <r>
      <rPr>
        <sz val="11"/>
        <rFont val="Calibri"/>
        <family val="2"/>
        <scheme val="minor"/>
      </rPr>
      <t>/MM</t>
    </r>
    <r>
      <rPr>
        <vertAlign val="subscript"/>
        <sz val="11"/>
        <rFont val="Calibri"/>
        <family val="2"/>
        <scheme val="minor"/>
      </rPr>
      <t>CaCO3</t>
    </r>
  </si>
  <si>
    <r>
      <t>3*AM</t>
    </r>
    <r>
      <rPr>
        <vertAlign val="subscript"/>
        <sz val="11"/>
        <rFont val="Calibri"/>
        <family val="2"/>
        <scheme val="minor"/>
      </rPr>
      <t>Ca</t>
    </r>
    <r>
      <rPr>
        <sz val="11"/>
        <rFont val="Calibri"/>
        <family val="2"/>
        <scheme val="minor"/>
      </rPr>
      <t>/MM</t>
    </r>
    <r>
      <rPr>
        <vertAlign val="subscript"/>
        <sz val="11"/>
        <rFont val="Calibri"/>
        <family val="2"/>
        <scheme val="minor"/>
      </rPr>
      <t>ACP</t>
    </r>
  </si>
  <si>
    <r>
      <t>i</t>
    </r>
    <r>
      <rPr>
        <vertAlign val="subscript"/>
        <sz val="11"/>
        <rFont val="Calibri"/>
        <family val="2"/>
        <scheme val="minor"/>
      </rPr>
      <t>Mg,PP</t>
    </r>
    <r>
      <rPr>
        <sz val="11"/>
        <rFont val="Calibri"/>
        <family val="2"/>
        <scheme val="minor"/>
      </rPr>
      <t>*AM</t>
    </r>
    <r>
      <rPr>
        <vertAlign val="subscript"/>
        <sz val="11"/>
        <rFont val="Calibri"/>
        <family val="2"/>
        <scheme val="minor"/>
      </rPr>
      <t>Mg</t>
    </r>
    <r>
      <rPr>
        <sz val="11"/>
        <rFont val="Calibri"/>
        <family val="2"/>
        <scheme val="minor"/>
      </rPr>
      <t>/AM</t>
    </r>
    <r>
      <rPr>
        <vertAlign val="subscript"/>
        <sz val="11"/>
        <rFont val="Calibri"/>
        <family val="2"/>
        <scheme val="minor"/>
      </rPr>
      <t>P</t>
    </r>
  </si>
  <si>
    <r>
      <t>AM</t>
    </r>
    <r>
      <rPr>
        <vertAlign val="subscript"/>
        <sz val="11"/>
        <rFont val="Calibri"/>
        <family val="2"/>
        <scheme val="minor"/>
      </rPr>
      <t>Mg</t>
    </r>
    <r>
      <rPr>
        <sz val="11"/>
        <rFont val="Calibri"/>
        <family val="2"/>
        <scheme val="minor"/>
      </rPr>
      <t>/MM</t>
    </r>
    <r>
      <rPr>
        <vertAlign val="subscript"/>
        <sz val="11"/>
        <rFont val="Calibri"/>
        <family val="2"/>
        <scheme val="minor"/>
      </rPr>
      <t>STR</t>
    </r>
  </si>
  <si>
    <r>
      <t>3*AM</t>
    </r>
    <r>
      <rPr>
        <vertAlign val="subscript"/>
        <sz val="11"/>
        <rFont val="Calibri"/>
        <family val="2"/>
      </rPr>
      <t>Fe</t>
    </r>
    <r>
      <rPr>
        <sz val="11"/>
        <rFont val="Calibri"/>
        <family val="2"/>
      </rPr>
      <t>/MM</t>
    </r>
    <r>
      <rPr>
        <vertAlign val="subscript"/>
        <sz val="11"/>
        <rFont val="Calibri"/>
        <family val="2"/>
      </rPr>
      <t>Vivi</t>
    </r>
  </si>
  <si>
    <r>
      <t>S</t>
    </r>
    <r>
      <rPr>
        <b/>
        <vertAlign val="subscript"/>
        <sz val="11"/>
        <rFont val="Calibri"/>
        <family val="2"/>
        <scheme val="minor"/>
      </rPr>
      <t>Mg</t>
    </r>
  </si>
  <si>
    <r>
      <t>X</t>
    </r>
    <r>
      <rPr>
        <b/>
        <vertAlign val="subscript"/>
        <sz val="11"/>
        <rFont val="Calibri"/>
        <family val="2"/>
        <scheme val="minor"/>
      </rPr>
      <t>HFO,H</t>
    </r>
  </si>
  <si>
    <r>
      <t>X</t>
    </r>
    <r>
      <rPr>
        <b/>
        <vertAlign val="subscript"/>
        <sz val="11"/>
        <rFont val="Calibri"/>
        <family val="2"/>
        <scheme val="minor"/>
      </rPr>
      <t>HFO,L</t>
    </r>
  </si>
  <si>
    <r>
      <t>X</t>
    </r>
    <r>
      <rPr>
        <b/>
        <vertAlign val="subscript"/>
        <sz val="11"/>
        <rFont val="Calibri"/>
        <family val="2"/>
        <scheme val="minor"/>
      </rPr>
      <t>HFO,old</t>
    </r>
  </si>
  <si>
    <r>
      <t>X</t>
    </r>
    <r>
      <rPr>
        <b/>
        <vertAlign val="subscript"/>
        <sz val="11"/>
        <rFont val="Calibri"/>
        <family val="2"/>
        <scheme val="minor"/>
      </rPr>
      <t>HFO,H,P</t>
    </r>
  </si>
  <si>
    <r>
      <t>X</t>
    </r>
    <r>
      <rPr>
        <b/>
        <vertAlign val="subscript"/>
        <sz val="11"/>
        <rFont val="Calibri"/>
        <family val="2"/>
        <scheme val="minor"/>
      </rPr>
      <t>HFO,L,P</t>
    </r>
  </si>
  <si>
    <r>
      <t>X</t>
    </r>
    <r>
      <rPr>
        <b/>
        <vertAlign val="subscript"/>
        <sz val="11"/>
        <rFont val="Calibri"/>
        <family val="2"/>
      </rPr>
      <t>HFO,H,P,old</t>
    </r>
  </si>
  <si>
    <r>
      <t>X</t>
    </r>
    <r>
      <rPr>
        <b/>
        <vertAlign val="subscript"/>
        <sz val="11"/>
        <rFont val="Calibri"/>
        <family val="2"/>
      </rPr>
      <t>HFO,L,P,old</t>
    </r>
  </si>
  <si>
    <r>
      <t>G</t>
    </r>
    <r>
      <rPr>
        <b/>
        <vertAlign val="subscript"/>
        <sz val="11"/>
        <rFont val="Calibri"/>
        <family val="2"/>
      </rPr>
      <t>CO2</t>
    </r>
  </si>
  <si>
    <r>
      <t>G</t>
    </r>
    <r>
      <rPr>
        <b/>
        <vertAlign val="subscript"/>
        <sz val="11"/>
        <rFont val="Calibri"/>
        <family val="2"/>
      </rPr>
      <t>CH4</t>
    </r>
  </si>
  <si>
    <r>
      <t>G</t>
    </r>
    <r>
      <rPr>
        <b/>
        <vertAlign val="subscript"/>
        <sz val="11"/>
        <rFont val="Calibri"/>
        <family val="2"/>
      </rPr>
      <t>H2</t>
    </r>
  </si>
  <si>
    <r>
      <t>G</t>
    </r>
    <r>
      <rPr>
        <b/>
        <vertAlign val="subscript"/>
        <sz val="11"/>
        <rFont val="Calibri"/>
        <family val="2"/>
      </rPr>
      <t>O2</t>
    </r>
  </si>
  <si>
    <r>
      <t>G</t>
    </r>
    <r>
      <rPr>
        <b/>
        <vertAlign val="subscript"/>
        <sz val="11"/>
        <rFont val="Calibri"/>
        <family val="2"/>
      </rPr>
      <t>N2</t>
    </r>
  </si>
  <si>
    <r>
      <t>OHO growth on VFAs, O</t>
    </r>
    <r>
      <rPr>
        <vertAlign val="subscript"/>
        <sz val="11"/>
        <color rgb="FF000000"/>
        <rFont val="Calibri"/>
        <family val="2"/>
        <scheme val="minor"/>
      </rPr>
      <t>2</t>
    </r>
  </si>
  <si>
    <r>
      <t>-i</t>
    </r>
    <r>
      <rPr>
        <vertAlign val="subscript"/>
        <sz val="11"/>
        <rFont val="Calibri"/>
        <family val="2"/>
      </rPr>
      <t>N,BIO</t>
    </r>
  </si>
  <si>
    <r>
      <t>-i</t>
    </r>
    <r>
      <rPr>
        <vertAlign val="subscript"/>
        <sz val="11"/>
        <rFont val="Calibri"/>
        <family val="2"/>
      </rPr>
      <t>P,BIO</t>
    </r>
  </si>
  <si>
    <r>
      <t>OHO growth on VFAs, NO</t>
    </r>
    <r>
      <rPr>
        <vertAlign val="subscript"/>
        <sz val="11"/>
        <color rgb="FF000000"/>
        <rFont val="Calibri"/>
        <family val="2"/>
        <scheme val="minor"/>
      </rPr>
      <t>3</t>
    </r>
  </si>
  <si>
    <r>
      <t>OHO growth on S</t>
    </r>
    <r>
      <rPr>
        <vertAlign val="subscript"/>
        <sz val="11"/>
        <color rgb="FF000000"/>
        <rFont val="Calibri"/>
        <family val="2"/>
        <scheme val="minor"/>
      </rPr>
      <t>B</t>
    </r>
    <r>
      <rPr>
        <sz val="11"/>
        <color rgb="FF000000"/>
        <rFont val="Calibri"/>
        <family val="2"/>
        <charset val="238"/>
        <scheme val="minor"/>
      </rPr>
      <t>, O</t>
    </r>
    <r>
      <rPr>
        <vertAlign val="subscript"/>
        <sz val="11"/>
        <color rgb="FF000000"/>
        <rFont val="Calibri"/>
        <family val="2"/>
        <scheme val="minor"/>
      </rPr>
      <t>2</t>
    </r>
  </si>
  <si>
    <r>
      <t>OHO growth on S</t>
    </r>
    <r>
      <rPr>
        <vertAlign val="subscript"/>
        <sz val="11"/>
        <color rgb="FF000000"/>
        <rFont val="Calibri"/>
        <family val="2"/>
        <scheme val="minor"/>
      </rPr>
      <t>B</t>
    </r>
    <r>
      <rPr>
        <sz val="11"/>
        <color rgb="FF000000"/>
        <rFont val="Calibri"/>
        <family val="2"/>
        <charset val="238"/>
        <scheme val="minor"/>
      </rPr>
      <t>, NO</t>
    </r>
    <r>
      <rPr>
        <vertAlign val="subscript"/>
        <sz val="11"/>
        <color rgb="FF000000"/>
        <rFont val="Calibri"/>
        <family val="2"/>
        <scheme val="minor"/>
      </rPr>
      <t>3</t>
    </r>
  </si>
  <si>
    <r>
      <t>OHO growth on S</t>
    </r>
    <r>
      <rPr>
        <vertAlign val="subscript"/>
        <sz val="11"/>
        <color rgb="FF000000"/>
        <rFont val="Calibri"/>
        <family val="2"/>
        <scheme val="minor"/>
      </rPr>
      <t>MEOL</t>
    </r>
    <r>
      <rPr>
        <sz val="11"/>
        <color rgb="FF000000"/>
        <rFont val="Calibri"/>
        <family val="2"/>
        <charset val="238"/>
        <scheme val="minor"/>
      </rPr>
      <t>, O</t>
    </r>
    <r>
      <rPr>
        <vertAlign val="subscript"/>
        <sz val="11"/>
        <color rgb="FF000000"/>
        <rFont val="Calibri"/>
        <family val="2"/>
        <scheme val="minor"/>
      </rPr>
      <t>2</t>
    </r>
  </si>
  <si>
    <r>
      <t>MEOLO growth, NO</t>
    </r>
    <r>
      <rPr>
        <vertAlign val="subscript"/>
        <sz val="11"/>
        <color rgb="FF000000"/>
        <rFont val="Calibri"/>
        <family val="2"/>
        <scheme val="minor"/>
      </rPr>
      <t>3</t>
    </r>
  </si>
  <si>
    <r>
      <t>-1/Y</t>
    </r>
    <r>
      <rPr>
        <vertAlign val="subscript"/>
        <sz val="11"/>
        <rFont val="Calibri"/>
        <family val="2"/>
      </rPr>
      <t>MEOLO</t>
    </r>
  </si>
  <si>
    <r>
      <t>PAO growth on PHA, O</t>
    </r>
    <r>
      <rPr>
        <vertAlign val="subscript"/>
        <sz val="11"/>
        <color rgb="FF000000"/>
        <rFont val="Calibri"/>
        <family val="2"/>
        <scheme val="minor"/>
      </rPr>
      <t>2</t>
    </r>
    <r>
      <rPr>
        <sz val="11"/>
        <color rgb="FF000000"/>
        <rFont val="Calibri"/>
        <family val="2"/>
        <charset val="238"/>
        <scheme val="minor"/>
      </rPr>
      <t>; PO</t>
    </r>
    <r>
      <rPr>
        <vertAlign val="subscript"/>
        <sz val="11"/>
        <color rgb="FF000000"/>
        <rFont val="Calibri"/>
        <family val="2"/>
        <scheme val="minor"/>
      </rPr>
      <t>4</t>
    </r>
    <r>
      <rPr>
        <sz val="11"/>
        <color rgb="FF000000"/>
        <rFont val="Calibri"/>
        <family val="2"/>
        <charset val="238"/>
        <scheme val="minor"/>
      </rPr>
      <t xml:space="preserve"> limited</t>
    </r>
  </si>
  <si>
    <r>
      <t>i</t>
    </r>
    <r>
      <rPr>
        <vertAlign val="subscript"/>
        <sz val="11"/>
        <rFont val="Calibri"/>
        <family val="2"/>
      </rPr>
      <t>K,PP</t>
    </r>
    <r>
      <rPr>
        <sz val="11"/>
        <rFont val="Calibri"/>
        <family val="2"/>
      </rPr>
      <t>*AM</t>
    </r>
    <r>
      <rPr>
        <vertAlign val="subscript"/>
        <sz val="11"/>
        <rFont val="Calibri"/>
        <family val="2"/>
      </rPr>
      <t>K</t>
    </r>
    <r>
      <rPr>
        <sz val="11"/>
        <rFont val="Calibri"/>
        <family val="2"/>
      </rPr>
      <t>/AM</t>
    </r>
    <r>
      <rPr>
        <vertAlign val="subscript"/>
        <sz val="11"/>
        <rFont val="Calibri"/>
        <family val="2"/>
      </rPr>
      <t>P</t>
    </r>
    <r>
      <rPr>
        <sz val="11"/>
        <rFont val="Calibri"/>
        <family val="2"/>
      </rPr>
      <t>*i</t>
    </r>
    <r>
      <rPr>
        <vertAlign val="subscript"/>
        <sz val="11"/>
        <rFont val="Calibri"/>
        <family val="2"/>
      </rPr>
      <t>P,BIO</t>
    </r>
  </si>
  <si>
    <r>
      <t>PAO growth on PHA, NO</t>
    </r>
    <r>
      <rPr>
        <vertAlign val="subscript"/>
        <sz val="11"/>
        <color rgb="FF000000"/>
        <rFont val="Calibri"/>
        <family val="2"/>
        <scheme val="minor"/>
      </rPr>
      <t>3</t>
    </r>
    <r>
      <rPr>
        <sz val="11"/>
        <color rgb="FF000000"/>
        <rFont val="Calibri"/>
        <family val="2"/>
        <charset val="238"/>
        <scheme val="minor"/>
      </rPr>
      <t>; PO</t>
    </r>
    <r>
      <rPr>
        <vertAlign val="subscript"/>
        <sz val="11"/>
        <color rgb="FF000000"/>
        <rFont val="Calibri"/>
        <family val="2"/>
        <scheme val="minor"/>
      </rPr>
      <t>4</t>
    </r>
    <r>
      <rPr>
        <sz val="11"/>
        <color rgb="FF000000"/>
        <rFont val="Calibri"/>
        <family val="2"/>
        <charset val="238"/>
        <scheme val="minor"/>
      </rPr>
      <t xml:space="preserve"> limited</t>
    </r>
  </si>
  <si>
    <r>
      <t>f</t>
    </r>
    <r>
      <rPr>
        <vertAlign val="subscript"/>
        <sz val="11"/>
        <rFont val="Calibri"/>
        <family val="2"/>
      </rPr>
      <t>P,VFA</t>
    </r>
  </si>
  <si>
    <r>
      <t>-f</t>
    </r>
    <r>
      <rPr>
        <vertAlign val="subscript"/>
        <sz val="11"/>
        <rFont val="Calibri"/>
        <family val="2"/>
      </rPr>
      <t>P,VFA</t>
    </r>
  </si>
  <si>
    <r>
      <t>i</t>
    </r>
    <r>
      <rPr>
        <vertAlign val="subscript"/>
        <sz val="11"/>
        <rFont val="Calibri"/>
        <family val="2"/>
      </rPr>
      <t>Ca,PP</t>
    </r>
    <r>
      <rPr>
        <sz val="11"/>
        <rFont val="Calibri"/>
        <family val="2"/>
      </rPr>
      <t>*AM</t>
    </r>
    <r>
      <rPr>
        <vertAlign val="subscript"/>
        <sz val="11"/>
        <rFont val="Calibri"/>
        <family val="2"/>
      </rPr>
      <t>Ca</t>
    </r>
    <r>
      <rPr>
        <sz val="11"/>
        <rFont val="Calibri"/>
        <family val="2"/>
      </rPr>
      <t>/AM</t>
    </r>
    <r>
      <rPr>
        <vertAlign val="subscript"/>
        <sz val="11"/>
        <rFont val="Calibri"/>
        <family val="2"/>
      </rPr>
      <t>P</t>
    </r>
    <r>
      <rPr>
        <sz val="11"/>
        <rFont val="Calibri"/>
        <family val="2"/>
      </rPr>
      <t>*f</t>
    </r>
    <r>
      <rPr>
        <vertAlign val="subscript"/>
        <sz val="11"/>
        <rFont val="Calibri"/>
        <family val="2"/>
      </rPr>
      <t>P,VFA</t>
    </r>
  </si>
  <si>
    <r>
      <t>i</t>
    </r>
    <r>
      <rPr>
        <vertAlign val="subscript"/>
        <sz val="11"/>
        <rFont val="Calibri"/>
        <family val="2"/>
      </rPr>
      <t>Mg,PP</t>
    </r>
    <r>
      <rPr>
        <sz val="11"/>
        <rFont val="Calibri"/>
        <family val="2"/>
      </rPr>
      <t>*AM</t>
    </r>
    <r>
      <rPr>
        <vertAlign val="subscript"/>
        <sz val="11"/>
        <rFont val="Calibri"/>
        <family val="2"/>
      </rPr>
      <t>Mg</t>
    </r>
    <r>
      <rPr>
        <sz val="11"/>
        <rFont val="Calibri"/>
        <family val="2"/>
      </rPr>
      <t>/AM</t>
    </r>
    <r>
      <rPr>
        <vertAlign val="subscript"/>
        <sz val="11"/>
        <rFont val="Calibri"/>
        <family val="2"/>
      </rPr>
      <t>P</t>
    </r>
    <r>
      <rPr>
        <sz val="11"/>
        <rFont val="Calibri"/>
        <family val="2"/>
      </rPr>
      <t>*f</t>
    </r>
    <r>
      <rPr>
        <vertAlign val="subscript"/>
        <sz val="11"/>
        <rFont val="Calibri"/>
        <family val="2"/>
      </rPr>
      <t>P,VFA</t>
    </r>
  </si>
  <si>
    <r>
      <t>i</t>
    </r>
    <r>
      <rPr>
        <vertAlign val="subscript"/>
        <sz val="11"/>
        <rFont val="Calibri"/>
        <family val="2"/>
      </rPr>
      <t>K,PP</t>
    </r>
    <r>
      <rPr>
        <sz val="11"/>
        <rFont val="Calibri"/>
        <family val="2"/>
      </rPr>
      <t>*AM</t>
    </r>
    <r>
      <rPr>
        <vertAlign val="subscript"/>
        <sz val="11"/>
        <rFont val="Calibri"/>
        <family val="2"/>
      </rPr>
      <t>K</t>
    </r>
    <r>
      <rPr>
        <sz val="11"/>
        <rFont val="Calibri"/>
        <family val="2"/>
      </rPr>
      <t>/AM</t>
    </r>
    <r>
      <rPr>
        <vertAlign val="subscript"/>
        <sz val="11"/>
        <rFont val="Calibri"/>
        <family val="2"/>
      </rPr>
      <t>P</t>
    </r>
    <r>
      <rPr>
        <sz val="11"/>
        <rFont val="Calibri"/>
        <family val="2"/>
      </rPr>
      <t>*f</t>
    </r>
    <r>
      <rPr>
        <vertAlign val="subscript"/>
        <sz val="11"/>
        <rFont val="Calibri"/>
        <family val="2"/>
      </rPr>
      <t>P,VFA</t>
    </r>
  </si>
  <si>
    <r>
      <t>i</t>
    </r>
    <r>
      <rPr>
        <vertAlign val="subscript"/>
        <sz val="11"/>
        <rFont val="Calibri"/>
        <family val="2"/>
      </rPr>
      <t>Ca,PP</t>
    </r>
    <r>
      <rPr>
        <sz val="11"/>
        <rFont val="Calibri"/>
        <family val="2"/>
      </rPr>
      <t>*AM</t>
    </r>
    <r>
      <rPr>
        <vertAlign val="subscript"/>
        <sz val="11"/>
        <rFont val="Calibri"/>
        <family val="2"/>
      </rPr>
      <t>Ca</t>
    </r>
    <r>
      <rPr>
        <sz val="11"/>
        <rFont val="Calibri"/>
        <family val="2"/>
      </rPr>
      <t>/AM</t>
    </r>
    <r>
      <rPr>
        <vertAlign val="subscript"/>
        <sz val="11"/>
        <rFont val="Calibri"/>
        <family val="2"/>
      </rPr>
      <t>P</t>
    </r>
  </si>
  <si>
    <r>
      <t>i</t>
    </r>
    <r>
      <rPr>
        <vertAlign val="subscript"/>
        <sz val="11"/>
        <rFont val="Calibri"/>
        <family val="2"/>
      </rPr>
      <t>Mg,PP</t>
    </r>
    <r>
      <rPr>
        <sz val="11"/>
        <rFont val="Calibri"/>
        <family val="2"/>
      </rPr>
      <t>*AM</t>
    </r>
    <r>
      <rPr>
        <vertAlign val="subscript"/>
        <sz val="11"/>
        <rFont val="Calibri"/>
        <family val="2"/>
      </rPr>
      <t>Mg</t>
    </r>
    <r>
      <rPr>
        <sz val="11"/>
        <rFont val="Calibri"/>
        <family val="2"/>
      </rPr>
      <t>/AM</t>
    </r>
    <r>
      <rPr>
        <vertAlign val="subscript"/>
        <sz val="11"/>
        <rFont val="Calibri"/>
        <family val="2"/>
      </rPr>
      <t>P</t>
    </r>
  </si>
  <si>
    <r>
      <t>i</t>
    </r>
    <r>
      <rPr>
        <vertAlign val="subscript"/>
        <sz val="11"/>
        <rFont val="Calibri"/>
        <family val="2"/>
      </rPr>
      <t>K,PP</t>
    </r>
    <r>
      <rPr>
        <sz val="11"/>
        <rFont val="Calibri"/>
        <family val="2"/>
      </rPr>
      <t>*AM</t>
    </r>
    <r>
      <rPr>
        <vertAlign val="subscript"/>
        <sz val="11"/>
        <rFont val="Calibri"/>
        <family val="2"/>
      </rPr>
      <t>K</t>
    </r>
    <r>
      <rPr>
        <sz val="11"/>
        <rFont val="Calibri"/>
        <family val="2"/>
      </rPr>
      <t>/AM</t>
    </r>
    <r>
      <rPr>
        <vertAlign val="subscript"/>
        <sz val="11"/>
        <rFont val="Calibri"/>
        <family val="2"/>
      </rPr>
      <t>P</t>
    </r>
  </si>
  <si>
    <r>
      <t>-i</t>
    </r>
    <r>
      <rPr>
        <vertAlign val="subscript"/>
        <sz val="11"/>
        <rFont val="Calibri"/>
        <family val="2"/>
      </rPr>
      <t>CIT,BIO</t>
    </r>
  </si>
  <si>
    <r>
      <t>-1/Y</t>
    </r>
    <r>
      <rPr>
        <vertAlign val="subscript"/>
        <sz val="11"/>
        <rFont val="Calibri"/>
        <family val="2"/>
      </rPr>
      <t>AMETO</t>
    </r>
  </si>
  <si>
    <r>
      <t>(1-Y</t>
    </r>
    <r>
      <rPr>
        <vertAlign val="subscript"/>
        <sz val="11"/>
        <rFont val="Calibri"/>
        <family val="2"/>
      </rPr>
      <t>AMETO</t>
    </r>
    <r>
      <rPr>
        <sz val="11"/>
        <rFont val="Calibri"/>
        <family val="2"/>
      </rPr>
      <t>)/Y</t>
    </r>
    <r>
      <rPr>
        <vertAlign val="subscript"/>
        <sz val="11"/>
        <rFont val="Calibri"/>
        <family val="2"/>
      </rPr>
      <t>AMETO</t>
    </r>
  </si>
  <si>
    <r>
      <t>(1-Y</t>
    </r>
    <r>
      <rPr>
        <vertAlign val="subscript"/>
        <sz val="11"/>
        <rFont val="Calibri"/>
        <family val="2"/>
      </rPr>
      <t>HMETO</t>
    </r>
    <r>
      <rPr>
        <sz val="11"/>
        <rFont val="Calibri"/>
        <family val="2"/>
      </rPr>
      <t>)/Y</t>
    </r>
    <r>
      <rPr>
        <vertAlign val="subscript"/>
        <sz val="11"/>
        <rFont val="Calibri"/>
        <family val="2"/>
      </rPr>
      <t>HMETO</t>
    </r>
  </si>
  <si>
    <r>
      <t>-1/Y</t>
    </r>
    <r>
      <rPr>
        <vertAlign val="subscript"/>
        <sz val="11"/>
        <rFont val="Calibri"/>
        <family val="2"/>
      </rPr>
      <t>HMETO</t>
    </r>
  </si>
  <si>
    <t>Flocculation of colloidal biodegradable substrate</t>
  </si>
  <si>
    <r>
      <t>i</t>
    </r>
    <r>
      <rPr>
        <vertAlign val="subscript"/>
        <sz val="11"/>
        <rFont val="Calibri"/>
        <family val="2"/>
      </rPr>
      <t>N,CB</t>
    </r>
  </si>
  <si>
    <r>
      <t>i</t>
    </r>
    <r>
      <rPr>
        <vertAlign val="subscript"/>
        <sz val="11"/>
        <rFont val="Calibri"/>
        <family val="2"/>
      </rPr>
      <t>P,CB</t>
    </r>
  </si>
  <si>
    <t>Flocculation of colloidal unbiodegradable organics</t>
  </si>
  <si>
    <r>
      <t>i</t>
    </r>
    <r>
      <rPr>
        <vertAlign val="subscript"/>
        <sz val="11"/>
        <rFont val="Calibri"/>
        <family val="2"/>
      </rPr>
      <t>N,CU</t>
    </r>
  </si>
  <si>
    <r>
      <t>i</t>
    </r>
    <r>
      <rPr>
        <vertAlign val="subscript"/>
        <sz val="11"/>
        <rFont val="Calibri"/>
        <family val="2"/>
      </rPr>
      <t>P,CU</t>
    </r>
  </si>
  <si>
    <r>
      <t>X</t>
    </r>
    <r>
      <rPr>
        <vertAlign val="subscript"/>
        <sz val="11"/>
        <rFont val="Calibri"/>
        <family val="2"/>
      </rPr>
      <t>N,B</t>
    </r>
    <r>
      <rPr>
        <sz val="11"/>
        <rFont val="Calibri"/>
        <family val="2"/>
      </rPr>
      <t>/X</t>
    </r>
    <r>
      <rPr>
        <vertAlign val="subscript"/>
        <sz val="11"/>
        <rFont val="Calibri"/>
        <family val="2"/>
      </rPr>
      <t>B</t>
    </r>
  </si>
  <si>
    <r>
      <t>-X</t>
    </r>
    <r>
      <rPr>
        <vertAlign val="subscript"/>
        <sz val="11"/>
        <rFont val="Calibri"/>
        <family val="2"/>
      </rPr>
      <t>N,B</t>
    </r>
    <r>
      <rPr>
        <sz val="11"/>
        <rFont val="Calibri"/>
        <family val="2"/>
      </rPr>
      <t>/X</t>
    </r>
    <r>
      <rPr>
        <vertAlign val="subscript"/>
        <sz val="11"/>
        <rFont val="Calibri"/>
        <family val="2"/>
      </rPr>
      <t>B</t>
    </r>
  </si>
  <si>
    <r>
      <t>X</t>
    </r>
    <r>
      <rPr>
        <vertAlign val="subscript"/>
        <sz val="11"/>
        <rFont val="Calibri"/>
        <family val="2"/>
      </rPr>
      <t>P,B</t>
    </r>
    <r>
      <rPr>
        <sz val="11"/>
        <rFont val="Calibri"/>
        <family val="2"/>
      </rPr>
      <t>/X</t>
    </r>
    <r>
      <rPr>
        <vertAlign val="subscript"/>
        <sz val="11"/>
        <rFont val="Calibri"/>
        <family val="2"/>
      </rPr>
      <t>B</t>
    </r>
  </si>
  <si>
    <r>
      <t>-X</t>
    </r>
    <r>
      <rPr>
        <vertAlign val="subscript"/>
        <sz val="11"/>
        <rFont val="Calibri"/>
        <family val="2"/>
      </rPr>
      <t>P,B</t>
    </r>
    <r>
      <rPr>
        <sz val="11"/>
        <rFont val="Calibri"/>
        <family val="2"/>
      </rPr>
      <t>/X</t>
    </r>
    <r>
      <rPr>
        <vertAlign val="subscript"/>
        <sz val="11"/>
        <rFont val="Calibri"/>
        <family val="2"/>
      </rPr>
      <t>B</t>
    </r>
  </si>
  <si>
    <r>
      <t>S</t>
    </r>
    <r>
      <rPr>
        <vertAlign val="subscript"/>
        <sz val="11"/>
        <color rgb="FF000000"/>
        <rFont val="Calibri"/>
        <family val="2"/>
        <scheme val="minor"/>
      </rPr>
      <t>P,B</t>
    </r>
    <r>
      <rPr>
        <sz val="11"/>
        <color rgb="FF000000"/>
        <rFont val="Calibri"/>
        <family val="2"/>
        <charset val="238"/>
        <scheme val="minor"/>
      </rPr>
      <t xml:space="preserve"> conversion to PO</t>
    </r>
    <r>
      <rPr>
        <vertAlign val="subscript"/>
        <sz val="11"/>
        <color rgb="FF000000"/>
        <rFont val="Calibri"/>
        <family val="2"/>
        <scheme val="minor"/>
      </rPr>
      <t>4</t>
    </r>
  </si>
  <si>
    <r>
      <t>NO</t>
    </r>
    <r>
      <rPr>
        <vertAlign val="subscript"/>
        <sz val="11"/>
        <color rgb="FF000000"/>
        <rFont val="Calibri"/>
        <family val="2"/>
        <scheme val="minor"/>
      </rPr>
      <t>3</t>
    </r>
    <r>
      <rPr>
        <sz val="11"/>
        <color rgb="FF000000"/>
        <rFont val="Calibri"/>
        <family val="2"/>
        <charset val="238"/>
        <scheme val="minor"/>
      </rPr>
      <t xml:space="preserve"> assimilative reduction</t>
    </r>
  </si>
  <si>
    <r>
      <t>Reduction of X</t>
    </r>
    <r>
      <rPr>
        <vertAlign val="subscript"/>
        <sz val="11"/>
        <rFont val="Calibri"/>
        <family val="2"/>
      </rPr>
      <t>HFO</t>
    </r>
    <r>
      <rPr>
        <sz val="11"/>
        <rFont val="Calibri"/>
        <family val="2"/>
      </rPr>
      <t xml:space="preserve"> with organic matter</t>
    </r>
  </si>
  <si>
    <r>
      <t>Oxidation of Fe</t>
    </r>
    <r>
      <rPr>
        <vertAlign val="superscript"/>
        <sz val="11"/>
        <rFont val="Calibri"/>
        <family val="2"/>
        <scheme val="minor"/>
      </rPr>
      <t>2+</t>
    </r>
    <r>
      <rPr>
        <sz val="11"/>
        <rFont val="Calibri"/>
        <family val="2"/>
        <scheme val="minor"/>
      </rPr>
      <t xml:space="preserve"> </t>
    </r>
  </si>
  <si>
    <r>
      <t>-EEQ</t>
    </r>
    <r>
      <rPr>
        <vertAlign val="subscript"/>
        <sz val="11"/>
        <rFont val="Calibri"/>
        <family val="2"/>
      </rPr>
      <t>Fe2</t>
    </r>
  </si>
  <si>
    <r>
      <t>-AM</t>
    </r>
    <r>
      <rPr>
        <vertAlign val="subscript"/>
        <sz val="11"/>
        <rFont val="Calibri"/>
        <family val="2"/>
      </rPr>
      <t>Ca</t>
    </r>
    <r>
      <rPr>
        <sz val="11"/>
        <rFont val="Calibri"/>
        <family val="2"/>
      </rPr>
      <t>/MM</t>
    </r>
    <r>
      <rPr>
        <vertAlign val="subscript"/>
        <sz val="11"/>
        <rFont val="Calibri"/>
        <family val="2"/>
      </rPr>
      <t>CaCO3</t>
    </r>
  </si>
  <si>
    <r>
      <t>q</t>
    </r>
    <r>
      <rPr>
        <vertAlign val="subscript"/>
        <sz val="11"/>
        <rFont val="Calibri"/>
        <family val="2"/>
      </rPr>
      <t>CaCO3</t>
    </r>
    <r>
      <rPr>
        <sz val="11"/>
        <rFont val="Calibri"/>
        <family val="2"/>
      </rPr>
      <t>*PrecipDrivingForce</t>
    </r>
    <r>
      <rPr>
        <vertAlign val="subscript"/>
        <sz val="11"/>
        <rFont val="Calibri"/>
        <family val="2"/>
      </rPr>
      <t>CaCO3</t>
    </r>
    <r>
      <rPr>
        <vertAlign val="superscript"/>
        <sz val="11"/>
        <rFont val="Calibri"/>
        <family val="2"/>
      </rPr>
      <t>^2</t>
    </r>
  </si>
  <si>
    <r>
      <t>-2*AM</t>
    </r>
    <r>
      <rPr>
        <vertAlign val="subscript"/>
        <sz val="11"/>
        <rFont val="Calibri"/>
        <family val="2"/>
      </rPr>
      <t>P</t>
    </r>
    <r>
      <rPr>
        <sz val="11"/>
        <rFont val="Calibri"/>
        <family val="2"/>
      </rPr>
      <t>/MM</t>
    </r>
    <r>
      <rPr>
        <vertAlign val="subscript"/>
        <sz val="11"/>
        <rFont val="Calibri"/>
        <family val="2"/>
      </rPr>
      <t>ACP</t>
    </r>
  </si>
  <si>
    <r>
      <t>-3*AM</t>
    </r>
    <r>
      <rPr>
        <vertAlign val="subscript"/>
        <sz val="11"/>
        <rFont val="Calibri"/>
        <family val="2"/>
      </rPr>
      <t>Ca</t>
    </r>
    <r>
      <rPr>
        <sz val="11"/>
        <rFont val="Calibri"/>
        <family val="2"/>
      </rPr>
      <t>/MM</t>
    </r>
    <r>
      <rPr>
        <vertAlign val="subscript"/>
        <sz val="11"/>
        <rFont val="Calibri"/>
        <family val="2"/>
      </rPr>
      <t>ACP</t>
    </r>
  </si>
  <si>
    <r>
      <t>q</t>
    </r>
    <r>
      <rPr>
        <vertAlign val="subscript"/>
        <sz val="11"/>
        <rFont val="Calibri"/>
        <family val="2"/>
      </rPr>
      <t>ACP</t>
    </r>
    <r>
      <rPr>
        <sz val="11"/>
        <rFont val="Calibri"/>
        <family val="2"/>
      </rPr>
      <t>*PrecipDrivingForce</t>
    </r>
    <r>
      <rPr>
        <vertAlign val="subscript"/>
        <sz val="11"/>
        <rFont val="Calibri"/>
        <family val="2"/>
      </rPr>
      <t>ACP</t>
    </r>
    <r>
      <rPr>
        <vertAlign val="superscript"/>
        <sz val="11"/>
        <rFont val="Calibri"/>
        <family val="2"/>
      </rPr>
      <t>^2</t>
    </r>
  </si>
  <si>
    <r>
      <t>-AM</t>
    </r>
    <r>
      <rPr>
        <vertAlign val="subscript"/>
        <sz val="11"/>
        <rFont val="Calibri"/>
        <family val="2"/>
      </rPr>
      <t>N</t>
    </r>
    <r>
      <rPr>
        <sz val="11"/>
        <rFont val="Calibri"/>
        <family val="2"/>
      </rPr>
      <t>/MM</t>
    </r>
    <r>
      <rPr>
        <vertAlign val="subscript"/>
        <sz val="11"/>
        <rFont val="Calibri"/>
        <family val="2"/>
      </rPr>
      <t>STR</t>
    </r>
  </si>
  <si>
    <r>
      <t>-AM</t>
    </r>
    <r>
      <rPr>
        <vertAlign val="subscript"/>
        <sz val="11"/>
        <rFont val="Calibri"/>
        <family val="2"/>
      </rPr>
      <t>P</t>
    </r>
    <r>
      <rPr>
        <sz val="11"/>
        <rFont val="Calibri"/>
        <family val="2"/>
      </rPr>
      <t>/MM</t>
    </r>
    <r>
      <rPr>
        <vertAlign val="subscript"/>
        <sz val="11"/>
        <rFont val="Calibri"/>
        <family val="2"/>
      </rPr>
      <t>STR</t>
    </r>
  </si>
  <si>
    <r>
      <t>-AM</t>
    </r>
    <r>
      <rPr>
        <vertAlign val="subscript"/>
        <sz val="11"/>
        <rFont val="Calibri"/>
        <family val="2"/>
      </rPr>
      <t>Mg</t>
    </r>
    <r>
      <rPr>
        <sz val="11"/>
        <rFont val="Calibri"/>
        <family val="2"/>
      </rPr>
      <t>/MM</t>
    </r>
    <r>
      <rPr>
        <vertAlign val="subscript"/>
        <sz val="11"/>
        <rFont val="Calibri"/>
        <family val="2"/>
      </rPr>
      <t>STR</t>
    </r>
  </si>
  <si>
    <r>
      <t>q</t>
    </r>
    <r>
      <rPr>
        <vertAlign val="subscript"/>
        <sz val="11"/>
        <rFont val="Calibri"/>
        <family val="2"/>
      </rPr>
      <t>STR</t>
    </r>
    <r>
      <rPr>
        <sz val="11"/>
        <rFont val="Calibri"/>
        <family val="2"/>
      </rPr>
      <t>*PrecipDrivingForce</t>
    </r>
    <r>
      <rPr>
        <vertAlign val="subscript"/>
        <sz val="11"/>
        <rFont val="Calibri"/>
        <family val="2"/>
      </rPr>
      <t>STR</t>
    </r>
    <r>
      <rPr>
        <vertAlign val="superscript"/>
        <sz val="11"/>
        <rFont val="Calibri"/>
        <family val="2"/>
      </rPr>
      <t>^3</t>
    </r>
  </si>
  <si>
    <r>
      <t>-2*AM</t>
    </r>
    <r>
      <rPr>
        <vertAlign val="subscript"/>
        <sz val="11"/>
        <rFont val="Calibri"/>
        <family val="2"/>
      </rPr>
      <t>P</t>
    </r>
    <r>
      <rPr>
        <sz val="11"/>
        <rFont val="Calibri"/>
        <family val="2"/>
      </rPr>
      <t>/MM</t>
    </r>
    <r>
      <rPr>
        <vertAlign val="subscript"/>
        <sz val="11"/>
        <rFont val="Calibri"/>
        <family val="2"/>
      </rPr>
      <t>Vivi</t>
    </r>
  </si>
  <si>
    <r>
      <t>-3*AM</t>
    </r>
    <r>
      <rPr>
        <vertAlign val="subscript"/>
        <sz val="11"/>
        <rFont val="Calibri"/>
        <family val="2"/>
      </rPr>
      <t>Fe</t>
    </r>
    <r>
      <rPr>
        <sz val="11"/>
        <rFont val="Calibri"/>
        <family val="2"/>
      </rPr>
      <t>/MM</t>
    </r>
    <r>
      <rPr>
        <vertAlign val="subscript"/>
        <sz val="11"/>
        <rFont val="Calibri"/>
        <family val="2"/>
      </rPr>
      <t>Vivi</t>
    </r>
  </si>
  <si>
    <r>
      <t>q</t>
    </r>
    <r>
      <rPr>
        <vertAlign val="subscript"/>
        <sz val="11"/>
        <rFont val="Calibri"/>
        <family val="2"/>
      </rPr>
      <t>Vivi</t>
    </r>
    <r>
      <rPr>
        <sz val="11"/>
        <rFont val="Calibri"/>
        <family val="2"/>
      </rPr>
      <t>*PrecipDrivingForce</t>
    </r>
    <r>
      <rPr>
        <vertAlign val="subscript"/>
        <sz val="11"/>
        <rFont val="Calibri"/>
        <family val="2"/>
      </rPr>
      <t>Vivi</t>
    </r>
    <r>
      <rPr>
        <vertAlign val="superscript"/>
        <sz val="11"/>
        <rFont val="Calibri"/>
        <family val="2"/>
      </rPr>
      <t>^2</t>
    </r>
  </si>
  <si>
    <r>
      <t>µ</t>
    </r>
    <r>
      <rPr>
        <vertAlign val="subscript"/>
        <sz val="11"/>
        <rFont val="Calibri"/>
        <family val="2"/>
        <scheme val="minor"/>
      </rPr>
      <t>PAO,lim</t>
    </r>
  </si>
  <si>
    <r>
      <t>q</t>
    </r>
    <r>
      <rPr>
        <vertAlign val="subscript"/>
        <sz val="11"/>
        <rFont val="Calibri"/>
        <family val="2"/>
        <scheme val="minor"/>
      </rPr>
      <t>CaCO3,PREC</t>
    </r>
  </si>
  <si>
    <r>
      <t>q</t>
    </r>
    <r>
      <rPr>
        <vertAlign val="subscript"/>
        <sz val="11"/>
        <rFont val="Calibri"/>
        <family val="2"/>
        <scheme val="minor"/>
      </rPr>
      <t>CaCO3,DISS</t>
    </r>
  </si>
  <si>
    <r>
      <t>q</t>
    </r>
    <r>
      <rPr>
        <vertAlign val="subscript"/>
        <sz val="11"/>
        <rFont val="Calibri"/>
        <family val="2"/>
        <scheme val="minor"/>
      </rPr>
      <t>STR,PREC</t>
    </r>
  </si>
  <si>
    <r>
      <t>q</t>
    </r>
    <r>
      <rPr>
        <vertAlign val="subscript"/>
        <sz val="11"/>
        <rFont val="Calibri"/>
        <family val="2"/>
        <scheme val="minor"/>
      </rPr>
      <t>STR,DISS</t>
    </r>
  </si>
  <si>
    <r>
      <t>q</t>
    </r>
    <r>
      <rPr>
        <vertAlign val="subscript"/>
        <sz val="11"/>
        <rFont val="Calibri"/>
        <family val="2"/>
        <scheme val="minor"/>
      </rPr>
      <t>ACP,PREC</t>
    </r>
  </si>
  <si>
    <r>
      <t>q</t>
    </r>
    <r>
      <rPr>
        <vertAlign val="subscript"/>
        <sz val="11"/>
        <rFont val="Calibri"/>
        <family val="2"/>
        <scheme val="minor"/>
      </rPr>
      <t>ACP,DISS</t>
    </r>
  </si>
  <si>
    <r>
      <t>q</t>
    </r>
    <r>
      <rPr>
        <vertAlign val="subscript"/>
        <sz val="11"/>
        <rFont val="Calibri"/>
        <family val="2"/>
        <scheme val="minor"/>
      </rPr>
      <t>Vivi,PREC</t>
    </r>
  </si>
  <si>
    <r>
      <t>q</t>
    </r>
    <r>
      <rPr>
        <vertAlign val="subscript"/>
        <sz val="11"/>
        <rFont val="Calibri"/>
        <family val="2"/>
        <scheme val="minor"/>
      </rPr>
      <t>Vivi,DISS</t>
    </r>
  </si>
  <si>
    <r>
      <t>q</t>
    </r>
    <r>
      <rPr>
        <vertAlign val="subscript"/>
        <sz val="11"/>
        <rFont val="Calibri"/>
        <family val="2"/>
        <scheme val="minor"/>
      </rPr>
      <t>HFOH,AGING</t>
    </r>
  </si>
  <si>
    <r>
      <t>q</t>
    </r>
    <r>
      <rPr>
        <vertAlign val="subscript"/>
        <sz val="11"/>
        <rFont val="Calibri"/>
        <family val="2"/>
        <scheme val="minor"/>
      </rPr>
      <t>HFOL,AGING</t>
    </r>
  </si>
  <si>
    <r>
      <rPr>
        <sz val="11"/>
        <color indexed="8"/>
        <rFont val="Calibri"/>
        <family val="2"/>
        <scheme val="minor"/>
      </rPr>
      <t>q</t>
    </r>
    <r>
      <rPr>
        <vertAlign val="subscript"/>
        <sz val="11"/>
        <color indexed="8"/>
        <rFont val="Calibri"/>
        <family val="2"/>
        <scheme val="minor"/>
      </rPr>
      <t>HFO,RED</t>
    </r>
  </si>
  <si>
    <r>
      <t>η</t>
    </r>
    <r>
      <rPr>
        <vertAlign val="subscript"/>
        <sz val="11"/>
        <rFont val="Calibri"/>
        <family val="2"/>
        <scheme val="minor"/>
      </rPr>
      <t>HYD,anox</t>
    </r>
  </si>
  <si>
    <r>
      <t>η</t>
    </r>
    <r>
      <rPr>
        <vertAlign val="subscript"/>
        <sz val="11"/>
        <rFont val="Calibri"/>
        <family val="2"/>
        <scheme val="minor"/>
      </rPr>
      <t>HYD,ana</t>
    </r>
  </si>
  <si>
    <r>
      <t>η</t>
    </r>
    <r>
      <rPr>
        <vertAlign val="subscript"/>
        <sz val="11"/>
        <rFont val="Calibri"/>
        <family val="2"/>
        <scheme val="minor"/>
      </rPr>
      <t>b,anox</t>
    </r>
  </si>
  <si>
    <r>
      <t>η</t>
    </r>
    <r>
      <rPr>
        <vertAlign val="subscript"/>
        <sz val="11"/>
        <rFont val="Calibri"/>
        <family val="2"/>
        <scheme val="minor"/>
      </rPr>
      <t>b,ana</t>
    </r>
  </si>
  <si>
    <r>
      <t>η</t>
    </r>
    <r>
      <rPr>
        <vertAlign val="subscript"/>
        <sz val="11"/>
        <rFont val="Calibri"/>
        <family val="2"/>
        <scheme val="minor"/>
      </rPr>
      <t>OHO,anox</t>
    </r>
  </si>
  <si>
    <r>
      <t>θ</t>
    </r>
    <r>
      <rPr>
        <vertAlign val="subscript"/>
        <sz val="11"/>
        <color indexed="8"/>
        <rFont val="Calibri"/>
        <family val="2"/>
        <scheme val="minor"/>
      </rPr>
      <t>q,HFO,RED</t>
    </r>
  </si>
  <si>
    <r>
      <t>θ</t>
    </r>
    <r>
      <rPr>
        <vertAlign val="subscript"/>
        <sz val="11"/>
        <color indexed="8"/>
        <rFont val="Calibri"/>
        <family val="2"/>
        <scheme val="minor"/>
      </rPr>
      <t>µ,PAO,lim</t>
    </r>
  </si>
  <si>
    <r>
      <t>Y</t>
    </r>
    <r>
      <rPr>
        <vertAlign val="subscript"/>
        <sz val="11"/>
        <rFont val="Calibri"/>
        <family val="2"/>
        <scheme val="minor"/>
      </rPr>
      <t>OHO,VFA,ox</t>
    </r>
  </si>
  <si>
    <r>
      <t>Y</t>
    </r>
    <r>
      <rPr>
        <vertAlign val="subscript"/>
        <sz val="11"/>
        <rFont val="Calibri"/>
        <family val="2"/>
        <scheme val="minor"/>
      </rPr>
      <t>OHO,VFA,anox</t>
    </r>
  </si>
  <si>
    <r>
      <t>Y</t>
    </r>
    <r>
      <rPr>
        <vertAlign val="subscript"/>
        <sz val="11"/>
        <rFont val="Calibri"/>
        <family val="2"/>
        <scheme val="minor"/>
      </rPr>
      <t>OHO,SMEOL,ox</t>
    </r>
  </si>
  <si>
    <r>
      <t>X</t>
    </r>
    <r>
      <rPr>
        <b/>
        <vertAlign val="subscript"/>
        <sz val="11"/>
        <rFont val="Calibri"/>
        <family val="2"/>
        <scheme val="minor"/>
      </rPr>
      <t>E,ana</t>
    </r>
  </si>
  <si>
    <r>
      <t>q</t>
    </r>
    <r>
      <rPr>
        <vertAlign val="subscript"/>
        <sz val="11"/>
        <rFont val="Calibri"/>
        <family val="2"/>
      </rPr>
      <t>XE,T</t>
    </r>
    <r>
      <rPr>
        <sz val="11"/>
        <rFont val="Calibri"/>
        <family val="2"/>
      </rPr>
      <t>*X</t>
    </r>
    <r>
      <rPr>
        <vertAlign val="subscript"/>
        <sz val="11"/>
        <rFont val="Calibri"/>
        <family val="2"/>
      </rPr>
      <t>E</t>
    </r>
  </si>
  <si>
    <r>
      <t>-1/Y</t>
    </r>
    <r>
      <rPr>
        <vertAlign val="subscript"/>
        <sz val="11"/>
        <rFont val="Calibri"/>
        <family val="2"/>
      </rPr>
      <t>OHO,VFA,ox</t>
    </r>
  </si>
  <si>
    <r>
      <t>-1/Y</t>
    </r>
    <r>
      <rPr>
        <vertAlign val="subscript"/>
        <sz val="11"/>
        <rFont val="Calibri"/>
        <family val="2"/>
      </rPr>
      <t>OHO,VFA,anox</t>
    </r>
  </si>
  <si>
    <r>
      <t>-1/Y</t>
    </r>
    <r>
      <rPr>
        <vertAlign val="subscript"/>
        <sz val="11"/>
        <rFont val="Calibri"/>
        <family val="2"/>
      </rPr>
      <t>OHO,SMEOL,ox</t>
    </r>
  </si>
  <si>
    <r>
      <t>-(1-Y</t>
    </r>
    <r>
      <rPr>
        <vertAlign val="subscript"/>
        <sz val="11"/>
        <rFont val="Calibri"/>
        <family val="2"/>
      </rPr>
      <t>OHO,VFA,ox</t>
    </r>
    <r>
      <rPr>
        <sz val="11"/>
        <rFont val="Calibri"/>
        <family val="2"/>
      </rPr>
      <t>)/Y</t>
    </r>
    <r>
      <rPr>
        <vertAlign val="subscript"/>
        <sz val="11"/>
        <rFont val="Calibri"/>
        <family val="2"/>
      </rPr>
      <t>OHO,VFA,ox</t>
    </r>
  </si>
  <si>
    <r>
      <t>-(1-Y</t>
    </r>
    <r>
      <rPr>
        <vertAlign val="subscript"/>
        <sz val="11"/>
        <rFont val="Calibri"/>
        <family val="2"/>
      </rPr>
      <t>OHO,SMEOL,ox</t>
    </r>
    <r>
      <rPr>
        <sz val="11"/>
        <rFont val="Calibri"/>
        <family val="2"/>
      </rPr>
      <t>)/Y</t>
    </r>
    <r>
      <rPr>
        <vertAlign val="subscript"/>
        <sz val="11"/>
        <rFont val="Calibri"/>
        <family val="2"/>
      </rPr>
      <t>OHO,SMEOL,ox</t>
    </r>
  </si>
  <si>
    <r>
      <t>θ</t>
    </r>
    <r>
      <rPr>
        <vertAlign val="subscript"/>
        <sz val="11"/>
        <color indexed="8"/>
        <rFont val="Calibri"/>
        <family val="2"/>
        <scheme val="minor"/>
      </rPr>
      <t>q,XE</t>
    </r>
  </si>
  <si>
    <r>
      <t>θ</t>
    </r>
    <r>
      <rPr>
        <vertAlign val="subscript"/>
        <sz val="11"/>
        <color indexed="8"/>
        <rFont val="Calibri"/>
        <family val="2"/>
        <scheme val="minor"/>
      </rPr>
      <t>q,SPB</t>
    </r>
  </si>
  <si>
    <r>
      <t>q</t>
    </r>
    <r>
      <rPr>
        <vertAlign val="subscript"/>
        <sz val="11"/>
        <color indexed="8"/>
        <rFont val="Calibri"/>
        <family val="2"/>
        <scheme val="minor"/>
      </rPr>
      <t>SPB</t>
    </r>
  </si>
  <si>
    <r>
      <t>q</t>
    </r>
    <r>
      <rPr>
        <vertAlign val="subscript"/>
        <sz val="11"/>
        <color indexed="8"/>
        <rFont val="Calibri"/>
        <family val="2"/>
        <scheme val="minor"/>
      </rPr>
      <t>XE</t>
    </r>
  </si>
  <si>
    <r>
      <t>X</t>
    </r>
    <r>
      <rPr>
        <vertAlign val="subscript"/>
        <sz val="11"/>
        <rFont val="Calibri"/>
        <family val="2"/>
        <scheme val="minor"/>
      </rPr>
      <t>BIO</t>
    </r>
  </si>
  <si>
    <r>
      <t>X</t>
    </r>
    <r>
      <rPr>
        <vertAlign val="subscript"/>
        <sz val="11"/>
        <rFont val="Calibri"/>
        <family val="2"/>
        <scheme val="minor"/>
      </rPr>
      <t>COD</t>
    </r>
  </si>
  <si>
    <r>
      <t>X</t>
    </r>
    <r>
      <rPr>
        <vertAlign val="subscript"/>
        <sz val="11"/>
        <rFont val="Calibri"/>
        <family val="2"/>
        <scheme val="minor"/>
      </rPr>
      <t>VSS,BIO</t>
    </r>
  </si>
  <si>
    <r>
      <t>X</t>
    </r>
    <r>
      <rPr>
        <vertAlign val="subscript"/>
        <sz val="11"/>
        <rFont val="Calibri"/>
        <family val="2"/>
        <scheme val="minor"/>
      </rPr>
      <t>BIO</t>
    </r>
    <r>
      <rPr>
        <sz val="11"/>
        <rFont val="Calibri"/>
        <family val="2"/>
        <scheme val="minor"/>
      </rPr>
      <t>/i</t>
    </r>
    <r>
      <rPr>
        <vertAlign val="subscript"/>
        <sz val="11"/>
        <rFont val="Calibri"/>
        <family val="2"/>
        <scheme val="minor"/>
      </rPr>
      <t>CV,BIO</t>
    </r>
  </si>
  <si>
    <r>
      <t>g VSS.m</t>
    </r>
    <r>
      <rPr>
        <vertAlign val="superscript"/>
        <sz val="11"/>
        <rFont val="Calibri"/>
        <family val="2"/>
        <scheme val="minor"/>
      </rPr>
      <t>-3</t>
    </r>
  </si>
  <si>
    <r>
      <t>X</t>
    </r>
    <r>
      <rPr>
        <vertAlign val="subscript"/>
        <sz val="11"/>
        <rFont val="Calibri"/>
        <family val="2"/>
        <scheme val="minor"/>
      </rPr>
      <t>VSS</t>
    </r>
  </si>
  <si>
    <r>
      <t>X</t>
    </r>
    <r>
      <rPr>
        <vertAlign val="subscript"/>
        <sz val="11"/>
        <rFont val="Calibri"/>
        <family val="2"/>
        <scheme val="minor"/>
      </rPr>
      <t>TSS</t>
    </r>
  </si>
  <si>
    <r>
      <t>g TSS.m</t>
    </r>
    <r>
      <rPr>
        <vertAlign val="superscript"/>
        <sz val="11"/>
        <rFont val="Calibri"/>
        <family val="2"/>
        <scheme val="minor"/>
      </rPr>
      <t>-3</t>
    </r>
  </si>
  <si>
    <r>
      <t>X</t>
    </r>
    <r>
      <rPr>
        <vertAlign val="subscript"/>
        <sz val="11"/>
        <rFont val="Calibri"/>
        <family val="2"/>
        <scheme val="minor"/>
      </rPr>
      <t>VS</t>
    </r>
  </si>
  <si>
    <r>
      <t>g VS.m</t>
    </r>
    <r>
      <rPr>
        <vertAlign val="superscript"/>
        <sz val="11"/>
        <rFont val="Calibri"/>
        <family val="2"/>
        <scheme val="minor"/>
      </rPr>
      <t>-3</t>
    </r>
  </si>
  <si>
    <r>
      <t>T</t>
    </r>
    <r>
      <rPr>
        <vertAlign val="subscript"/>
        <sz val="11"/>
        <rFont val="Calibri"/>
        <family val="2"/>
        <scheme val="minor"/>
      </rPr>
      <t>COD</t>
    </r>
  </si>
  <si>
    <r>
      <t>SC</t>
    </r>
    <r>
      <rPr>
        <vertAlign val="subscript"/>
        <sz val="11"/>
        <rFont val="Calibri"/>
        <family val="2"/>
        <scheme val="minor"/>
      </rPr>
      <t>COD</t>
    </r>
    <r>
      <rPr>
        <sz val="11"/>
        <rFont val="Calibri"/>
        <family val="2"/>
        <scheme val="minor"/>
      </rPr>
      <t xml:space="preserve"> +X</t>
    </r>
    <r>
      <rPr>
        <vertAlign val="subscript"/>
        <sz val="11"/>
        <rFont val="Calibri"/>
        <family val="2"/>
        <scheme val="minor"/>
      </rPr>
      <t>COD</t>
    </r>
  </si>
  <si>
    <r>
      <t>T</t>
    </r>
    <r>
      <rPr>
        <vertAlign val="subscript"/>
        <sz val="11"/>
        <rFont val="Calibri"/>
        <family val="2"/>
        <scheme val="minor"/>
      </rPr>
      <t>KN</t>
    </r>
  </si>
  <si>
    <r>
      <t>T</t>
    </r>
    <r>
      <rPr>
        <vertAlign val="subscript"/>
        <sz val="11"/>
        <rFont val="Calibri"/>
        <family val="2"/>
        <scheme val="minor"/>
      </rPr>
      <t>N</t>
    </r>
  </si>
  <si>
    <r>
      <t>T</t>
    </r>
    <r>
      <rPr>
        <vertAlign val="subscript"/>
        <sz val="11"/>
        <rFont val="Calibri"/>
        <family val="2"/>
        <scheme val="minor"/>
      </rPr>
      <t>P</t>
    </r>
  </si>
  <si>
    <r>
      <t>X</t>
    </r>
    <r>
      <rPr>
        <vertAlign val="subscript"/>
        <sz val="11"/>
        <rFont val="Calibri"/>
        <family val="2"/>
        <scheme val="minor"/>
      </rPr>
      <t>HFO</t>
    </r>
  </si>
  <si>
    <r>
      <t>X</t>
    </r>
    <r>
      <rPr>
        <vertAlign val="subscript"/>
        <sz val="11"/>
        <rFont val="Calibri"/>
        <family val="2"/>
        <scheme val="minor"/>
      </rPr>
      <t>HFO,H</t>
    </r>
    <r>
      <rPr>
        <sz val="11"/>
        <rFont val="Calibri"/>
        <family val="2"/>
        <scheme val="minor"/>
      </rPr>
      <t>+X</t>
    </r>
    <r>
      <rPr>
        <vertAlign val="subscript"/>
        <sz val="11"/>
        <rFont val="Calibri"/>
        <family val="2"/>
        <scheme val="minor"/>
      </rPr>
      <t>HFO,L</t>
    </r>
    <r>
      <rPr>
        <sz val="11"/>
        <rFont val="Calibri"/>
        <family val="2"/>
        <scheme val="minor"/>
      </rPr>
      <t>+X</t>
    </r>
    <r>
      <rPr>
        <vertAlign val="subscript"/>
        <sz val="11"/>
        <rFont val="Calibri"/>
        <family val="2"/>
        <scheme val="minor"/>
      </rPr>
      <t>HFO,L,P</t>
    </r>
    <r>
      <rPr>
        <sz val="11"/>
        <rFont val="Calibri"/>
        <family val="2"/>
        <scheme val="minor"/>
      </rPr>
      <t>+X</t>
    </r>
    <r>
      <rPr>
        <vertAlign val="subscript"/>
        <sz val="11"/>
        <rFont val="Calibri"/>
        <family val="2"/>
        <scheme val="minor"/>
      </rPr>
      <t>HFO,H,P</t>
    </r>
    <r>
      <rPr>
        <sz val="11"/>
        <rFont val="Calibri"/>
        <family val="2"/>
        <scheme val="minor"/>
      </rPr>
      <t>+X</t>
    </r>
    <r>
      <rPr>
        <vertAlign val="subscript"/>
        <sz val="11"/>
        <rFont val="Calibri"/>
        <family val="2"/>
        <scheme val="minor"/>
      </rPr>
      <t>HFO,old</t>
    </r>
    <r>
      <rPr>
        <sz val="11"/>
        <rFont val="Calibri"/>
        <family val="2"/>
        <scheme val="minor"/>
      </rPr>
      <t>+X</t>
    </r>
    <r>
      <rPr>
        <vertAlign val="subscript"/>
        <sz val="11"/>
        <rFont val="Calibri"/>
        <family val="2"/>
        <scheme val="minor"/>
      </rPr>
      <t>HFO,L,P,old</t>
    </r>
    <r>
      <rPr>
        <sz val="11"/>
        <rFont val="Calibri"/>
        <family val="2"/>
        <scheme val="minor"/>
      </rPr>
      <t>+X</t>
    </r>
    <r>
      <rPr>
        <vertAlign val="subscript"/>
        <sz val="11"/>
        <rFont val="Calibri"/>
        <family val="2"/>
        <scheme val="minor"/>
      </rPr>
      <t>HFO,H,P,old</t>
    </r>
  </si>
  <si>
    <r>
      <t>T</t>
    </r>
    <r>
      <rPr>
        <vertAlign val="subscript"/>
        <sz val="11"/>
        <rFont val="Calibri"/>
        <family val="2"/>
        <scheme val="minor"/>
      </rPr>
      <t>Fe</t>
    </r>
  </si>
  <si>
    <r>
      <t>X</t>
    </r>
    <r>
      <rPr>
        <vertAlign val="subscript"/>
        <sz val="11"/>
        <rFont val="Calibri"/>
        <family val="2"/>
        <scheme val="minor"/>
      </rPr>
      <t>HFO,P</t>
    </r>
  </si>
  <si>
    <r>
      <t>PrecipDrivingForce</t>
    </r>
    <r>
      <rPr>
        <vertAlign val="subscript"/>
        <sz val="11"/>
        <color theme="1"/>
        <rFont val="Calibri"/>
        <family val="2"/>
        <scheme val="minor"/>
      </rPr>
      <t>STR</t>
    </r>
  </si>
  <si>
    <r>
      <t>(([Mg</t>
    </r>
    <r>
      <rPr>
        <vertAlign val="superscript"/>
        <sz val="11"/>
        <color theme="1"/>
        <rFont val="Calibri"/>
        <family val="2"/>
        <scheme val="minor"/>
      </rPr>
      <t>2+</t>
    </r>
    <r>
      <rPr>
        <sz val="11"/>
        <color theme="1"/>
        <rFont val="Calibri"/>
        <family val="2"/>
        <scheme val="minor"/>
      </rPr>
      <t>]</t>
    </r>
    <r>
      <rPr>
        <vertAlign val="superscript"/>
        <sz val="11"/>
        <color theme="1"/>
        <rFont val="Calibri"/>
        <family val="2"/>
        <scheme val="minor"/>
      </rPr>
      <t>^(1/3)</t>
    </r>
    <r>
      <rPr>
        <sz val="11"/>
        <color theme="1"/>
        <rFont val="Calibri"/>
        <family val="2"/>
        <scheme val="minor"/>
      </rPr>
      <t>*[NH</t>
    </r>
    <r>
      <rPr>
        <vertAlign val="subscript"/>
        <sz val="11"/>
        <color theme="1"/>
        <rFont val="Calibri"/>
        <family val="2"/>
        <scheme val="minor"/>
      </rPr>
      <t>4</t>
    </r>
    <r>
      <rPr>
        <vertAlign val="superscript"/>
        <sz val="11"/>
        <color theme="1"/>
        <rFont val="Calibri"/>
        <family val="2"/>
        <scheme val="minor"/>
      </rPr>
      <t>+</t>
    </r>
    <r>
      <rPr>
        <sz val="11"/>
        <color theme="1"/>
        <rFont val="Calibri"/>
        <family val="2"/>
        <scheme val="minor"/>
      </rPr>
      <t>]</t>
    </r>
    <r>
      <rPr>
        <vertAlign val="superscript"/>
        <sz val="11"/>
        <color theme="1"/>
        <rFont val="Calibri"/>
        <family val="2"/>
        <scheme val="minor"/>
      </rPr>
      <t>^(1/3)</t>
    </r>
    <r>
      <rPr>
        <sz val="11"/>
        <color theme="1"/>
        <rFont val="Calibri"/>
        <family val="2"/>
        <scheme val="minor"/>
      </rPr>
      <t xml:space="preserve"> * [PO</t>
    </r>
    <r>
      <rPr>
        <vertAlign val="subscript"/>
        <sz val="11"/>
        <color theme="1"/>
        <rFont val="Calibri"/>
        <family val="2"/>
        <scheme val="minor"/>
      </rPr>
      <t>4</t>
    </r>
    <r>
      <rPr>
        <vertAlign val="superscript"/>
        <sz val="11"/>
        <color theme="1"/>
        <rFont val="Calibri"/>
        <family val="2"/>
        <scheme val="minor"/>
      </rPr>
      <t>3-</t>
    </r>
    <r>
      <rPr>
        <sz val="11"/>
        <color theme="1"/>
        <rFont val="Calibri"/>
        <family val="2"/>
        <scheme val="minor"/>
      </rPr>
      <t>]</t>
    </r>
    <r>
      <rPr>
        <vertAlign val="superscript"/>
        <sz val="11"/>
        <color theme="1"/>
        <rFont val="Calibri"/>
        <family val="2"/>
        <scheme val="minor"/>
      </rPr>
      <t>^(1/3)</t>
    </r>
    <r>
      <rPr>
        <sz val="11"/>
        <color theme="1"/>
        <rFont val="Calibri"/>
        <family val="2"/>
        <scheme val="minor"/>
      </rPr>
      <t xml:space="preserve"> - K</t>
    </r>
    <r>
      <rPr>
        <vertAlign val="subscript"/>
        <sz val="11"/>
        <color theme="1"/>
        <rFont val="Calibri"/>
        <family val="2"/>
        <scheme val="minor"/>
      </rPr>
      <t>sp,STR</t>
    </r>
    <r>
      <rPr>
        <vertAlign val="superscript"/>
        <sz val="11"/>
        <color theme="1"/>
        <rFont val="Calibri"/>
        <family val="2"/>
        <scheme val="minor"/>
      </rPr>
      <t>^(1/3)</t>
    </r>
    <r>
      <rPr>
        <sz val="11"/>
        <color theme="1"/>
        <rFont val="Calibri"/>
        <family val="2"/>
        <scheme val="minor"/>
      </rPr>
      <t>)/ K</t>
    </r>
    <r>
      <rPr>
        <vertAlign val="subscript"/>
        <sz val="11"/>
        <color theme="1"/>
        <rFont val="Calibri"/>
        <family val="2"/>
        <scheme val="minor"/>
      </rPr>
      <t>sp,STR</t>
    </r>
    <r>
      <rPr>
        <vertAlign val="superscript"/>
        <sz val="11"/>
        <color theme="1"/>
        <rFont val="Calibri"/>
        <family val="2"/>
        <scheme val="minor"/>
      </rPr>
      <t>^(1/3)</t>
    </r>
    <r>
      <rPr>
        <sz val="11"/>
        <color theme="1"/>
        <rFont val="Calibri"/>
        <family val="2"/>
        <scheme val="minor"/>
      </rPr>
      <t>)</t>
    </r>
  </si>
  <si>
    <r>
      <t>([Ca</t>
    </r>
    <r>
      <rPr>
        <vertAlign val="superscript"/>
        <sz val="11"/>
        <color theme="1"/>
        <rFont val="Calibri"/>
        <family val="2"/>
        <scheme val="minor"/>
      </rPr>
      <t>2+</t>
    </r>
    <r>
      <rPr>
        <sz val="11"/>
        <color theme="1"/>
        <rFont val="Calibri"/>
        <family val="2"/>
        <scheme val="minor"/>
      </rPr>
      <t>]</t>
    </r>
    <r>
      <rPr>
        <vertAlign val="superscript"/>
        <sz val="11"/>
        <color theme="1"/>
        <rFont val="Calibri"/>
        <family val="2"/>
        <scheme val="minor"/>
      </rPr>
      <t>^(3/5)</t>
    </r>
    <r>
      <rPr>
        <sz val="11"/>
        <color theme="1"/>
        <rFont val="Calibri"/>
        <family val="2"/>
        <scheme val="minor"/>
      </rPr>
      <t>*[PO</t>
    </r>
    <r>
      <rPr>
        <vertAlign val="subscript"/>
        <sz val="11"/>
        <color theme="1"/>
        <rFont val="Calibri"/>
        <family val="2"/>
        <scheme val="minor"/>
      </rPr>
      <t>4</t>
    </r>
    <r>
      <rPr>
        <vertAlign val="superscript"/>
        <sz val="11"/>
        <color theme="1"/>
        <rFont val="Calibri"/>
        <family val="2"/>
        <scheme val="minor"/>
      </rPr>
      <t>3-</t>
    </r>
    <r>
      <rPr>
        <sz val="11"/>
        <color theme="1"/>
        <rFont val="Calibri"/>
        <family val="2"/>
        <scheme val="minor"/>
      </rPr>
      <t>]</t>
    </r>
    <r>
      <rPr>
        <vertAlign val="superscript"/>
        <sz val="11"/>
        <color theme="1"/>
        <rFont val="Calibri"/>
        <family val="2"/>
        <scheme val="minor"/>
      </rPr>
      <t>^(2/5)</t>
    </r>
    <r>
      <rPr>
        <sz val="11"/>
        <color theme="1"/>
        <rFont val="Calibri"/>
        <family val="2"/>
        <scheme val="minor"/>
      </rPr>
      <t>-K</t>
    </r>
    <r>
      <rPr>
        <vertAlign val="subscript"/>
        <sz val="11"/>
        <color theme="1"/>
        <rFont val="Calibri"/>
        <family val="2"/>
        <scheme val="minor"/>
      </rPr>
      <t>sp,ACP</t>
    </r>
    <r>
      <rPr>
        <vertAlign val="superscript"/>
        <sz val="11"/>
        <color theme="1"/>
        <rFont val="Calibri"/>
        <family val="2"/>
        <scheme val="minor"/>
      </rPr>
      <t>^(1/5)</t>
    </r>
    <r>
      <rPr>
        <sz val="11"/>
        <color theme="1"/>
        <rFont val="Calibri"/>
        <family val="2"/>
        <scheme val="minor"/>
      </rPr>
      <t>)/K</t>
    </r>
    <r>
      <rPr>
        <vertAlign val="subscript"/>
        <sz val="11"/>
        <color theme="1"/>
        <rFont val="Calibri"/>
        <family val="2"/>
        <scheme val="minor"/>
      </rPr>
      <t>sp,ACP</t>
    </r>
    <r>
      <rPr>
        <vertAlign val="superscript"/>
        <sz val="11"/>
        <color theme="1"/>
        <rFont val="Calibri"/>
        <family val="2"/>
        <scheme val="minor"/>
      </rPr>
      <t>^(1/5)</t>
    </r>
  </si>
  <si>
    <r>
      <t>([Ca</t>
    </r>
    <r>
      <rPr>
        <vertAlign val="superscript"/>
        <sz val="11"/>
        <color theme="1"/>
        <rFont val="Calibri"/>
        <family val="2"/>
        <scheme val="minor"/>
      </rPr>
      <t>2+</t>
    </r>
    <r>
      <rPr>
        <sz val="11"/>
        <color theme="1"/>
        <rFont val="Calibri"/>
        <family val="2"/>
        <scheme val="minor"/>
      </rPr>
      <t>]</t>
    </r>
    <r>
      <rPr>
        <vertAlign val="superscript"/>
        <sz val="11"/>
        <color theme="1"/>
        <rFont val="Calibri"/>
        <family val="2"/>
        <scheme val="minor"/>
      </rPr>
      <t>^(1/2)</t>
    </r>
    <r>
      <rPr>
        <sz val="11"/>
        <color theme="1"/>
        <rFont val="Calibri"/>
        <family val="2"/>
        <scheme val="minor"/>
      </rPr>
      <t>*[CO</t>
    </r>
    <r>
      <rPr>
        <vertAlign val="subscript"/>
        <sz val="11"/>
        <color theme="1"/>
        <rFont val="Calibri"/>
        <family val="2"/>
        <scheme val="minor"/>
      </rPr>
      <t>3</t>
    </r>
    <r>
      <rPr>
        <vertAlign val="superscript"/>
        <sz val="11"/>
        <color theme="1"/>
        <rFont val="Calibri"/>
        <family val="2"/>
        <scheme val="minor"/>
      </rPr>
      <t>2-</t>
    </r>
    <r>
      <rPr>
        <sz val="11"/>
        <color theme="1"/>
        <rFont val="Calibri"/>
        <family val="2"/>
        <scheme val="minor"/>
      </rPr>
      <t>]</t>
    </r>
    <r>
      <rPr>
        <vertAlign val="superscript"/>
        <sz val="11"/>
        <color theme="1"/>
        <rFont val="Calibri"/>
        <family val="2"/>
        <scheme val="minor"/>
      </rPr>
      <t>^(1/2)</t>
    </r>
    <r>
      <rPr>
        <sz val="11"/>
        <color theme="1"/>
        <rFont val="Calibri"/>
        <family val="2"/>
        <scheme val="minor"/>
      </rPr>
      <t>-K</t>
    </r>
    <r>
      <rPr>
        <vertAlign val="subscript"/>
        <sz val="11"/>
        <color theme="1"/>
        <rFont val="Calibri"/>
        <family val="2"/>
        <scheme val="minor"/>
      </rPr>
      <t>sp,CaCO3</t>
    </r>
    <r>
      <rPr>
        <vertAlign val="superscript"/>
        <sz val="11"/>
        <color theme="1"/>
        <rFont val="Calibri"/>
        <family val="2"/>
        <scheme val="minor"/>
      </rPr>
      <t>^(1/2)</t>
    </r>
    <r>
      <rPr>
        <sz val="11"/>
        <color theme="1"/>
        <rFont val="Calibri"/>
        <family val="2"/>
        <scheme val="minor"/>
      </rPr>
      <t>)/K</t>
    </r>
    <r>
      <rPr>
        <vertAlign val="subscript"/>
        <sz val="11"/>
        <color theme="1"/>
        <rFont val="Calibri"/>
        <family val="2"/>
        <scheme val="minor"/>
      </rPr>
      <t>sp,CaCO3</t>
    </r>
    <r>
      <rPr>
        <vertAlign val="superscript"/>
        <sz val="11"/>
        <color theme="1"/>
        <rFont val="Calibri"/>
        <family val="2"/>
        <scheme val="minor"/>
      </rPr>
      <t>^(1/2)</t>
    </r>
  </si>
  <si>
    <r>
      <t>PrecipDrivingForce</t>
    </r>
    <r>
      <rPr>
        <vertAlign val="subscript"/>
        <sz val="11"/>
        <color theme="1"/>
        <rFont val="Calibri"/>
        <family val="2"/>
        <scheme val="minor"/>
      </rPr>
      <t>Vivi</t>
    </r>
  </si>
  <si>
    <r>
      <t>(([Fe</t>
    </r>
    <r>
      <rPr>
        <vertAlign val="superscript"/>
        <sz val="11"/>
        <color theme="1"/>
        <rFont val="Calibri"/>
        <family val="2"/>
        <scheme val="minor"/>
      </rPr>
      <t>2+</t>
    </r>
    <r>
      <rPr>
        <sz val="11"/>
        <color theme="1"/>
        <rFont val="Calibri"/>
        <family val="2"/>
        <scheme val="minor"/>
      </rPr>
      <t>]</t>
    </r>
    <r>
      <rPr>
        <vertAlign val="superscript"/>
        <sz val="11"/>
        <color theme="1"/>
        <rFont val="Calibri"/>
        <family val="2"/>
        <scheme val="minor"/>
      </rPr>
      <t>^(3/5)</t>
    </r>
    <r>
      <rPr>
        <sz val="11"/>
        <color theme="1"/>
        <rFont val="Calibri"/>
        <family val="2"/>
        <scheme val="minor"/>
      </rPr>
      <t xml:space="preserve"> * [PO</t>
    </r>
    <r>
      <rPr>
        <vertAlign val="subscript"/>
        <sz val="11"/>
        <color theme="1"/>
        <rFont val="Calibri"/>
        <family val="2"/>
        <scheme val="minor"/>
      </rPr>
      <t>4</t>
    </r>
    <r>
      <rPr>
        <vertAlign val="superscript"/>
        <sz val="11"/>
        <color theme="1"/>
        <rFont val="Calibri"/>
        <family val="2"/>
        <scheme val="minor"/>
      </rPr>
      <t>3-</t>
    </r>
    <r>
      <rPr>
        <sz val="11"/>
        <color theme="1"/>
        <rFont val="Calibri"/>
        <family val="2"/>
        <scheme val="minor"/>
      </rPr>
      <t>]</t>
    </r>
    <r>
      <rPr>
        <vertAlign val="superscript"/>
        <sz val="11"/>
        <color theme="1"/>
        <rFont val="Calibri"/>
        <family val="2"/>
        <scheme val="minor"/>
      </rPr>
      <t>^(2/5)</t>
    </r>
    <r>
      <rPr>
        <sz val="11"/>
        <color theme="1"/>
        <rFont val="Calibri"/>
        <family val="2"/>
        <scheme val="minor"/>
      </rPr>
      <t xml:space="preserve"> - K</t>
    </r>
    <r>
      <rPr>
        <vertAlign val="subscript"/>
        <sz val="11"/>
        <color theme="1"/>
        <rFont val="Calibri"/>
        <family val="2"/>
        <scheme val="minor"/>
      </rPr>
      <t>sp,Vivi</t>
    </r>
    <r>
      <rPr>
        <vertAlign val="superscript"/>
        <sz val="11"/>
        <color theme="1"/>
        <rFont val="Calibri"/>
        <family val="2"/>
        <scheme val="minor"/>
      </rPr>
      <t>^(1/5)</t>
    </r>
    <r>
      <rPr>
        <sz val="11"/>
        <color theme="1"/>
        <rFont val="Calibri"/>
        <family val="2"/>
        <scheme val="minor"/>
      </rPr>
      <t>)/K</t>
    </r>
    <r>
      <rPr>
        <vertAlign val="subscript"/>
        <sz val="11"/>
        <color theme="1"/>
        <rFont val="Calibri"/>
        <family val="2"/>
        <scheme val="minor"/>
      </rPr>
      <t>sp,Vivi</t>
    </r>
    <r>
      <rPr>
        <vertAlign val="superscript"/>
        <sz val="11"/>
        <color theme="1"/>
        <rFont val="Calibri"/>
        <family val="2"/>
        <scheme val="minor"/>
      </rPr>
      <t>^(1/5)</t>
    </r>
    <r>
      <rPr>
        <sz val="11"/>
        <color theme="1"/>
        <rFont val="Calibri"/>
        <family val="2"/>
        <scheme val="minor"/>
      </rPr>
      <t>)</t>
    </r>
  </si>
  <si>
    <r>
      <t>g N.m</t>
    </r>
    <r>
      <rPr>
        <vertAlign val="superscript"/>
        <sz val="11"/>
        <rFont val="Calibri"/>
        <family val="2"/>
        <scheme val="minor"/>
      </rPr>
      <t>-3</t>
    </r>
    <r>
      <rPr>
        <sz val="11"/>
        <rFont val="Calibri"/>
        <family val="2"/>
        <scheme val="minor"/>
      </rPr>
      <t>.d</t>
    </r>
    <r>
      <rPr>
        <vertAlign val="superscript"/>
        <sz val="11"/>
        <rFont val="Calibri"/>
        <family val="2"/>
        <scheme val="minor"/>
      </rPr>
      <t>-1</t>
    </r>
  </si>
  <si>
    <r>
      <t>K</t>
    </r>
    <r>
      <rPr>
        <vertAlign val="subscript"/>
        <sz val="11"/>
        <rFont val="Calibri"/>
        <family val="2"/>
        <scheme val="minor"/>
      </rPr>
      <t>VFA</t>
    </r>
  </si>
  <si>
    <r>
      <t>g COD.m</t>
    </r>
    <r>
      <rPr>
        <vertAlign val="superscript"/>
        <sz val="11"/>
        <rFont val="Calibri"/>
        <family val="2"/>
        <scheme val="minor"/>
      </rPr>
      <t>-3</t>
    </r>
    <r>
      <rPr>
        <sz val="11"/>
        <color theme="1"/>
        <rFont val="Calibri"/>
        <family val="2"/>
        <scheme val="minor"/>
      </rPr>
      <t/>
    </r>
  </si>
  <si>
    <r>
      <t>K</t>
    </r>
    <r>
      <rPr>
        <vertAlign val="subscript"/>
        <sz val="11"/>
        <rFont val="Calibri"/>
        <family val="2"/>
        <scheme val="minor"/>
      </rPr>
      <t>O2,OHO</t>
    </r>
  </si>
  <si>
    <r>
      <t>K</t>
    </r>
    <r>
      <rPr>
        <vertAlign val="subscript"/>
        <sz val="11"/>
        <rFont val="Calibri"/>
        <family val="2"/>
        <scheme val="minor"/>
      </rPr>
      <t>MEOL,OHO</t>
    </r>
  </si>
  <si>
    <r>
      <t>K</t>
    </r>
    <r>
      <rPr>
        <vertAlign val="subscript"/>
        <sz val="11"/>
        <rFont val="Calibri"/>
        <family val="2"/>
        <scheme val="minor"/>
      </rPr>
      <t>NO3,OHO</t>
    </r>
  </si>
  <si>
    <r>
      <t>K</t>
    </r>
    <r>
      <rPr>
        <vertAlign val="subscript"/>
        <sz val="11"/>
        <rFont val="Calibri"/>
        <family val="2"/>
        <scheme val="minor"/>
      </rPr>
      <t>MEOL</t>
    </r>
  </si>
  <si>
    <r>
      <t>K</t>
    </r>
    <r>
      <rPr>
        <vertAlign val="subscript"/>
        <sz val="11"/>
        <rFont val="Calibri"/>
        <family val="2"/>
        <scheme val="minor"/>
      </rPr>
      <t>NO3,MEOLO</t>
    </r>
  </si>
  <si>
    <r>
      <t>K</t>
    </r>
    <r>
      <rPr>
        <vertAlign val="subscript"/>
        <sz val="11"/>
        <rFont val="Calibri"/>
        <family val="2"/>
        <scheme val="minor"/>
      </rPr>
      <t>PHA</t>
    </r>
  </si>
  <si>
    <r>
      <t>K</t>
    </r>
    <r>
      <rPr>
        <vertAlign val="subscript"/>
        <sz val="11"/>
        <rFont val="Calibri"/>
        <family val="2"/>
        <scheme val="minor"/>
      </rPr>
      <t>VFA,AMETO</t>
    </r>
  </si>
  <si>
    <r>
      <t>K</t>
    </r>
    <r>
      <rPr>
        <vertAlign val="subscript"/>
        <sz val="11"/>
        <rFont val="Calibri"/>
        <family val="2"/>
        <scheme val="minor"/>
      </rPr>
      <t>H2,HMETO</t>
    </r>
  </si>
  <si>
    <r>
      <t>K</t>
    </r>
    <r>
      <rPr>
        <vertAlign val="subscript"/>
        <sz val="11"/>
        <rFont val="Calibri"/>
        <family val="2"/>
        <scheme val="minor"/>
      </rPr>
      <t>CO2,BIO</t>
    </r>
  </si>
  <si>
    <r>
      <t>Msat</t>
    </r>
    <r>
      <rPr>
        <vertAlign val="subscript"/>
        <sz val="11"/>
        <rFont val="Calibri"/>
        <family val="2"/>
        <scheme val="minor"/>
      </rPr>
      <t>SO2,KO2,OHO</t>
    </r>
  </si>
  <si>
    <r>
      <t>Msat(S</t>
    </r>
    <r>
      <rPr>
        <vertAlign val="subscript"/>
        <sz val="11"/>
        <rFont val="Calibri"/>
        <family val="2"/>
        <scheme val="minor"/>
      </rPr>
      <t>O2</t>
    </r>
    <r>
      <rPr>
        <sz val="11"/>
        <rFont val="Calibri"/>
        <family val="2"/>
        <scheme val="minor"/>
      </rPr>
      <t>;K</t>
    </r>
    <r>
      <rPr>
        <vertAlign val="subscript"/>
        <sz val="11"/>
        <rFont val="Calibri"/>
        <family val="2"/>
        <scheme val="minor"/>
      </rPr>
      <t>O2,OHO</t>
    </r>
    <r>
      <rPr>
        <sz val="11"/>
        <rFont val="Calibri"/>
        <family val="2"/>
        <scheme val="minor"/>
      </rPr>
      <t>)</t>
    </r>
  </si>
  <si>
    <r>
      <t>Msat</t>
    </r>
    <r>
      <rPr>
        <vertAlign val="subscript"/>
        <sz val="11"/>
        <rFont val="Calibri"/>
        <family val="2"/>
        <scheme val="minor"/>
      </rPr>
      <t>SMEOL,KMEOL,OHO</t>
    </r>
  </si>
  <si>
    <r>
      <t>Msat(S</t>
    </r>
    <r>
      <rPr>
        <vertAlign val="subscript"/>
        <sz val="11"/>
        <rFont val="Calibri"/>
        <family val="2"/>
        <scheme val="minor"/>
      </rPr>
      <t>MEOL</t>
    </r>
    <r>
      <rPr>
        <sz val="11"/>
        <rFont val="Calibri"/>
        <family val="2"/>
        <scheme val="minor"/>
      </rPr>
      <t>;K</t>
    </r>
    <r>
      <rPr>
        <vertAlign val="subscript"/>
        <sz val="11"/>
        <rFont val="Calibri"/>
        <family val="2"/>
        <scheme val="minor"/>
      </rPr>
      <t>MEOL,OHO</t>
    </r>
    <r>
      <rPr>
        <sz val="11"/>
        <rFont val="Calibri"/>
        <family val="2"/>
        <scheme val="minor"/>
      </rPr>
      <t>)</t>
    </r>
  </si>
  <si>
    <r>
      <t>Msat</t>
    </r>
    <r>
      <rPr>
        <vertAlign val="subscript"/>
        <sz val="11"/>
        <rFont val="Calibri"/>
        <family val="2"/>
        <scheme val="minor"/>
      </rPr>
      <t>SMEOL,KMEOL</t>
    </r>
  </si>
  <si>
    <r>
      <t>Msat(S</t>
    </r>
    <r>
      <rPr>
        <vertAlign val="subscript"/>
        <sz val="11"/>
        <rFont val="Calibri"/>
        <family val="2"/>
        <scheme val="minor"/>
      </rPr>
      <t>MEOL</t>
    </r>
    <r>
      <rPr>
        <sz val="11"/>
        <rFont val="Calibri"/>
        <family val="2"/>
        <scheme val="minor"/>
      </rPr>
      <t>;K</t>
    </r>
    <r>
      <rPr>
        <vertAlign val="subscript"/>
        <sz val="11"/>
        <rFont val="Calibri"/>
        <family val="2"/>
        <scheme val="minor"/>
      </rPr>
      <t>MEOL</t>
    </r>
    <r>
      <rPr>
        <sz val="11"/>
        <rFont val="Calibri"/>
        <family val="2"/>
        <scheme val="minor"/>
      </rPr>
      <t>)</t>
    </r>
  </si>
  <si>
    <r>
      <t>Msat</t>
    </r>
    <r>
      <rPr>
        <vertAlign val="subscript"/>
        <sz val="11"/>
        <rFont val="Calibri"/>
        <family val="2"/>
        <scheme val="minor"/>
      </rPr>
      <t>SNHx,KNHx,BIO</t>
    </r>
  </si>
  <si>
    <r>
      <t>Msat(S</t>
    </r>
    <r>
      <rPr>
        <vertAlign val="subscript"/>
        <sz val="11"/>
        <rFont val="Calibri"/>
        <family val="2"/>
        <scheme val="minor"/>
      </rPr>
      <t>NHx</t>
    </r>
    <r>
      <rPr>
        <sz val="11"/>
        <rFont val="Calibri"/>
        <family val="2"/>
        <scheme val="minor"/>
      </rPr>
      <t>;K</t>
    </r>
    <r>
      <rPr>
        <vertAlign val="subscript"/>
        <sz val="11"/>
        <rFont val="Calibri"/>
        <family val="2"/>
        <scheme val="minor"/>
      </rPr>
      <t>NHx,BIO</t>
    </r>
    <r>
      <rPr>
        <sz val="11"/>
        <rFont val="Calibri"/>
        <family val="2"/>
        <scheme val="minor"/>
      </rPr>
      <t>)</t>
    </r>
  </si>
  <si>
    <r>
      <t>Msat</t>
    </r>
    <r>
      <rPr>
        <vertAlign val="subscript"/>
        <sz val="11"/>
        <rFont val="Calibri"/>
        <family val="2"/>
        <scheme val="minor"/>
      </rPr>
      <t>SPO4,KPO4,BIO</t>
    </r>
  </si>
  <si>
    <r>
      <t>Msat(S</t>
    </r>
    <r>
      <rPr>
        <vertAlign val="subscript"/>
        <sz val="11"/>
        <rFont val="Calibri"/>
        <family val="2"/>
        <scheme val="minor"/>
      </rPr>
      <t>PO4</t>
    </r>
    <r>
      <rPr>
        <sz val="11"/>
        <rFont val="Calibri"/>
        <family val="2"/>
        <scheme val="minor"/>
      </rPr>
      <t>;K</t>
    </r>
    <r>
      <rPr>
        <vertAlign val="subscript"/>
        <sz val="11"/>
        <rFont val="Calibri"/>
        <family val="2"/>
        <scheme val="minor"/>
      </rPr>
      <t>PO4,BIO</t>
    </r>
    <r>
      <rPr>
        <sz val="11"/>
        <rFont val="Calibri"/>
        <family val="2"/>
        <scheme val="minor"/>
      </rPr>
      <t>)</t>
    </r>
  </si>
  <si>
    <r>
      <t>Msat</t>
    </r>
    <r>
      <rPr>
        <vertAlign val="subscript"/>
        <sz val="11"/>
        <rFont val="Calibri"/>
        <family val="2"/>
        <scheme val="minor"/>
      </rPr>
      <t>SCAT,KCAT</t>
    </r>
  </si>
  <si>
    <r>
      <t>Msat(S</t>
    </r>
    <r>
      <rPr>
        <vertAlign val="subscript"/>
        <sz val="11"/>
        <rFont val="Calibri"/>
        <family val="2"/>
        <scheme val="minor"/>
      </rPr>
      <t>CAT</t>
    </r>
    <r>
      <rPr>
        <sz val="11"/>
        <rFont val="Calibri"/>
        <family val="2"/>
        <scheme val="minor"/>
      </rPr>
      <t>;K</t>
    </r>
    <r>
      <rPr>
        <vertAlign val="subscript"/>
        <sz val="11"/>
        <rFont val="Calibri"/>
        <family val="2"/>
        <scheme val="minor"/>
      </rPr>
      <t>CAT</t>
    </r>
    <r>
      <rPr>
        <sz val="11"/>
        <rFont val="Calibri"/>
        <family val="2"/>
        <scheme val="minor"/>
      </rPr>
      <t>)</t>
    </r>
  </si>
  <si>
    <r>
      <t>Msat</t>
    </r>
    <r>
      <rPr>
        <vertAlign val="subscript"/>
        <sz val="11"/>
        <rFont val="Calibri"/>
        <family val="2"/>
        <scheme val="minor"/>
      </rPr>
      <t>SAN,KAN</t>
    </r>
  </si>
  <si>
    <r>
      <t>Msat(S</t>
    </r>
    <r>
      <rPr>
        <vertAlign val="subscript"/>
        <sz val="11"/>
        <rFont val="Calibri"/>
        <family val="2"/>
        <scheme val="minor"/>
      </rPr>
      <t>AN</t>
    </r>
    <r>
      <rPr>
        <sz val="11"/>
        <rFont val="Calibri"/>
        <family val="2"/>
        <scheme val="minor"/>
      </rPr>
      <t>;K</t>
    </r>
    <r>
      <rPr>
        <vertAlign val="subscript"/>
        <sz val="11"/>
        <rFont val="Calibri"/>
        <family val="2"/>
        <scheme val="minor"/>
      </rPr>
      <t>AN</t>
    </r>
    <r>
      <rPr>
        <sz val="11"/>
        <rFont val="Calibri"/>
        <family val="2"/>
        <scheme val="minor"/>
      </rPr>
      <t>)</t>
    </r>
  </si>
  <si>
    <r>
      <t>Msat</t>
    </r>
    <r>
      <rPr>
        <vertAlign val="subscript"/>
        <sz val="11"/>
        <rFont val="Calibri"/>
        <family val="2"/>
        <scheme val="minor"/>
      </rPr>
      <t>SPO4,KPO4,PAO</t>
    </r>
  </si>
  <si>
    <r>
      <t>Msat(S</t>
    </r>
    <r>
      <rPr>
        <vertAlign val="subscript"/>
        <sz val="11"/>
        <rFont val="Calibri"/>
        <family val="2"/>
        <scheme val="minor"/>
      </rPr>
      <t>PO4</t>
    </r>
    <r>
      <rPr>
        <sz val="11"/>
        <rFont val="Calibri"/>
        <family val="2"/>
        <scheme val="minor"/>
      </rPr>
      <t>;K</t>
    </r>
    <r>
      <rPr>
        <vertAlign val="subscript"/>
        <sz val="11"/>
        <rFont val="Calibri"/>
        <family val="2"/>
        <scheme val="minor"/>
      </rPr>
      <t>PO4,PAO</t>
    </r>
    <r>
      <rPr>
        <sz val="11"/>
        <rFont val="Calibri"/>
        <family val="2"/>
        <scheme val="minor"/>
      </rPr>
      <t>)</t>
    </r>
  </si>
  <si>
    <r>
      <t>Msat</t>
    </r>
    <r>
      <rPr>
        <vertAlign val="subscript"/>
        <sz val="11"/>
        <rFont val="Calibri"/>
        <family val="2"/>
        <scheme val="minor"/>
      </rPr>
      <t>SCa,KCa,PAO</t>
    </r>
  </si>
  <si>
    <r>
      <t>Msat(S</t>
    </r>
    <r>
      <rPr>
        <vertAlign val="subscript"/>
        <sz val="11"/>
        <rFont val="Calibri"/>
        <family val="2"/>
        <scheme val="minor"/>
      </rPr>
      <t>Ca</t>
    </r>
    <r>
      <rPr>
        <sz val="11"/>
        <rFont val="Calibri"/>
        <family val="2"/>
        <scheme val="minor"/>
      </rPr>
      <t>;K</t>
    </r>
    <r>
      <rPr>
        <vertAlign val="subscript"/>
        <sz val="11"/>
        <rFont val="Calibri"/>
        <family val="2"/>
        <scheme val="minor"/>
      </rPr>
      <t>Ca,PAO</t>
    </r>
    <r>
      <rPr>
        <sz val="11"/>
        <rFont val="Calibri"/>
        <family val="2"/>
        <scheme val="minor"/>
      </rPr>
      <t>)</t>
    </r>
  </si>
  <si>
    <r>
      <t>Msat</t>
    </r>
    <r>
      <rPr>
        <vertAlign val="subscript"/>
        <sz val="11"/>
        <rFont val="Calibri"/>
        <family val="2"/>
        <scheme val="minor"/>
      </rPr>
      <t>SMg,KMg,PAO</t>
    </r>
  </si>
  <si>
    <r>
      <t>Msat(S</t>
    </r>
    <r>
      <rPr>
        <vertAlign val="subscript"/>
        <sz val="11"/>
        <rFont val="Calibri"/>
        <family val="2"/>
        <scheme val="minor"/>
      </rPr>
      <t>Mg</t>
    </r>
    <r>
      <rPr>
        <sz val="11"/>
        <rFont val="Calibri"/>
        <family val="2"/>
        <scheme val="minor"/>
      </rPr>
      <t>;K</t>
    </r>
    <r>
      <rPr>
        <vertAlign val="subscript"/>
        <sz val="11"/>
        <rFont val="Calibri"/>
        <family val="2"/>
        <scheme val="minor"/>
      </rPr>
      <t>Mg,PAO</t>
    </r>
    <r>
      <rPr>
        <sz val="11"/>
        <rFont val="Calibri"/>
        <family val="2"/>
        <scheme val="minor"/>
      </rPr>
      <t>)</t>
    </r>
  </si>
  <si>
    <r>
      <t>Msat</t>
    </r>
    <r>
      <rPr>
        <vertAlign val="subscript"/>
        <sz val="11"/>
        <rFont val="Calibri"/>
        <family val="2"/>
        <scheme val="minor"/>
      </rPr>
      <t>SK,KK,PAO</t>
    </r>
  </si>
  <si>
    <r>
      <t>Msat(S</t>
    </r>
    <r>
      <rPr>
        <vertAlign val="subscript"/>
        <sz val="11"/>
        <rFont val="Calibri"/>
        <family val="2"/>
        <scheme val="minor"/>
      </rPr>
      <t>K</t>
    </r>
    <r>
      <rPr>
        <sz val="11"/>
        <rFont val="Calibri"/>
        <family val="2"/>
        <scheme val="minor"/>
      </rPr>
      <t>;K</t>
    </r>
    <r>
      <rPr>
        <vertAlign val="subscript"/>
        <sz val="11"/>
        <rFont val="Calibri"/>
        <family val="2"/>
        <scheme val="minor"/>
      </rPr>
      <t>K,PAO</t>
    </r>
    <r>
      <rPr>
        <sz val="11"/>
        <rFont val="Calibri"/>
        <family val="2"/>
        <scheme val="minor"/>
      </rPr>
      <t>)</t>
    </r>
  </si>
  <si>
    <r>
      <t>Msat</t>
    </r>
    <r>
      <rPr>
        <vertAlign val="subscript"/>
        <sz val="11"/>
        <rFont val="Calibri"/>
        <family val="2"/>
        <scheme val="minor"/>
      </rPr>
      <t>SNOx,KNO3,AMETO</t>
    </r>
  </si>
  <si>
    <r>
      <t>Msat</t>
    </r>
    <r>
      <rPr>
        <vertAlign val="subscript"/>
        <sz val="11"/>
        <rFont val="Calibri"/>
        <family val="2"/>
        <scheme val="minor"/>
      </rPr>
      <t>SNOx,KNO3,HMETO</t>
    </r>
  </si>
  <si>
    <r>
      <t>Msat</t>
    </r>
    <r>
      <rPr>
        <vertAlign val="subscript"/>
        <sz val="11"/>
        <rFont val="Calibri"/>
        <family val="2"/>
        <scheme val="minor"/>
      </rPr>
      <t>SCO2,KCO2,BIO</t>
    </r>
  </si>
  <si>
    <r>
      <t>Msat(S</t>
    </r>
    <r>
      <rPr>
        <vertAlign val="subscript"/>
        <sz val="11"/>
        <rFont val="Calibri"/>
        <family val="2"/>
        <scheme val="minor"/>
      </rPr>
      <t>CO2</t>
    </r>
    <r>
      <rPr>
        <sz val="11"/>
        <rFont val="Calibri"/>
        <family val="2"/>
        <scheme val="minor"/>
      </rPr>
      <t>;K</t>
    </r>
    <r>
      <rPr>
        <vertAlign val="subscript"/>
        <sz val="11"/>
        <rFont val="Calibri"/>
        <family val="2"/>
        <scheme val="minor"/>
      </rPr>
      <t>CO2,BIO</t>
    </r>
    <r>
      <rPr>
        <sz val="11"/>
        <rFont val="Calibri"/>
        <family val="2"/>
        <scheme val="minor"/>
      </rPr>
      <t>)</t>
    </r>
  </si>
  <si>
    <r>
      <t>Msat</t>
    </r>
    <r>
      <rPr>
        <vertAlign val="subscript"/>
        <sz val="11"/>
        <rFont val="Calibri"/>
        <family val="2"/>
        <scheme val="minor"/>
      </rPr>
      <t>SH2,KH2,HMETO</t>
    </r>
  </si>
  <si>
    <r>
      <t>Msat(S</t>
    </r>
    <r>
      <rPr>
        <vertAlign val="subscript"/>
        <sz val="11"/>
        <rFont val="Calibri"/>
        <family val="2"/>
        <scheme val="minor"/>
      </rPr>
      <t>H2</t>
    </r>
    <r>
      <rPr>
        <sz val="11"/>
        <rFont val="Calibri"/>
        <family val="2"/>
        <scheme val="minor"/>
      </rPr>
      <t>;K</t>
    </r>
    <r>
      <rPr>
        <vertAlign val="subscript"/>
        <sz val="11"/>
        <rFont val="Calibri"/>
        <family val="2"/>
        <scheme val="minor"/>
      </rPr>
      <t>H2,HMETO</t>
    </r>
    <r>
      <rPr>
        <sz val="11"/>
        <rFont val="Calibri"/>
        <family val="2"/>
        <scheme val="minor"/>
      </rPr>
      <t>)</t>
    </r>
  </si>
  <si>
    <r>
      <t>MRsat</t>
    </r>
    <r>
      <rPr>
        <vertAlign val="subscript"/>
        <sz val="11"/>
        <rFont val="Calibri"/>
        <family val="2"/>
        <scheme val="minor"/>
      </rPr>
      <t>XPHA,XPAO,KPHA</t>
    </r>
  </si>
  <si>
    <r>
      <t>Minh</t>
    </r>
    <r>
      <rPr>
        <vertAlign val="subscript"/>
        <sz val="11"/>
        <rFont val="Calibri"/>
        <family val="2"/>
        <scheme val="minor"/>
      </rPr>
      <t>SVFA,KVFA</t>
    </r>
  </si>
  <si>
    <r>
      <t>Minh(S</t>
    </r>
    <r>
      <rPr>
        <vertAlign val="subscript"/>
        <sz val="11"/>
        <rFont val="Calibri"/>
        <family val="2"/>
        <scheme val="minor"/>
      </rPr>
      <t>VFA</t>
    </r>
    <r>
      <rPr>
        <sz val="11"/>
        <rFont val="Calibri"/>
        <family val="2"/>
        <scheme val="minor"/>
      </rPr>
      <t>;K</t>
    </r>
    <r>
      <rPr>
        <vertAlign val="subscript"/>
        <sz val="11"/>
        <rFont val="Calibri"/>
        <family val="2"/>
        <scheme val="minor"/>
      </rPr>
      <t>VFA</t>
    </r>
    <r>
      <rPr>
        <sz val="11"/>
        <rFont val="Calibri"/>
        <family val="2"/>
        <scheme val="minor"/>
      </rPr>
      <t>)</t>
    </r>
  </si>
  <si>
    <r>
      <t>Minh</t>
    </r>
    <r>
      <rPr>
        <vertAlign val="subscript"/>
        <sz val="11"/>
        <rFont val="Calibri"/>
        <family val="2"/>
        <scheme val="minor"/>
      </rPr>
      <t>SO2,KO2,OHO</t>
    </r>
  </si>
  <si>
    <r>
      <t>Minh</t>
    </r>
    <r>
      <rPr>
        <vertAlign val="subscript"/>
        <sz val="11"/>
        <rFont val="Calibri"/>
        <family val="2"/>
        <scheme val="minor"/>
      </rPr>
      <t>SNOx,KNO3,AMETO</t>
    </r>
  </si>
  <si>
    <r>
      <t>Minh</t>
    </r>
    <r>
      <rPr>
        <vertAlign val="subscript"/>
        <sz val="11"/>
        <rFont val="Calibri"/>
        <family val="2"/>
        <scheme val="minor"/>
      </rPr>
      <t>SNOx,KNO3,HMETO</t>
    </r>
  </si>
  <si>
    <r>
      <t>Bellinh</t>
    </r>
    <r>
      <rPr>
        <vertAlign val="subscript"/>
        <sz val="11"/>
        <rFont val="Calibri"/>
        <family val="2"/>
        <scheme val="minor"/>
      </rPr>
      <t>pH</t>
    </r>
  </si>
  <si>
    <r>
      <t>Bellinh(pH;pH</t>
    </r>
    <r>
      <rPr>
        <vertAlign val="subscript"/>
        <sz val="11"/>
        <rFont val="Calibri"/>
        <family val="2"/>
        <scheme val="minor"/>
      </rPr>
      <t>low</t>
    </r>
    <r>
      <rPr>
        <sz val="11"/>
        <rFont val="Calibri"/>
        <family val="2"/>
        <scheme val="minor"/>
      </rPr>
      <t>;pH</t>
    </r>
    <r>
      <rPr>
        <vertAlign val="subscript"/>
        <sz val="11"/>
        <rFont val="Calibri"/>
        <family val="2"/>
        <scheme val="minor"/>
      </rPr>
      <t>high</t>
    </r>
    <r>
      <rPr>
        <sz val="11"/>
        <rFont val="Calibri"/>
        <family val="2"/>
        <scheme val="minor"/>
      </rPr>
      <t>)</t>
    </r>
  </si>
  <si>
    <r>
      <t>µ</t>
    </r>
    <r>
      <rPr>
        <vertAlign val="subscript"/>
        <sz val="11"/>
        <color indexed="8"/>
        <rFont val="Calibri"/>
        <family val="2"/>
        <scheme val="minor"/>
      </rPr>
      <t>OHO,T</t>
    </r>
  </si>
  <si>
    <r>
      <t>µ</t>
    </r>
    <r>
      <rPr>
        <vertAlign val="subscript"/>
        <sz val="11"/>
        <color indexed="8"/>
        <rFont val="Calibri"/>
        <family val="2"/>
        <scheme val="minor"/>
      </rPr>
      <t>OHO</t>
    </r>
    <r>
      <rPr>
        <sz val="11"/>
        <color indexed="8"/>
        <rFont val="Calibri"/>
        <family val="2"/>
        <scheme val="minor"/>
      </rPr>
      <t>*Arrh(θ</t>
    </r>
    <r>
      <rPr>
        <vertAlign val="subscript"/>
        <sz val="11"/>
        <color indexed="8"/>
        <rFont val="Calibri"/>
        <family val="2"/>
        <scheme val="minor"/>
      </rPr>
      <t>µ,OHO</t>
    </r>
    <r>
      <rPr>
        <sz val="11"/>
        <color indexed="8"/>
        <rFont val="Calibri"/>
        <family val="2"/>
        <scheme val="minor"/>
      </rPr>
      <t>; T; T</t>
    </r>
    <r>
      <rPr>
        <vertAlign val="subscript"/>
        <sz val="11"/>
        <color indexed="8"/>
        <rFont val="Calibri"/>
        <family val="2"/>
        <scheme val="minor"/>
      </rPr>
      <t>base</t>
    </r>
    <r>
      <rPr>
        <sz val="11"/>
        <color indexed="8"/>
        <rFont val="Calibri"/>
        <family val="2"/>
        <scheme val="minor"/>
      </rPr>
      <t>)</t>
    </r>
  </si>
  <si>
    <r>
      <t>µ</t>
    </r>
    <r>
      <rPr>
        <vertAlign val="subscript"/>
        <sz val="11"/>
        <color indexed="8"/>
        <rFont val="Calibri"/>
        <family val="2"/>
        <scheme val="minor"/>
      </rPr>
      <t>FERM,OHO,T</t>
    </r>
  </si>
  <si>
    <r>
      <t>µ</t>
    </r>
    <r>
      <rPr>
        <vertAlign val="subscript"/>
        <sz val="11"/>
        <color indexed="8"/>
        <rFont val="Calibri"/>
        <family val="2"/>
        <scheme val="minor"/>
      </rPr>
      <t>FERM,OHO</t>
    </r>
    <r>
      <rPr>
        <sz val="11"/>
        <color indexed="8"/>
        <rFont val="Calibri"/>
        <family val="2"/>
        <scheme val="minor"/>
      </rPr>
      <t>*Arrh(θ</t>
    </r>
    <r>
      <rPr>
        <vertAlign val="subscript"/>
        <sz val="11"/>
        <color indexed="8"/>
        <rFont val="Calibri"/>
        <family val="2"/>
        <scheme val="minor"/>
      </rPr>
      <t>FERM,OHO</t>
    </r>
    <r>
      <rPr>
        <sz val="11"/>
        <color indexed="8"/>
        <rFont val="Calibri"/>
        <family val="2"/>
        <scheme val="minor"/>
      </rPr>
      <t>; T; T</t>
    </r>
    <r>
      <rPr>
        <vertAlign val="subscript"/>
        <sz val="11"/>
        <color indexed="8"/>
        <rFont val="Calibri"/>
        <family val="2"/>
        <scheme val="minor"/>
      </rPr>
      <t>base</t>
    </r>
    <r>
      <rPr>
        <sz val="11"/>
        <color indexed="8"/>
        <rFont val="Calibri"/>
        <family val="2"/>
        <scheme val="minor"/>
      </rPr>
      <t>)</t>
    </r>
  </si>
  <si>
    <r>
      <t>b</t>
    </r>
    <r>
      <rPr>
        <vertAlign val="subscript"/>
        <sz val="11"/>
        <color indexed="8"/>
        <rFont val="Calibri"/>
        <family val="2"/>
        <scheme val="minor"/>
      </rPr>
      <t>OHO,T</t>
    </r>
  </si>
  <si>
    <r>
      <t>b</t>
    </r>
    <r>
      <rPr>
        <vertAlign val="subscript"/>
        <sz val="11"/>
        <color indexed="8"/>
        <rFont val="Calibri"/>
        <family val="2"/>
        <scheme val="minor"/>
      </rPr>
      <t>OHO</t>
    </r>
    <r>
      <rPr>
        <sz val="11"/>
        <color indexed="8"/>
        <rFont val="Calibri"/>
        <family val="2"/>
        <scheme val="minor"/>
      </rPr>
      <t>*Arrh(θ</t>
    </r>
    <r>
      <rPr>
        <vertAlign val="subscript"/>
        <sz val="11"/>
        <color indexed="8"/>
        <rFont val="Calibri"/>
        <family val="2"/>
        <scheme val="minor"/>
      </rPr>
      <t>b,OHO</t>
    </r>
    <r>
      <rPr>
        <sz val="11"/>
        <color indexed="8"/>
        <rFont val="Calibri"/>
        <family val="2"/>
        <scheme val="minor"/>
      </rPr>
      <t>;T;T</t>
    </r>
    <r>
      <rPr>
        <vertAlign val="subscript"/>
        <sz val="11"/>
        <color indexed="8"/>
        <rFont val="Calibri"/>
        <family val="2"/>
        <scheme val="minor"/>
      </rPr>
      <t>base</t>
    </r>
    <r>
      <rPr>
        <sz val="11"/>
        <color indexed="8"/>
        <rFont val="Calibri"/>
        <family val="2"/>
        <scheme val="minor"/>
      </rPr>
      <t>)</t>
    </r>
  </si>
  <si>
    <r>
      <t>µ</t>
    </r>
    <r>
      <rPr>
        <vertAlign val="subscript"/>
        <sz val="11"/>
        <color indexed="8"/>
        <rFont val="Calibri"/>
        <family val="2"/>
        <scheme val="minor"/>
      </rPr>
      <t>MEOLO,T</t>
    </r>
  </si>
  <si>
    <r>
      <t>µ</t>
    </r>
    <r>
      <rPr>
        <vertAlign val="subscript"/>
        <sz val="11"/>
        <color indexed="8"/>
        <rFont val="Calibri"/>
        <family val="2"/>
        <scheme val="minor"/>
      </rPr>
      <t>MEOLO</t>
    </r>
    <r>
      <rPr>
        <sz val="11"/>
        <color indexed="8"/>
        <rFont val="Calibri"/>
        <family val="2"/>
        <scheme val="minor"/>
      </rPr>
      <t>*Arrh(θ</t>
    </r>
    <r>
      <rPr>
        <vertAlign val="subscript"/>
        <sz val="11"/>
        <color indexed="8"/>
        <rFont val="Calibri"/>
        <family val="2"/>
        <scheme val="minor"/>
      </rPr>
      <t>µ,MEOLO</t>
    </r>
    <r>
      <rPr>
        <sz val="11"/>
        <color indexed="8"/>
        <rFont val="Calibri"/>
        <family val="2"/>
        <scheme val="minor"/>
      </rPr>
      <t>; T; T</t>
    </r>
    <r>
      <rPr>
        <vertAlign val="subscript"/>
        <sz val="11"/>
        <color indexed="8"/>
        <rFont val="Calibri"/>
        <family val="2"/>
        <scheme val="minor"/>
      </rPr>
      <t>base</t>
    </r>
    <r>
      <rPr>
        <sz val="11"/>
        <color indexed="8"/>
        <rFont val="Calibri"/>
        <family val="2"/>
        <scheme val="minor"/>
      </rPr>
      <t>)</t>
    </r>
  </si>
  <si>
    <r>
      <t>b</t>
    </r>
    <r>
      <rPr>
        <vertAlign val="subscript"/>
        <sz val="11"/>
        <color indexed="8"/>
        <rFont val="Calibri"/>
        <family val="2"/>
        <scheme val="minor"/>
      </rPr>
      <t>MEOLO,T</t>
    </r>
  </si>
  <si>
    <r>
      <t>b</t>
    </r>
    <r>
      <rPr>
        <vertAlign val="subscript"/>
        <sz val="11"/>
        <color indexed="8"/>
        <rFont val="Calibri"/>
        <family val="2"/>
        <scheme val="minor"/>
      </rPr>
      <t>MEOLO</t>
    </r>
    <r>
      <rPr>
        <sz val="11"/>
        <color indexed="8"/>
        <rFont val="Calibri"/>
        <family val="2"/>
        <scheme val="minor"/>
      </rPr>
      <t>*Arrh(θ</t>
    </r>
    <r>
      <rPr>
        <vertAlign val="subscript"/>
        <sz val="11"/>
        <color indexed="8"/>
        <rFont val="Calibri"/>
        <family val="2"/>
        <scheme val="minor"/>
      </rPr>
      <t>b,MEOLO</t>
    </r>
    <r>
      <rPr>
        <sz val="11"/>
        <color indexed="8"/>
        <rFont val="Calibri"/>
        <family val="2"/>
        <scheme val="minor"/>
      </rPr>
      <t>; T; T</t>
    </r>
    <r>
      <rPr>
        <vertAlign val="subscript"/>
        <sz val="11"/>
        <color indexed="8"/>
        <rFont val="Calibri"/>
        <family val="2"/>
        <scheme val="minor"/>
      </rPr>
      <t>base</t>
    </r>
    <r>
      <rPr>
        <sz val="11"/>
        <color indexed="8"/>
        <rFont val="Calibri"/>
        <family val="2"/>
        <scheme val="minor"/>
      </rPr>
      <t>)</t>
    </r>
  </si>
  <si>
    <r>
      <t>q</t>
    </r>
    <r>
      <rPr>
        <vertAlign val="subscript"/>
        <sz val="11"/>
        <color indexed="8"/>
        <rFont val="Calibri"/>
        <family val="2"/>
        <scheme val="minor"/>
      </rPr>
      <t>PAO,PHA,T</t>
    </r>
  </si>
  <si>
    <r>
      <t>q</t>
    </r>
    <r>
      <rPr>
        <vertAlign val="subscript"/>
        <sz val="11"/>
        <color indexed="8"/>
        <rFont val="Calibri"/>
        <family val="2"/>
        <scheme val="minor"/>
      </rPr>
      <t>PAO,PHA</t>
    </r>
    <r>
      <rPr>
        <sz val="11"/>
        <color indexed="8"/>
        <rFont val="Calibri"/>
        <family val="2"/>
        <scheme val="minor"/>
      </rPr>
      <t>*Arrh(θ</t>
    </r>
    <r>
      <rPr>
        <vertAlign val="subscript"/>
        <sz val="11"/>
        <color indexed="8"/>
        <rFont val="Calibri"/>
        <family val="2"/>
        <scheme val="minor"/>
      </rPr>
      <t>q,PAO,PHA</t>
    </r>
    <r>
      <rPr>
        <sz val="11"/>
        <color indexed="8"/>
        <rFont val="Calibri"/>
        <family val="2"/>
        <scheme val="minor"/>
      </rPr>
      <t>; T; T</t>
    </r>
    <r>
      <rPr>
        <vertAlign val="subscript"/>
        <sz val="11"/>
        <color indexed="8"/>
        <rFont val="Calibri"/>
        <family val="2"/>
        <scheme val="minor"/>
      </rPr>
      <t>base</t>
    </r>
    <r>
      <rPr>
        <sz val="11"/>
        <color indexed="8"/>
        <rFont val="Calibri"/>
        <family val="2"/>
        <scheme val="minor"/>
      </rPr>
      <t>)</t>
    </r>
  </si>
  <si>
    <r>
      <t>µ</t>
    </r>
    <r>
      <rPr>
        <vertAlign val="subscript"/>
        <sz val="11"/>
        <color indexed="8"/>
        <rFont val="Calibri"/>
        <family val="2"/>
        <scheme val="minor"/>
      </rPr>
      <t>AMETO,T</t>
    </r>
  </si>
  <si>
    <r>
      <t>µ</t>
    </r>
    <r>
      <rPr>
        <vertAlign val="subscript"/>
        <sz val="11"/>
        <color indexed="8"/>
        <rFont val="Calibri"/>
        <family val="2"/>
        <scheme val="minor"/>
      </rPr>
      <t>AMETO</t>
    </r>
    <r>
      <rPr>
        <sz val="11"/>
        <color indexed="8"/>
        <rFont val="Calibri"/>
        <family val="2"/>
        <scheme val="minor"/>
      </rPr>
      <t>*Arrh(θ</t>
    </r>
    <r>
      <rPr>
        <vertAlign val="subscript"/>
        <sz val="11"/>
        <color indexed="8"/>
        <rFont val="Calibri"/>
        <family val="2"/>
        <scheme val="minor"/>
      </rPr>
      <t>µ,AMETO</t>
    </r>
    <r>
      <rPr>
        <sz val="11"/>
        <color indexed="8"/>
        <rFont val="Calibri"/>
        <family val="2"/>
        <scheme val="minor"/>
      </rPr>
      <t>; T; T</t>
    </r>
    <r>
      <rPr>
        <vertAlign val="subscript"/>
        <sz val="11"/>
        <color indexed="8"/>
        <rFont val="Calibri"/>
        <family val="2"/>
        <scheme val="minor"/>
      </rPr>
      <t>base</t>
    </r>
    <r>
      <rPr>
        <sz val="11"/>
        <color indexed="8"/>
        <rFont val="Calibri"/>
        <family val="2"/>
        <scheme val="minor"/>
      </rPr>
      <t>)</t>
    </r>
  </si>
  <si>
    <r>
      <t>b</t>
    </r>
    <r>
      <rPr>
        <vertAlign val="subscript"/>
        <sz val="11"/>
        <color indexed="8"/>
        <rFont val="Calibri"/>
        <family val="2"/>
        <scheme val="minor"/>
      </rPr>
      <t>AMETO,T</t>
    </r>
  </si>
  <si>
    <r>
      <t>b</t>
    </r>
    <r>
      <rPr>
        <vertAlign val="subscript"/>
        <sz val="11"/>
        <color indexed="8"/>
        <rFont val="Calibri"/>
        <family val="2"/>
        <scheme val="minor"/>
      </rPr>
      <t>AMETO</t>
    </r>
    <r>
      <rPr>
        <sz val="11"/>
        <color indexed="8"/>
        <rFont val="Calibri"/>
        <family val="2"/>
        <scheme val="minor"/>
      </rPr>
      <t>*Arrh(θ</t>
    </r>
    <r>
      <rPr>
        <vertAlign val="subscript"/>
        <sz val="11"/>
        <color indexed="8"/>
        <rFont val="Calibri"/>
        <family val="2"/>
        <scheme val="minor"/>
      </rPr>
      <t>b,AMETO</t>
    </r>
    <r>
      <rPr>
        <sz val="11"/>
        <color indexed="8"/>
        <rFont val="Calibri"/>
        <family val="2"/>
        <scheme val="minor"/>
      </rPr>
      <t>; T; T</t>
    </r>
    <r>
      <rPr>
        <vertAlign val="subscript"/>
        <sz val="11"/>
        <color indexed="8"/>
        <rFont val="Calibri"/>
        <family val="2"/>
        <scheme val="minor"/>
      </rPr>
      <t>base</t>
    </r>
    <r>
      <rPr>
        <sz val="11"/>
        <color indexed="8"/>
        <rFont val="Calibri"/>
        <family val="2"/>
        <scheme val="minor"/>
      </rPr>
      <t>)</t>
    </r>
  </si>
  <si>
    <r>
      <t>µ</t>
    </r>
    <r>
      <rPr>
        <vertAlign val="subscript"/>
        <sz val="11"/>
        <color indexed="8"/>
        <rFont val="Calibri"/>
        <family val="2"/>
        <scheme val="minor"/>
      </rPr>
      <t>HMETO,T</t>
    </r>
  </si>
  <si>
    <r>
      <t>µ</t>
    </r>
    <r>
      <rPr>
        <vertAlign val="subscript"/>
        <sz val="11"/>
        <color indexed="8"/>
        <rFont val="Calibri"/>
        <family val="2"/>
        <scheme val="minor"/>
      </rPr>
      <t>HMETO</t>
    </r>
    <r>
      <rPr>
        <sz val="11"/>
        <color indexed="8"/>
        <rFont val="Calibri"/>
        <family val="2"/>
        <scheme val="minor"/>
      </rPr>
      <t>*Arrh(θ</t>
    </r>
    <r>
      <rPr>
        <vertAlign val="subscript"/>
        <sz val="11"/>
        <color indexed="8"/>
        <rFont val="Calibri"/>
        <family val="2"/>
        <scheme val="minor"/>
      </rPr>
      <t>µ,HMETO</t>
    </r>
    <r>
      <rPr>
        <sz val="11"/>
        <color indexed="8"/>
        <rFont val="Calibri"/>
        <family val="2"/>
        <scheme val="minor"/>
      </rPr>
      <t>; T; T</t>
    </r>
    <r>
      <rPr>
        <vertAlign val="subscript"/>
        <sz val="11"/>
        <color indexed="8"/>
        <rFont val="Calibri"/>
        <family val="2"/>
        <scheme val="minor"/>
      </rPr>
      <t>base</t>
    </r>
    <r>
      <rPr>
        <sz val="11"/>
        <color indexed="8"/>
        <rFont val="Calibri"/>
        <family val="2"/>
        <scheme val="minor"/>
      </rPr>
      <t>)</t>
    </r>
  </si>
  <si>
    <r>
      <t>b</t>
    </r>
    <r>
      <rPr>
        <vertAlign val="subscript"/>
        <sz val="11"/>
        <color indexed="8"/>
        <rFont val="Calibri"/>
        <family val="2"/>
        <scheme val="minor"/>
      </rPr>
      <t>HMETO,T</t>
    </r>
  </si>
  <si>
    <r>
      <t>b</t>
    </r>
    <r>
      <rPr>
        <vertAlign val="subscript"/>
        <sz val="11"/>
        <color indexed="8"/>
        <rFont val="Calibri"/>
        <family val="2"/>
        <scheme val="minor"/>
      </rPr>
      <t>HMETO</t>
    </r>
    <r>
      <rPr>
        <sz val="11"/>
        <color indexed="8"/>
        <rFont val="Calibri"/>
        <family val="2"/>
        <scheme val="minor"/>
      </rPr>
      <t>*Arrh(θ</t>
    </r>
    <r>
      <rPr>
        <vertAlign val="subscript"/>
        <sz val="11"/>
        <color indexed="8"/>
        <rFont val="Calibri"/>
        <family val="2"/>
        <scheme val="minor"/>
      </rPr>
      <t>b,HMETO</t>
    </r>
    <r>
      <rPr>
        <sz val="11"/>
        <color indexed="8"/>
        <rFont val="Calibri"/>
        <family val="2"/>
        <scheme val="minor"/>
      </rPr>
      <t>; T; T</t>
    </r>
    <r>
      <rPr>
        <vertAlign val="subscript"/>
        <sz val="11"/>
        <color indexed="8"/>
        <rFont val="Calibri"/>
        <family val="2"/>
        <scheme val="minor"/>
      </rPr>
      <t>base</t>
    </r>
    <r>
      <rPr>
        <sz val="11"/>
        <color indexed="8"/>
        <rFont val="Calibri"/>
        <family val="2"/>
        <scheme val="minor"/>
      </rPr>
      <t>)</t>
    </r>
  </si>
  <si>
    <r>
      <t>q</t>
    </r>
    <r>
      <rPr>
        <vertAlign val="subscript"/>
        <sz val="11"/>
        <color indexed="8"/>
        <rFont val="Calibri"/>
        <family val="2"/>
        <scheme val="minor"/>
      </rPr>
      <t>FLOC,T</t>
    </r>
  </si>
  <si>
    <r>
      <t>q</t>
    </r>
    <r>
      <rPr>
        <vertAlign val="subscript"/>
        <sz val="11"/>
        <color indexed="8"/>
        <rFont val="Calibri"/>
        <family val="2"/>
        <scheme val="minor"/>
      </rPr>
      <t>FLOC</t>
    </r>
    <r>
      <rPr>
        <sz val="11"/>
        <color indexed="8"/>
        <rFont val="Calibri"/>
        <family val="2"/>
        <scheme val="minor"/>
      </rPr>
      <t>*Arrh(θ</t>
    </r>
    <r>
      <rPr>
        <vertAlign val="subscript"/>
        <sz val="11"/>
        <color indexed="8"/>
        <rFont val="Calibri"/>
        <family val="2"/>
        <scheme val="minor"/>
      </rPr>
      <t>q,FLOC</t>
    </r>
    <r>
      <rPr>
        <sz val="11"/>
        <color indexed="8"/>
        <rFont val="Calibri"/>
        <family val="2"/>
        <scheme val="minor"/>
      </rPr>
      <t>; T; T</t>
    </r>
    <r>
      <rPr>
        <vertAlign val="subscript"/>
        <sz val="11"/>
        <color indexed="8"/>
        <rFont val="Calibri"/>
        <family val="2"/>
        <scheme val="minor"/>
      </rPr>
      <t>base</t>
    </r>
    <r>
      <rPr>
        <sz val="11"/>
        <color indexed="8"/>
        <rFont val="Calibri"/>
        <family val="2"/>
        <scheme val="minor"/>
      </rPr>
      <t>)</t>
    </r>
  </si>
  <si>
    <r>
      <t>q</t>
    </r>
    <r>
      <rPr>
        <vertAlign val="subscript"/>
        <sz val="11"/>
        <color indexed="8"/>
        <rFont val="Calibri"/>
        <family val="2"/>
        <scheme val="minor"/>
      </rPr>
      <t>AMMON,T</t>
    </r>
  </si>
  <si>
    <r>
      <t>q</t>
    </r>
    <r>
      <rPr>
        <vertAlign val="subscript"/>
        <sz val="11"/>
        <color indexed="8"/>
        <rFont val="Calibri"/>
        <family val="2"/>
        <scheme val="minor"/>
      </rPr>
      <t>AMMON</t>
    </r>
    <r>
      <rPr>
        <sz val="11"/>
        <color indexed="8"/>
        <rFont val="Calibri"/>
        <family val="2"/>
        <scheme val="minor"/>
      </rPr>
      <t>*Arrh(θ</t>
    </r>
    <r>
      <rPr>
        <vertAlign val="subscript"/>
        <sz val="11"/>
        <color indexed="8"/>
        <rFont val="Calibri"/>
        <family val="2"/>
        <scheme val="minor"/>
      </rPr>
      <t>q,AMMON</t>
    </r>
    <r>
      <rPr>
        <sz val="11"/>
        <color indexed="8"/>
        <rFont val="Calibri"/>
        <family val="2"/>
        <scheme val="minor"/>
      </rPr>
      <t>; T; T</t>
    </r>
    <r>
      <rPr>
        <vertAlign val="subscript"/>
        <sz val="11"/>
        <color indexed="8"/>
        <rFont val="Calibri"/>
        <family val="2"/>
        <scheme val="minor"/>
      </rPr>
      <t>base</t>
    </r>
    <r>
      <rPr>
        <sz val="11"/>
        <color indexed="8"/>
        <rFont val="Calibri"/>
        <family val="2"/>
        <scheme val="minor"/>
      </rPr>
      <t>)</t>
    </r>
  </si>
  <si>
    <r>
      <t>q</t>
    </r>
    <r>
      <rPr>
        <vertAlign val="subscript"/>
        <sz val="11"/>
        <color indexed="8"/>
        <rFont val="Calibri"/>
        <family val="2"/>
        <scheme val="minor"/>
      </rPr>
      <t>ASSIM,T</t>
    </r>
  </si>
  <si>
    <r>
      <t>q</t>
    </r>
    <r>
      <rPr>
        <vertAlign val="subscript"/>
        <sz val="11"/>
        <color indexed="8"/>
        <rFont val="Calibri"/>
        <family val="2"/>
        <scheme val="minor"/>
      </rPr>
      <t>ASSIM</t>
    </r>
    <r>
      <rPr>
        <sz val="11"/>
        <color indexed="8"/>
        <rFont val="Calibri"/>
        <family val="2"/>
        <scheme val="minor"/>
      </rPr>
      <t>*Arrh(θ</t>
    </r>
    <r>
      <rPr>
        <vertAlign val="subscript"/>
        <sz val="11"/>
        <color indexed="8"/>
        <rFont val="Calibri"/>
        <family val="2"/>
        <scheme val="minor"/>
      </rPr>
      <t>q,ASSIM</t>
    </r>
    <r>
      <rPr>
        <sz val="11"/>
        <color indexed="8"/>
        <rFont val="Calibri"/>
        <family val="2"/>
        <scheme val="minor"/>
      </rPr>
      <t>; T; T</t>
    </r>
    <r>
      <rPr>
        <vertAlign val="subscript"/>
        <sz val="11"/>
        <color indexed="8"/>
        <rFont val="Calibri"/>
        <family val="2"/>
        <scheme val="minor"/>
      </rPr>
      <t>base</t>
    </r>
    <r>
      <rPr>
        <sz val="11"/>
        <color indexed="8"/>
        <rFont val="Calibri"/>
        <family val="2"/>
        <scheme val="minor"/>
      </rPr>
      <t>)</t>
    </r>
  </si>
  <si>
    <r>
      <t>1.82483*10^6*ρ^(0.5)*(ε*T</t>
    </r>
    <r>
      <rPr>
        <vertAlign val="subscript"/>
        <sz val="11"/>
        <rFont val="Calibri"/>
        <family val="2"/>
        <scheme val="minor"/>
      </rPr>
      <t>K</t>
    </r>
    <r>
      <rPr>
        <sz val="11"/>
        <rFont val="Calibri"/>
        <family val="2"/>
        <scheme val="minor"/>
      </rPr>
      <t>)^(-1.5)</t>
    </r>
  </si>
  <si>
    <r>
      <t>10^(-(3404.7/T</t>
    </r>
    <r>
      <rPr>
        <vertAlign val="subscript"/>
        <sz val="11"/>
        <rFont val="Calibri"/>
        <family val="2"/>
        <scheme val="minor"/>
      </rPr>
      <t>K</t>
    </r>
    <r>
      <rPr>
        <sz val="11"/>
        <rFont val="Calibri"/>
        <family val="2"/>
        <scheme val="minor"/>
      </rPr>
      <t>-14.8435+T</t>
    </r>
    <r>
      <rPr>
        <vertAlign val="subscript"/>
        <sz val="11"/>
        <rFont val="Calibri"/>
        <family val="2"/>
        <scheme val="minor"/>
      </rPr>
      <t>K</t>
    </r>
    <r>
      <rPr>
        <sz val="11"/>
        <rFont val="Calibri"/>
        <family val="2"/>
        <scheme val="minor"/>
      </rPr>
      <t>*0.03279))</t>
    </r>
  </si>
  <si>
    <r>
      <t>10^(-(2902.4/T</t>
    </r>
    <r>
      <rPr>
        <vertAlign val="subscript"/>
        <sz val="11"/>
        <rFont val="Calibri"/>
        <family val="2"/>
        <scheme val="minor"/>
      </rPr>
      <t>K</t>
    </r>
    <r>
      <rPr>
        <sz val="11"/>
        <rFont val="Calibri"/>
        <family val="2"/>
        <scheme val="minor"/>
      </rPr>
      <t>-6.498+T</t>
    </r>
    <r>
      <rPr>
        <vertAlign val="subscript"/>
        <sz val="11"/>
        <rFont val="Calibri"/>
        <family val="2"/>
        <scheme val="minor"/>
      </rPr>
      <t>K</t>
    </r>
    <r>
      <rPr>
        <sz val="11"/>
        <rFont val="Calibri"/>
        <family val="2"/>
        <scheme val="minor"/>
      </rPr>
      <t>*0.02379))</t>
    </r>
  </si>
  <si>
    <r>
      <t>10^(-(799.3/T</t>
    </r>
    <r>
      <rPr>
        <vertAlign val="subscript"/>
        <sz val="11"/>
        <rFont val="Calibri"/>
        <family val="2"/>
        <scheme val="minor"/>
      </rPr>
      <t>K</t>
    </r>
    <r>
      <rPr>
        <sz val="11"/>
        <rFont val="Calibri"/>
        <family val="2"/>
        <scheme val="minor"/>
      </rPr>
      <t>-4.5535+T</t>
    </r>
    <r>
      <rPr>
        <vertAlign val="subscript"/>
        <sz val="11"/>
        <rFont val="Calibri"/>
        <family val="2"/>
        <scheme val="minor"/>
      </rPr>
      <t>K</t>
    </r>
    <r>
      <rPr>
        <sz val="11"/>
        <rFont val="Calibri"/>
        <family val="2"/>
        <scheme val="minor"/>
      </rPr>
      <t>*0.01349))</t>
    </r>
  </si>
  <si>
    <r>
      <t>10^(-(1979.5/T</t>
    </r>
    <r>
      <rPr>
        <vertAlign val="subscript"/>
        <sz val="11"/>
        <rFont val="Calibri"/>
        <family val="2"/>
        <scheme val="minor"/>
      </rPr>
      <t>K</t>
    </r>
    <r>
      <rPr>
        <sz val="11"/>
        <rFont val="Calibri"/>
        <family val="2"/>
        <scheme val="minor"/>
      </rPr>
      <t>-5.3541+T</t>
    </r>
    <r>
      <rPr>
        <vertAlign val="subscript"/>
        <sz val="11"/>
        <rFont val="Calibri"/>
        <family val="2"/>
        <scheme val="minor"/>
      </rPr>
      <t>K</t>
    </r>
    <r>
      <rPr>
        <sz val="11"/>
        <rFont val="Calibri"/>
        <family val="2"/>
        <scheme val="minor"/>
      </rPr>
      <t>*0.01984))</t>
    </r>
  </si>
  <si>
    <r>
      <t>10^(-(1170.5/T</t>
    </r>
    <r>
      <rPr>
        <vertAlign val="subscript"/>
        <sz val="11"/>
        <rFont val="Calibri"/>
        <family val="2"/>
        <scheme val="minor"/>
      </rPr>
      <t>K</t>
    </r>
    <r>
      <rPr>
        <sz val="11"/>
        <rFont val="Calibri"/>
        <family val="2"/>
        <scheme val="minor"/>
      </rPr>
      <t>-3.165+T</t>
    </r>
    <r>
      <rPr>
        <vertAlign val="subscript"/>
        <sz val="11"/>
        <rFont val="Calibri"/>
        <family val="2"/>
        <scheme val="minor"/>
      </rPr>
      <t>K</t>
    </r>
    <r>
      <rPr>
        <sz val="11"/>
        <rFont val="Calibri"/>
        <family val="2"/>
        <scheme val="minor"/>
      </rPr>
      <t>*0.0134))</t>
    </r>
  </si>
  <si>
    <r>
      <t>T</t>
    </r>
    <r>
      <rPr>
        <vertAlign val="subscript"/>
        <sz val="11"/>
        <rFont val="Calibri"/>
        <family val="2"/>
        <scheme val="minor"/>
      </rPr>
      <t>K</t>
    </r>
  </si>
  <si>
    <r>
      <t>µ</t>
    </r>
    <r>
      <rPr>
        <vertAlign val="subscript"/>
        <sz val="11"/>
        <color indexed="8"/>
        <rFont val="Calibri"/>
        <family val="2"/>
        <scheme val="minor"/>
      </rPr>
      <t>PAO,lim,T</t>
    </r>
  </si>
  <si>
    <r>
      <t>q</t>
    </r>
    <r>
      <rPr>
        <vertAlign val="subscript"/>
        <sz val="11"/>
        <color indexed="8"/>
        <rFont val="Calibri"/>
        <family val="2"/>
        <scheme val="minor"/>
      </rPr>
      <t>SPB,T</t>
    </r>
  </si>
  <si>
    <r>
      <t>q</t>
    </r>
    <r>
      <rPr>
        <vertAlign val="subscript"/>
        <sz val="11"/>
        <color indexed="8"/>
        <rFont val="Calibri"/>
        <family val="2"/>
        <scheme val="minor"/>
      </rPr>
      <t>SPB</t>
    </r>
    <r>
      <rPr>
        <sz val="11"/>
        <color indexed="8"/>
        <rFont val="Calibri"/>
        <family val="2"/>
        <scheme val="minor"/>
      </rPr>
      <t>*Arrh(θ</t>
    </r>
    <r>
      <rPr>
        <vertAlign val="subscript"/>
        <sz val="11"/>
        <color indexed="8"/>
        <rFont val="Calibri"/>
        <family val="2"/>
        <scheme val="minor"/>
      </rPr>
      <t>q,SPB</t>
    </r>
    <r>
      <rPr>
        <sz val="11"/>
        <color indexed="8"/>
        <rFont val="Calibri"/>
        <family val="2"/>
        <scheme val="minor"/>
      </rPr>
      <t>; T; T</t>
    </r>
    <r>
      <rPr>
        <vertAlign val="subscript"/>
        <sz val="11"/>
        <color indexed="8"/>
        <rFont val="Calibri"/>
        <family val="2"/>
        <scheme val="minor"/>
      </rPr>
      <t>base</t>
    </r>
    <r>
      <rPr>
        <sz val="11"/>
        <color indexed="8"/>
        <rFont val="Calibri"/>
        <family val="2"/>
        <scheme val="minor"/>
      </rPr>
      <t>)</t>
    </r>
  </si>
  <si>
    <r>
      <t>µ</t>
    </r>
    <r>
      <rPr>
        <vertAlign val="subscript"/>
        <sz val="11"/>
        <color indexed="8"/>
        <rFont val="Calibri"/>
        <family val="2"/>
        <scheme val="minor"/>
      </rPr>
      <t>PAO,lim</t>
    </r>
    <r>
      <rPr>
        <sz val="11"/>
        <color indexed="8"/>
        <rFont val="Calibri"/>
        <family val="2"/>
        <scheme val="minor"/>
      </rPr>
      <t>*Arrh(θ</t>
    </r>
    <r>
      <rPr>
        <vertAlign val="subscript"/>
        <sz val="11"/>
        <color indexed="8"/>
        <rFont val="Calibri"/>
        <family val="2"/>
        <scheme val="minor"/>
      </rPr>
      <t>µ,PAO,lim</t>
    </r>
    <r>
      <rPr>
        <sz val="11"/>
        <color indexed="8"/>
        <rFont val="Calibri"/>
        <family val="2"/>
        <scheme val="minor"/>
      </rPr>
      <t>; T; T</t>
    </r>
    <r>
      <rPr>
        <vertAlign val="subscript"/>
        <sz val="11"/>
        <color indexed="8"/>
        <rFont val="Calibri"/>
        <family val="2"/>
        <scheme val="minor"/>
      </rPr>
      <t>base</t>
    </r>
    <r>
      <rPr>
        <sz val="11"/>
        <color indexed="8"/>
        <rFont val="Calibri"/>
        <family val="2"/>
        <scheme val="minor"/>
      </rPr>
      <t>)</t>
    </r>
  </si>
  <si>
    <r>
      <t>q</t>
    </r>
    <r>
      <rPr>
        <vertAlign val="subscript"/>
        <sz val="11"/>
        <color indexed="8"/>
        <rFont val="Calibri"/>
        <family val="2"/>
        <scheme val="minor"/>
      </rPr>
      <t>XE,T</t>
    </r>
  </si>
  <si>
    <r>
      <t>q</t>
    </r>
    <r>
      <rPr>
        <vertAlign val="subscript"/>
        <sz val="11"/>
        <color indexed="8"/>
        <rFont val="Calibri"/>
        <family val="2"/>
        <scheme val="minor"/>
      </rPr>
      <t>XE</t>
    </r>
    <r>
      <rPr>
        <sz val="11"/>
        <color indexed="8"/>
        <rFont val="Calibri"/>
        <family val="2"/>
        <scheme val="minor"/>
      </rPr>
      <t>*Arrh(θ</t>
    </r>
    <r>
      <rPr>
        <vertAlign val="subscript"/>
        <sz val="11"/>
        <color indexed="8"/>
        <rFont val="Calibri"/>
        <family val="2"/>
        <scheme val="minor"/>
      </rPr>
      <t>q,XE</t>
    </r>
    <r>
      <rPr>
        <sz val="11"/>
        <color indexed="8"/>
        <rFont val="Calibri"/>
        <family val="2"/>
        <scheme val="minor"/>
      </rPr>
      <t>; T; T</t>
    </r>
    <r>
      <rPr>
        <vertAlign val="subscript"/>
        <sz val="11"/>
        <color indexed="8"/>
        <rFont val="Calibri"/>
        <family val="2"/>
        <scheme val="minor"/>
      </rPr>
      <t>base</t>
    </r>
    <r>
      <rPr>
        <sz val="11"/>
        <color indexed="8"/>
        <rFont val="Calibri"/>
        <family val="2"/>
        <scheme val="minor"/>
      </rPr>
      <t>)</t>
    </r>
  </si>
  <si>
    <r>
      <t>q</t>
    </r>
    <r>
      <rPr>
        <vertAlign val="subscript"/>
        <sz val="11"/>
        <color indexed="8"/>
        <rFont val="Calibri"/>
        <family val="2"/>
        <scheme val="minor"/>
      </rPr>
      <t>HFO,RED,T</t>
    </r>
  </si>
  <si>
    <r>
      <t>q</t>
    </r>
    <r>
      <rPr>
        <vertAlign val="subscript"/>
        <sz val="11"/>
        <color indexed="8"/>
        <rFont val="Calibri"/>
        <family val="2"/>
        <scheme val="minor"/>
      </rPr>
      <t>HFO,RED</t>
    </r>
    <r>
      <rPr>
        <sz val="11"/>
        <color indexed="8"/>
        <rFont val="Calibri"/>
        <family val="2"/>
        <scheme val="minor"/>
      </rPr>
      <t>*Arrh(θ</t>
    </r>
    <r>
      <rPr>
        <vertAlign val="subscript"/>
        <sz val="11"/>
        <color indexed="8"/>
        <rFont val="Calibri"/>
        <family val="2"/>
        <scheme val="minor"/>
      </rPr>
      <t>q,HFO,RED</t>
    </r>
    <r>
      <rPr>
        <sz val="11"/>
        <color indexed="8"/>
        <rFont val="Calibri"/>
        <family val="2"/>
        <scheme val="minor"/>
      </rPr>
      <t>; T; T</t>
    </r>
    <r>
      <rPr>
        <vertAlign val="subscript"/>
        <sz val="11"/>
        <color indexed="8"/>
        <rFont val="Calibri"/>
        <family val="2"/>
        <scheme val="minor"/>
      </rPr>
      <t>base</t>
    </r>
    <r>
      <rPr>
        <sz val="11"/>
        <color indexed="8"/>
        <rFont val="Calibri"/>
        <family val="2"/>
        <scheme val="minor"/>
      </rPr>
      <t>)</t>
    </r>
  </si>
  <si>
    <t>%v/v</t>
  </si>
  <si>
    <r>
      <t>c</t>
    </r>
    <r>
      <rPr>
        <vertAlign val="subscript"/>
        <sz val="11"/>
        <rFont val="Calibri"/>
        <family val="2"/>
        <scheme val="minor"/>
      </rPr>
      <t>percent,Vconc</t>
    </r>
  </si>
  <si>
    <t>Conversion coefficient between percents and volumetric concentration</t>
  </si>
  <si>
    <r>
      <t>f(X</t>
    </r>
    <r>
      <rPr>
        <vertAlign val="subscript"/>
        <sz val="11"/>
        <rFont val="Calibri"/>
        <family val="2"/>
      </rPr>
      <t>INORG</t>
    </r>
    <r>
      <rPr>
        <sz val="11"/>
        <rFont val="Calibri"/>
        <family val="2"/>
      </rPr>
      <t>)</t>
    </r>
  </si>
  <si>
    <r>
      <t>IS</t>
    </r>
    <r>
      <rPr>
        <vertAlign val="subscript"/>
        <sz val="11"/>
        <rFont val="Calibri"/>
        <family val="2"/>
        <scheme val="minor"/>
      </rPr>
      <t>lim</t>
    </r>
  </si>
  <si>
    <r>
      <t>The f</t>
    </r>
    <r>
      <rPr>
        <vertAlign val="subscript"/>
        <sz val="11"/>
        <rFont val="Calibri"/>
        <family val="2"/>
        <scheme val="minor"/>
      </rPr>
      <t>mono</t>
    </r>
    <r>
      <rPr>
        <sz val="11"/>
        <rFont val="Calibri"/>
        <family val="2"/>
        <scheme val="minor"/>
      </rPr>
      <t>/f</t>
    </r>
    <r>
      <rPr>
        <vertAlign val="subscript"/>
        <sz val="11"/>
        <rFont val="Calibri"/>
        <family val="2"/>
        <scheme val="minor"/>
      </rPr>
      <t>di</t>
    </r>
    <r>
      <rPr>
        <sz val="11"/>
        <rFont val="Calibri"/>
        <family val="2"/>
        <scheme val="minor"/>
      </rPr>
      <t>/f</t>
    </r>
    <r>
      <rPr>
        <vertAlign val="subscript"/>
        <sz val="11"/>
        <rFont val="Calibri"/>
        <family val="2"/>
        <scheme val="minor"/>
      </rPr>
      <t>tri</t>
    </r>
    <r>
      <rPr>
        <sz val="11"/>
        <rFont val="Calibri"/>
        <family val="2"/>
        <scheme val="minor"/>
      </rPr>
      <t xml:space="preserve"> curves have minima at 0.3 and literally couldn't be used above that</t>
    </r>
  </si>
  <si>
    <r>
      <t>f(X</t>
    </r>
    <r>
      <rPr>
        <vertAlign val="subscript"/>
        <sz val="11"/>
        <rFont val="Calibri"/>
        <family val="2"/>
      </rPr>
      <t>N,B</t>
    </r>
    <r>
      <rPr>
        <sz val="11"/>
        <rFont val="Calibri"/>
        <family val="2"/>
      </rPr>
      <t>);f(X</t>
    </r>
    <r>
      <rPr>
        <vertAlign val="subscript"/>
        <sz val="11"/>
        <rFont val="Calibri"/>
        <family val="2"/>
      </rPr>
      <t>P,B</t>
    </r>
    <r>
      <rPr>
        <sz val="11"/>
        <rFont val="Calibri"/>
        <family val="2"/>
      </rPr>
      <t>)</t>
    </r>
  </si>
  <si>
    <t>Thermal conductivity coefficient</t>
  </si>
  <si>
    <t>Nriagu (1972); Al-Borno and Tomson (1994): 35.755 at 25°C DeltaH°: 5.05 kJ.mol-1 (small temperature dependency)</t>
  </si>
  <si>
    <r>
      <t>c</t>
    </r>
    <r>
      <rPr>
        <vertAlign val="subscript"/>
        <sz val="11"/>
        <rFont val="Calibri"/>
        <family val="2"/>
        <scheme val="minor"/>
      </rPr>
      <t>percent,fraction</t>
    </r>
  </si>
  <si>
    <t>Conversion coefficient between percents and fractions</t>
  </si>
  <si>
    <t>%</t>
  </si>
  <si>
    <r>
      <t>X</t>
    </r>
    <r>
      <rPr>
        <vertAlign val="subscript"/>
        <sz val="11"/>
        <rFont val="Calibri"/>
        <family val="2"/>
        <scheme val="minor"/>
      </rPr>
      <t xml:space="preserve">HFO </t>
    </r>
    <r>
      <rPr>
        <sz val="11"/>
        <rFont val="Calibri"/>
        <family val="2"/>
        <scheme val="minor"/>
      </rPr>
      <t>+ S</t>
    </r>
    <r>
      <rPr>
        <vertAlign val="subscript"/>
        <sz val="11"/>
        <rFont val="Calibri"/>
        <family val="2"/>
        <scheme val="minor"/>
      </rPr>
      <t>Fe2</t>
    </r>
    <r>
      <rPr>
        <sz val="11"/>
        <rFont val="Calibri"/>
        <family val="2"/>
        <scheme val="minor"/>
      </rPr>
      <t>+X</t>
    </r>
    <r>
      <rPr>
        <vertAlign val="subscript"/>
        <sz val="11"/>
        <rFont val="Calibri"/>
        <family val="2"/>
        <scheme val="minor"/>
      </rPr>
      <t>Vivi</t>
    </r>
    <r>
      <rPr>
        <sz val="11"/>
        <rFont val="Calibri"/>
        <family val="2"/>
        <scheme val="minor"/>
      </rPr>
      <t>*3*AM</t>
    </r>
    <r>
      <rPr>
        <vertAlign val="subscript"/>
        <sz val="11"/>
        <rFont val="Calibri"/>
        <family val="2"/>
        <scheme val="minor"/>
      </rPr>
      <t>Fe</t>
    </r>
    <r>
      <rPr>
        <sz val="11"/>
        <rFont val="Calibri"/>
        <family val="2"/>
        <scheme val="minor"/>
      </rPr>
      <t>/MM</t>
    </r>
    <r>
      <rPr>
        <vertAlign val="subscript"/>
        <sz val="11"/>
        <rFont val="Calibri"/>
        <family val="2"/>
        <scheme val="minor"/>
      </rPr>
      <t>Vivi</t>
    </r>
  </si>
  <si>
    <r>
      <t>[H</t>
    </r>
    <r>
      <rPr>
        <vertAlign val="superscript"/>
        <sz val="11"/>
        <rFont val="Calibri"/>
        <family val="2"/>
        <scheme val="minor"/>
      </rPr>
      <t>+</t>
    </r>
    <r>
      <rPr>
        <sz val="11"/>
        <rFont val="Calibri"/>
        <family val="2"/>
        <scheme val="minor"/>
      </rPr>
      <t>]</t>
    </r>
    <r>
      <rPr>
        <vertAlign val="subscript"/>
        <sz val="11"/>
        <rFont val="Calibri"/>
        <family val="2"/>
        <scheme val="minor"/>
      </rPr>
      <t>eq</t>
    </r>
    <r>
      <rPr>
        <sz val="11"/>
        <rFont val="Calibri"/>
        <family val="2"/>
        <scheme val="minor"/>
      </rPr>
      <t>*K</t>
    </r>
    <r>
      <rPr>
        <vertAlign val="subscript"/>
        <sz val="11"/>
        <rFont val="Calibri"/>
        <family val="2"/>
        <scheme val="minor"/>
      </rPr>
      <t>P2</t>
    </r>
    <r>
      <rPr>
        <sz val="11"/>
        <rFont val="Calibri"/>
        <family val="2"/>
        <scheme val="minor"/>
      </rPr>
      <t>/([H</t>
    </r>
    <r>
      <rPr>
        <vertAlign val="superscript"/>
        <sz val="11"/>
        <rFont val="Calibri"/>
        <family val="2"/>
        <scheme val="minor"/>
      </rPr>
      <t>+</t>
    </r>
    <r>
      <rPr>
        <sz val="11"/>
        <rFont val="Calibri"/>
        <family val="2"/>
        <scheme val="minor"/>
      </rPr>
      <t>]</t>
    </r>
    <r>
      <rPr>
        <vertAlign val="subscript"/>
        <sz val="11"/>
        <rFont val="Calibri"/>
        <family val="2"/>
        <scheme val="minor"/>
      </rPr>
      <t>eq</t>
    </r>
    <r>
      <rPr>
        <sz val="11"/>
        <rFont val="Calibri"/>
        <family val="2"/>
        <scheme val="minor"/>
      </rPr>
      <t>^3+[H</t>
    </r>
    <r>
      <rPr>
        <vertAlign val="superscript"/>
        <sz val="11"/>
        <rFont val="Calibri"/>
        <family val="2"/>
        <scheme val="minor"/>
      </rPr>
      <t>+</t>
    </r>
    <r>
      <rPr>
        <sz val="11"/>
        <rFont val="Calibri"/>
        <family val="2"/>
        <scheme val="minor"/>
      </rPr>
      <t>]</t>
    </r>
    <r>
      <rPr>
        <vertAlign val="subscript"/>
        <sz val="11"/>
        <rFont val="Calibri"/>
        <family val="2"/>
        <scheme val="minor"/>
      </rPr>
      <t>eq</t>
    </r>
    <r>
      <rPr>
        <sz val="11"/>
        <rFont val="Calibri"/>
        <family val="2"/>
        <scheme val="minor"/>
      </rPr>
      <t>^2*K</t>
    </r>
    <r>
      <rPr>
        <vertAlign val="subscript"/>
        <sz val="11"/>
        <rFont val="Calibri"/>
        <family val="2"/>
        <scheme val="minor"/>
      </rPr>
      <t>P1</t>
    </r>
    <r>
      <rPr>
        <sz val="11"/>
        <rFont val="Calibri"/>
        <family val="2"/>
        <scheme val="minor"/>
      </rPr>
      <t>+K</t>
    </r>
    <r>
      <rPr>
        <vertAlign val="subscript"/>
        <sz val="11"/>
        <rFont val="Calibri"/>
        <family val="2"/>
        <scheme val="minor"/>
      </rPr>
      <t>P2</t>
    </r>
    <r>
      <rPr>
        <sz val="11"/>
        <rFont val="Calibri"/>
        <family val="2"/>
        <scheme val="minor"/>
      </rPr>
      <t>*[H</t>
    </r>
    <r>
      <rPr>
        <vertAlign val="superscript"/>
        <sz val="11"/>
        <rFont val="Calibri"/>
        <family val="2"/>
        <scheme val="minor"/>
      </rPr>
      <t>+</t>
    </r>
    <r>
      <rPr>
        <sz val="11"/>
        <rFont val="Calibri"/>
        <family val="2"/>
        <scheme val="minor"/>
      </rPr>
      <t>]</t>
    </r>
    <r>
      <rPr>
        <vertAlign val="subscript"/>
        <sz val="11"/>
        <rFont val="Calibri"/>
        <family val="2"/>
        <scheme val="minor"/>
      </rPr>
      <t>eq</t>
    </r>
    <r>
      <rPr>
        <sz val="11"/>
        <rFont val="Calibri"/>
        <family val="2"/>
        <scheme val="minor"/>
      </rPr>
      <t>*K</t>
    </r>
    <r>
      <rPr>
        <vertAlign val="subscript"/>
        <sz val="11"/>
        <rFont val="Calibri"/>
        <family val="2"/>
        <scheme val="minor"/>
      </rPr>
      <t>P1</t>
    </r>
    <r>
      <rPr>
        <sz val="11"/>
        <rFont val="Calibri"/>
        <family val="2"/>
        <scheme val="minor"/>
      </rPr>
      <t>+K</t>
    </r>
    <r>
      <rPr>
        <vertAlign val="subscript"/>
        <sz val="11"/>
        <rFont val="Calibri"/>
        <family val="2"/>
        <scheme val="minor"/>
      </rPr>
      <t>P2</t>
    </r>
    <r>
      <rPr>
        <sz val="11"/>
        <rFont val="Calibri"/>
        <family val="2"/>
        <scheme val="minor"/>
      </rPr>
      <t>*K</t>
    </r>
    <r>
      <rPr>
        <vertAlign val="subscript"/>
        <sz val="11"/>
        <rFont val="Calibri"/>
        <family val="2"/>
        <scheme val="minor"/>
      </rPr>
      <t>P1</t>
    </r>
    <r>
      <rPr>
        <sz val="11"/>
        <rFont val="Calibri"/>
        <family val="2"/>
        <scheme val="minor"/>
      </rPr>
      <t>*K</t>
    </r>
    <r>
      <rPr>
        <vertAlign val="subscript"/>
        <sz val="11"/>
        <rFont val="Calibri"/>
        <family val="2"/>
        <scheme val="minor"/>
      </rPr>
      <t>P3</t>
    </r>
    <r>
      <rPr>
        <sz val="11"/>
        <rFont val="Calibri"/>
        <family val="2"/>
        <scheme val="minor"/>
      </rPr>
      <t>)*K</t>
    </r>
    <r>
      <rPr>
        <vertAlign val="subscript"/>
        <sz val="11"/>
        <rFont val="Calibri"/>
        <family val="2"/>
        <scheme val="minor"/>
      </rPr>
      <t>P1</t>
    </r>
    <r>
      <rPr>
        <sz val="11"/>
        <rFont val="Calibri"/>
        <family val="2"/>
        <scheme val="minor"/>
      </rPr>
      <t>*S</t>
    </r>
    <r>
      <rPr>
        <vertAlign val="subscript"/>
        <sz val="11"/>
        <rFont val="Calibri"/>
        <family val="2"/>
        <scheme val="minor"/>
      </rPr>
      <t>PO4</t>
    </r>
    <r>
      <rPr>
        <sz val="11"/>
        <rFont val="Calibri"/>
        <family val="2"/>
        <scheme val="minor"/>
      </rPr>
      <t>/(AM</t>
    </r>
    <r>
      <rPr>
        <vertAlign val="subscript"/>
        <sz val="11"/>
        <rFont val="Calibri"/>
        <family val="2"/>
        <scheme val="minor"/>
      </rPr>
      <t>P</t>
    </r>
    <r>
      <rPr>
        <sz val="11"/>
        <rFont val="Calibri"/>
        <family val="2"/>
        <scheme val="minor"/>
      </rPr>
      <t>*1000)</t>
    </r>
  </si>
  <si>
    <r>
      <t>[H</t>
    </r>
    <r>
      <rPr>
        <vertAlign val="superscript"/>
        <sz val="11"/>
        <rFont val="Calibri"/>
        <family val="2"/>
        <scheme val="minor"/>
      </rPr>
      <t>+</t>
    </r>
    <r>
      <rPr>
        <sz val="11"/>
        <rFont val="Calibri"/>
        <family val="2"/>
        <scheme val="minor"/>
      </rPr>
      <t>]</t>
    </r>
    <r>
      <rPr>
        <vertAlign val="subscript"/>
        <sz val="11"/>
        <rFont val="Calibri"/>
        <family val="2"/>
        <scheme val="minor"/>
      </rPr>
      <t>eq</t>
    </r>
    <r>
      <rPr>
        <sz val="11"/>
        <rFont val="Calibri"/>
        <family val="2"/>
        <scheme val="minor"/>
      </rPr>
      <t>^2*K</t>
    </r>
    <r>
      <rPr>
        <vertAlign val="subscript"/>
        <sz val="11"/>
        <rFont val="Calibri"/>
        <family val="2"/>
        <scheme val="minor"/>
      </rPr>
      <t>P1</t>
    </r>
    <r>
      <rPr>
        <sz val="11"/>
        <rFont val="Calibri"/>
        <family val="2"/>
        <scheme val="minor"/>
      </rPr>
      <t>*S</t>
    </r>
    <r>
      <rPr>
        <vertAlign val="subscript"/>
        <sz val="11"/>
        <rFont val="Calibri"/>
        <family val="2"/>
        <scheme val="minor"/>
      </rPr>
      <t>PO4</t>
    </r>
    <r>
      <rPr>
        <sz val="11"/>
        <rFont val="Calibri"/>
        <family val="2"/>
        <scheme val="minor"/>
      </rPr>
      <t>/(AM</t>
    </r>
    <r>
      <rPr>
        <vertAlign val="subscript"/>
        <sz val="11"/>
        <rFont val="Calibri"/>
        <family val="2"/>
        <scheme val="minor"/>
      </rPr>
      <t>P</t>
    </r>
    <r>
      <rPr>
        <sz val="11"/>
        <rFont val="Calibri"/>
        <family val="2"/>
        <scheme val="minor"/>
      </rPr>
      <t>*1000)/([H</t>
    </r>
    <r>
      <rPr>
        <vertAlign val="superscript"/>
        <sz val="11"/>
        <rFont val="Calibri"/>
        <family val="2"/>
        <scheme val="minor"/>
      </rPr>
      <t>+</t>
    </r>
    <r>
      <rPr>
        <sz val="11"/>
        <rFont val="Calibri"/>
        <family val="2"/>
        <scheme val="minor"/>
      </rPr>
      <t>]</t>
    </r>
    <r>
      <rPr>
        <vertAlign val="subscript"/>
        <sz val="11"/>
        <rFont val="Calibri"/>
        <family val="2"/>
        <scheme val="minor"/>
      </rPr>
      <t>eq</t>
    </r>
    <r>
      <rPr>
        <sz val="11"/>
        <rFont val="Calibri"/>
        <family val="2"/>
        <scheme val="minor"/>
      </rPr>
      <t>^3+[H</t>
    </r>
    <r>
      <rPr>
        <vertAlign val="superscript"/>
        <sz val="11"/>
        <rFont val="Calibri"/>
        <family val="2"/>
        <scheme val="minor"/>
      </rPr>
      <t>+</t>
    </r>
    <r>
      <rPr>
        <sz val="11"/>
        <rFont val="Calibri"/>
        <family val="2"/>
        <scheme val="minor"/>
      </rPr>
      <t>]</t>
    </r>
    <r>
      <rPr>
        <vertAlign val="subscript"/>
        <sz val="11"/>
        <rFont val="Calibri"/>
        <family val="2"/>
        <scheme val="minor"/>
      </rPr>
      <t>eq</t>
    </r>
    <r>
      <rPr>
        <sz val="11"/>
        <rFont val="Calibri"/>
        <family val="2"/>
        <scheme val="minor"/>
      </rPr>
      <t>^2*K</t>
    </r>
    <r>
      <rPr>
        <vertAlign val="subscript"/>
        <sz val="11"/>
        <rFont val="Calibri"/>
        <family val="2"/>
        <scheme val="minor"/>
      </rPr>
      <t>P1</t>
    </r>
    <r>
      <rPr>
        <sz val="11"/>
        <rFont val="Calibri"/>
        <family val="2"/>
        <scheme val="minor"/>
      </rPr>
      <t>+K</t>
    </r>
    <r>
      <rPr>
        <vertAlign val="subscript"/>
        <sz val="11"/>
        <rFont val="Calibri"/>
        <family val="2"/>
        <scheme val="minor"/>
      </rPr>
      <t>P2</t>
    </r>
    <r>
      <rPr>
        <sz val="11"/>
        <rFont val="Calibri"/>
        <family val="2"/>
        <scheme val="minor"/>
      </rPr>
      <t>*[H</t>
    </r>
    <r>
      <rPr>
        <vertAlign val="superscript"/>
        <sz val="11"/>
        <rFont val="Calibri"/>
        <family val="2"/>
        <scheme val="minor"/>
      </rPr>
      <t>+</t>
    </r>
    <r>
      <rPr>
        <sz val="11"/>
        <rFont val="Calibri"/>
        <family val="2"/>
        <scheme val="minor"/>
      </rPr>
      <t>]</t>
    </r>
    <r>
      <rPr>
        <vertAlign val="subscript"/>
        <sz val="11"/>
        <rFont val="Calibri"/>
        <family val="2"/>
        <scheme val="minor"/>
      </rPr>
      <t>eq</t>
    </r>
    <r>
      <rPr>
        <sz val="11"/>
        <rFont val="Calibri"/>
        <family val="2"/>
        <scheme val="minor"/>
      </rPr>
      <t>*K</t>
    </r>
    <r>
      <rPr>
        <vertAlign val="subscript"/>
        <sz val="11"/>
        <rFont val="Calibri"/>
        <family val="2"/>
        <scheme val="minor"/>
      </rPr>
      <t>P1</t>
    </r>
    <r>
      <rPr>
        <sz val="11"/>
        <rFont val="Calibri"/>
        <family val="2"/>
        <scheme val="minor"/>
      </rPr>
      <t>+K</t>
    </r>
    <r>
      <rPr>
        <vertAlign val="subscript"/>
        <sz val="11"/>
        <rFont val="Calibri"/>
        <family val="2"/>
        <scheme val="minor"/>
      </rPr>
      <t>P2</t>
    </r>
    <r>
      <rPr>
        <sz val="11"/>
        <rFont val="Calibri"/>
        <family val="2"/>
        <scheme val="minor"/>
      </rPr>
      <t>*K</t>
    </r>
    <r>
      <rPr>
        <vertAlign val="subscript"/>
        <sz val="11"/>
        <rFont val="Calibri"/>
        <family val="2"/>
        <scheme val="minor"/>
      </rPr>
      <t>P1</t>
    </r>
    <r>
      <rPr>
        <sz val="11"/>
        <rFont val="Calibri"/>
        <family val="2"/>
        <scheme val="minor"/>
      </rPr>
      <t>*K</t>
    </r>
    <r>
      <rPr>
        <vertAlign val="subscript"/>
        <sz val="11"/>
        <rFont val="Calibri"/>
        <family val="2"/>
        <scheme val="minor"/>
      </rPr>
      <t>P3</t>
    </r>
    <r>
      <rPr>
        <sz val="11"/>
        <rFont val="Calibri"/>
        <family val="2"/>
        <scheme val="minor"/>
      </rPr>
      <t>)</t>
    </r>
  </si>
  <si>
    <r>
      <t>eq ALK.L</t>
    </r>
    <r>
      <rPr>
        <vertAlign val="superscript"/>
        <sz val="11"/>
        <color theme="1"/>
        <rFont val="Calibri"/>
        <family val="2"/>
        <scheme val="minor"/>
      </rPr>
      <t>-1</t>
    </r>
  </si>
  <si>
    <r>
      <t>eq.L</t>
    </r>
    <r>
      <rPr>
        <vertAlign val="superscript"/>
        <sz val="11"/>
        <color theme="1"/>
        <rFont val="Calibri"/>
        <family val="2"/>
        <scheme val="minor"/>
      </rPr>
      <t>-1</t>
    </r>
  </si>
  <si>
    <t>PUR</t>
  </si>
  <si>
    <t>Phosphorus uptake rate (PUR)</t>
  </si>
  <si>
    <r>
      <t>g P.m</t>
    </r>
    <r>
      <rPr>
        <vertAlign val="superscript"/>
        <sz val="11"/>
        <rFont val="Calibri"/>
        <family val="2"/>
        <scheme val="minor"/>
      </rPr>
      <t>-3</t>
    </r>
    <r>
      <rPr>
        <sz val="11"/>
        <rFont val="Calibri"/>
        <family val="2"/>
        <scheme val="minor"/>
      </rPr>
      <t>.d</t>
    </r>
    <r>
      <rPr>
        <vertAlign val="superscript"/>
        <sz val="11"/>
        <rFont val="Calibri"/>
        <family val="2"/>
        <scheme val="minor"/>
      </rPr>
      <t>-1</t>
    </r>
  </si>
  <si>
    <r>
      <t>PUR</t>
    </r>
    <r>
      <rPr>
        <vertAlign val="subscript"/>
        <sz val="11"/>
        <rFont val="Calibri"/>
        <family val="2"/>
        <scheme val="minor"/>
      </rPr>
      <t>BIO</t>
    </r>
  </si>
  <si>
    <r>
      <t>PUR</t>
    </r>
    <r>
      <rPr>
        <vertAlign val="subscript"/>
        <sz val="11"/>
        <rFont val="Calibri"/>
        <family val="2"/>
        <scheme val="minor"/>
      </rPr>
      <t>CHEM</t>
    </r>
  </si>
  <si>
    <t>PRR</t>
  </si>
  <si>
    <t>Phosphorus release rate (PRR)</t>
  </si>
  <si>
    <r>
      <t>g N.g COD</t>
    </r>
    <r>
      <rPr>
        <vertAlign val="superscript"/>
        <sz val="11"/>
        <rFont val="Calibri"/>
        <family val="2"/>
        <scheme val="minor"/>
      </rPr>
      <t>-1</t>
    </r>
  </si>
  <si>
    <r>
      <t>g P.g COD</t>
    </r>
    <r>
      <rPr>
        <vertAlign val="superscript"/>
        <sz val="11"/>
        <rFont val="Calibri"/>
        <family val="2"/>
        <scheme val="minor"/>
      </rPr>
      <t>-1</t>
    </r>
  </si>
  <si>
    <r>
      <t>g COD.g VSS</t>
    </r>
    <r>
      <rPr>
        <vertAlign val="superscript"/>
        <sz val="11"/>
        <rFont val="Calibri"/>
        <family val="2"/>
        <scheme val="minor"/>
      </rPr>
      <t>-1</t>
    </r>
  </si>
  <si>
    <r>
      <t>g COD.g VS</t>
    </r>
    <r>
      <rPr>
        <vertAlign val="superscript"/>
        <sz val="11"/>
        <rFont val="Calibri"/>
        <family val="2"/>
        <scheme val="minor"/>
      </rPr>
      <t>-1</t>
    </r>
  </si>
  <si>
    <r>
      <t>g TIC.g COD</t>
    </r>
    <r>
      <rPr>
        <vertAlign val="superscript"/>
        <sz val="11"/>
        <rFont val="Calibri"/>
        <family val="2"/>
      </rPr>
      <t>-1</t>
    </r>
  </si>
  <si>
    <r>
      <t>g N.g TSS</t>
    </r>
    <r>
      <rPr>
        <vertAlign val="superscript"/>
        <sz val="11"/>
        <rFont val="Calibri"/>
        <family val="2"/>
        <scheme val="minor"/>
      </rPr>
      <t>-1</t>
    </r>
  </si>
  <si>
    <r>
      <t>g P.g TSS</t>
    </r>
    <r>
      <rPr>
        <vertAlign val="superscript"/>
        <sz val="11"/>
        <rFont val="Calibri"/>
        <family val="2"/>
        <scheme val="minor"/>
      </rPr>
      <t>-1</t>
    </r>
  </si>
  <si>
    <r>
      <t>mol Ca.mol P</t>
    </r>
    <r>
      <rPr>
        <vertAlign val="superscript"/>
        <sz val="11"/>
        <rFont val="Calibri"/>
        <family val="2"/>
        <scheme val="minor"/>
      </rPr>
      <t>-1</t>
    </r>
  </si>
  <si>
    <r>
      <t>mol Mg.mol P</t>
    </r>
    <r>
      <rPr>
        <vertAlign val="superscript"/>
        <sz val="11"/>
        <rFont val="Calibri"/>
        <family val="2"/>
        <scheme val="minor"/>
      </rPr>
      <t>-1</t>
    </r>
  </si>
  <si>
    <r>
      <t>mol P.mol Fe</t>
    </r>
    <r>
      <rPr>
        <vertAlign val="superscript"/>
        <sz val="11"/>
        <rFont val="Calibri"/>
        <family val="2"/>
        <scheme val="minor"/>
      </rPr>
      <t>-1</t>
    </r>
  </si>
  <si>
    <t>Check the species does exist in the systemcode.xlsx file</t>
  </si>
  <si>
    <t>On Constants Tab add the required thermodynamic constants and molecular masses</t>
  </si>
  <si>
    <t>In Process code/System files/systemcode.xlsx (if necessary)</t>
  </si>
  <si>
    <t>On Functions Tab add the required custom functions</t>
  </si>
  <si>
    <t>In your Model workbook, unhide the systemcode_constants and systemcode_functions and delete them</t>
  </si>
  <si>
    <t>Copy the Constants and Functions Tab from systemcode.xlsx into your Model workbook and renamed them systemcode_constants and systemcode_functions respectively</t>
  </si>
  <si>
    <t>Steps before starting a new model/modifying an existing one</t>
  </si>
  <si>
    <t>Please check that your macros are at the same version than the Sumo models you are using.</t>
  </si>
  <si>
    <t>Please make sure your systemcode tabs are up-to-date. If not:</t>
  </si>
  <si>
    <t>unhide tabs starting with "systemcode_"</t>
  </si>
  <si>
    <t>delete these tabs</t>
  </si>
  <si>
    <t>open the latest systemcode.xlsx</t>
  </si>
  <si>
    <t>copy functions and constants into your model file to replace the deleted ones</t>
  </si>
  <si>
    <t>rename them to systemcode_&lt;original name&gt;</t>
  </si>
  <si>
    <t> If you add a new chemical species , please verify that it does exist in the systemcode.xlsx Species tab</t>
  </si>
  <si>
    <t>If it does not exist yet, it has to be added</t>
  </si>
  <si>
    <r>
      <t>K</t>
    </r>
    <r>
      <rPr>
        <vertAlign val="subscript"/>
        <sz val="11"/>
        <rFont val="Calibri"/>
        <family val="2"/>
        <scheme val="minor"/>
      </rPr>
      <t>VFA,AS</t>
    </r>
  </si>
  <si>
    <r>
      <t>K</t>
    </r>
    <r>
      <rPr>
        <vertAlign val="subscript"/>
        <sz val="11"/>
        <rFont val="Calibri"/>
        <family val="2"/>
        <scheme val="minor"/>
      </rPr>
      <t>MEOL,OHO,AS</t>
    </r>
  </si>
  <si>
    <r>
      <t>K</t>
    </r>
    <r>
      <rPr>
        <vertAlign val="subscript"/>
        <sz val="11"/>
        <rFont val="Calibri"/>
        <family val="2"/>
        <scheme val="minor"/>
      </rPr>
      <t>O2,OHO,AS</t>
    </r>
  </si>
  <si>
    <r>
      <t>K</t>
    </r>
    <r>
      <rPr>
        <vertAlign val="subscript"/>
        <sz val="11"/>
        <rFont val="Calibri"/>
        <family val="2"/>
        <scheme val="minor"/>
      </rPr>
      <t>NO3,OHO,AS</t>
    </r>
  </si>
  <si>
    <r>
      <t>K</t>
    </r>
    <r>
      <rPr>
        <vertAlign val="subscript"/>
        <sz val="11"/>
        <rFont val="Calibri"/>
        <family val="2"/>
        <scheme val="minor"/>
      </rPr>
      <t>MEOL,AS</t>
    </r>
  </si>
  <si>
    <r>
      <t>K</t>
    </r>
    <r>
      <rPr>
        <vertAlign val="subscript"/>
        <sz val="11"/>
        <rFont val="Calibri"/>
        <family val="2"/>
        <scheme val="minor"/>
      </rPr>
      <t>NO3,MEOLO,AS</t>
    </r>
  </si>
  <si>
    <r>
      <t>K</t>
    </r>
    <r>
      <rPr>
        <vertAlign val="subscript"/>
        <sz val="11"/>
        <rFont val="Calibri"/>
        <family val="2"/>
        <scheme val="minor"/>
      </rPr>
      <t>PO4,PAO,AS</t>
    </r>
  </si>
  <si>
    <r>
      <t>K</t>
    </r>
    <r>
      <rPr>
        <vertAlign val="subscript"/>
        <sz val="11"/>
        <rFont val="Calibri"/>
        <family val="2"/>
        <scheme val="minor"/>
      </rPr>
      <t>Mg,PAO,AS</t>
    </r>
  </si>
  <si>
    <r>
      <t>K</t>
    </r>
    <r>
      <rPr>
        <vertAlign val="subscript"/>
        <sz val="11"/>
        <rFont val="Calibri"/>
        <family val="2"/>
        <scheme val="minor"/>
      </rPr>
      <t>K,PAO,AS</t>
    </r>
  </si>
  <si>
    <r>
      <t>K</t>
    </r>
    <r>
      <rPr>
        <vertAlign val="subscript"/>
        <sz val="11"/>
        <rFont val="Calibri"/>
        <family val="2"/>
        <scheme val="minor"/>
      </rPr>
      <t>Ca,PAO,AS</t>
    </r>
  </si>
  <si>
    <r>
      <t>K</t>
    </r>
    <r>
      <rPr>
        <vertAlign val="subscript"/>
        <sz val="11"/>
        <rFont val="Calibri"/>
        <family val="2"/>
        <scheme val="minor"/>
      </rPr>
      <t>VFA,AMETO,AS</t>
    </r>
  </si>
  <si>
    <r>
      <t>K</t>
    </r>
    <r>
      <rPr>
        <vertAlign val="subscript"/>
        <sz val="11"/>
        <color indexed="8"/>
        <rFont val="Calibri"/>
        <family val="2"/>
        <scheme val="minor"/>
      </rPr>
      <t>H2,HMETO,AS</t>
    </r>
  </si>
  <si>
    <r>
      <t>K</t>
    </r>
    <r>
      <rPr>
        <vertAlign val="subscript"/>
        <sz val="11"/>
        <rFont val="Calibri"/>
        <family val="2"/>
        <scheme val="minor"/>
      </rPr>
      <t>NHx,BIO,AS</t>
    </r>
  </si>
  <si>
    <r>
      <t>K</t>
    </r>
    <r>
      <rPr>
        <vertAlign val="subscript"/>
        <sz val="11"/>
        <rFont val="Calibri"/>
        <family val="2"/>
        <scheme val="minor"/>
      </rPr>
      <t>PO4,BIO,AS</t>
    </r>
  </si>
  <si>
    <r>
      <t>K</t>
    </r>
    <r>
      <rPr>
        <vertAlign val="subscript"/>
        <sz val="11"/>
        <color indexed="8"/>
        <rFont val="Calibri"/>
        <family val="2"/>
        <scheme val="minor"/>
      </rPr>
      <t>CO2,BIO,AS</t>
    </r>
  </si>
  <si>
    <r>
      <t>K</t>
    </r>
    <r>
      <rPr>
        <vertAlign val="subscript"/>
        <sz val="11"/>
        <rFont val="Calibri"/>
        <family val="2"/>
        <scheme val="minor"/>
      </rPr>
      <t>CAT,AS</t>
    </r>
  </si>
  <si>
    <r>
      <t>K</t>
    </r>
    <r>
      <rPr>
        <vertAlign val="subscript"/>
        <sz val="11"/>
        <rFont val="Calibri"/>
        <family val="2"/>
        <scheme val="minor"/>
      </rPr>
      <t>AN,AS</t>
    </r>
  </si>
  <si>
    <r>
      <t>K</t>
    </r>
    <r>
      <rPr>
        <vertAlign val="subscript"/>
        <sz val="11"/>
        <color indexed="8"/>
        <rFont val="Calibri"/>
        <family val="2"/>
        <scheme val="minor"/>
      </rPr>
      <t>HYD,AS</t>
    </r>
  </si>
  <si>
    <r>
      <t>K</t>
    </r>
    <r>
      <rPr>
        <vertAlign val="subscript"/>
        <sz val="11"/>
        <rFont val="Calibri"/>
        <family val="2"/>
        <scheme val="minor"/>
      </rPr>
      <t>H2,HMETO,AS</t>
    </r>
  </si>
  <si>
    <r>
      <t>K</t>
    </r>
    <r>
      <rPr>
        <vertAlign val="subscript"/>
        <sz val="11"/>
        <rFont val="Calibri"/>
        <family val="2"/>
        <scheme val="minor"/>
      </rPr>
      <t>CO2,BIO,AS</t>
    </r>
  </si>
  <si>
    <r>
      <t>K</t>
    </r>
    <r>
      <rPr>
        <vertAlign val="subscript"/>
        <sz val="11"/>
        <rFont val="Calibri"/>
        <family val="2"/>
        <scheme val="minor"/>
      </rPr>
      <t>HYD,AS</t>
    </r>
  </si>
  <si>
    <r>
      <t>Minh(S</t>
    </r>
    <r>
      <rPr>
        <vertAlign val="subscript"/>
        <sz val="11"/>
        <rFont val="Calibri"/>
        <family val="2"/>
        <scheme val="minor"/>
      </rPr>
      <t>O2</t>
    </r>
    <r>
      <rPr>
        <sz val="11"/>
        <rFont val="Calibri"/>
        <family val="2"/>
        <scheme val="minor"/>
      </rPr>
      <t>;K</t>
    </r>
    <r>
      <rPr>
        <vertAlign val="subscript"/>
        <sz val="11"/>
        <rFont val="Calibri"/>
        <family val="2"/>
        <scheme val="minor"/>
      </rPr>
      <t>O2,OHO</t>
    </r>
    <r>
      <rPr>
        <sz val="11"/>
        <rFont val="Calibri"/>
        <family val="2"/>
        <scheme val="minor"/>
      </rPr>
      <t>)</t>
    </r>
  </si>
  <si>
    <t>pH related inhibiton functions</t>
  </si>
  <si>
    <r>
      <t>g Fe.m</t>
    </r>
    <r>
      <rPr>
        <vertAlign val="superscript"/>
        <sz val="11"/>
        <rFont val="Calibri"/>
        <family val="2"/>
        <scheme val="minor"/>
      </rPr>
      <t>-3</t>
    </r>
  </si>
  <si>
    <r>
      <t>mol [HCO</t>
    </r>
    <r>
      <rPr>
        <vertAlign val="subscript"/>
        <sz val="11"/>
        <rFont val="Calibri"/>
        <family val="2"/>
        <scheme val="minor"/>
      </rPr>
      <t>3</t>
    </r>
    <r>
      <rPr>
        <vertAlign val="superscript"/>
        <sz val="11"/>
        <rFont val="Calibri"/>
        <family val="2"/>
        <scheme val="minor"/>
      </rPr>
      <t>-</t>
    </r>
    <r>
      <rPr>
        <sz val="11"/>
        <rFont val="Calibri"/>
        <family val="2"/>
        <scheme val="minor"/>
      </rPr>
      <t>].L</t>
    </r>
    <r>
      <rPr>
        <vertAlign val="superscript"/>
        <sz val="11"/>
        <rFont val="Calibri"/>
        <family val="2"/>
        <scheme val="minor"/>
      </rPr>
      <t>-1</t>
    </r>
  </si>
  <si>
    <r>
      <t>g P.m</t>
    </r>
    <r>
      <rPr>
        <vertAlign val="superscript"/>
        <sz val="11"/>
        <rFont val="Calibri"/>
        <family val="2"/>
        <scheme val="minor"/>
      </rPr>
      <t>-3</t>
    </r>
    <r>
      <rPr>
        <sz val="11"/>
        <color theme="1"/>
        <rFont val="Calibri"/>
        <family val="2"/>
        <scheme val="minor"/>
      </rPr>
      <t/>
    </r>
  </si>
  <si>
    <r>
      <t>g Na.m</t>
    </r>
    <r>
      <rPr>
        <vertAlign val="superscript"/>
        <sz val="11"/>
        <rFont val="Calibri"/>
        <family val="2"/>
        <scheme val="minor"/>
      </rPr>
      <t>-3</t>
    </r>
    <r>
      <rPr>
        <sz val="11"/>
        <color theme="1"/>
        <rFont val="Calibri"/>
        <family val="2"/>
        <scheme val="minor"/>
      </rPr>
      <t/>
    </r>
  </si>
  <si>
    <r>
      <t>g Cl.m</t>
    </r>
    <r>
      <rPr>
        <vertAlign val="superscript"/>
        <sz val="11"/>
        <rFont val="Calibri"/>
        <family val="2"/>
        <scheme val="minor"/>
      </rPr>
      <t>-3</t>
    </r>
    <r>
      <rPr>
        <sz val="11"/>
        <color theme="1"/>
        <rFont val="Calibri"/>
        <family val="2"/>
        <scheme val="minor"/>
      </rPr>
      <t/>
    </r>
  </si>
  <si>
    <r>
      <t>mol [HCO</t>
    </r>
    <r>
      <rPr>
        <vertAlign val="subscript"/>
        <sz val="11"/>
        <color indexed="8"/>
        <rFont val="Calibri"/>
        <family val="2"/>
        <scheme val="minor"/>
      </rPr>
      <t>3</t>
    </r>
    <r>
      <rPr>
        <vertAlign val="superscript"/>
        <sz val="11"/>
        <color indexed="8"/>
        <rFont val="Calibri"/>
        <family val="2"/>
        <scheme val="minor"/>
      </rPr>
      <t>-</t>
    </r>
    <r>
      <rPr>
        <sz val="11"/>
        <color indexed="8"/>
        <rFont val="Calibri"/>
        <family val="2"/>
        <scheme val="minor"/>
      </rPr>
      <t>].L</t>
    </r>
    <r>
      <rPr>
        <vertAlign val="superscript"/>
        <sz val="11"/>
        <color indexed="8"/>
        <rFont val="Calibri"/>
        <family val="2"/>
        <scheme val="minor"/>
      </rPr>
      <t>-1</t>
    </r>
  </si>
  <si>
    <r>
      <t>mol K.mol P</t>
    </r>
    <r>
      <rPr>
        <vertAlign val="superscript"/>
        <sz val="11"/>
        <rFont val="Calibri"/>
        <family val="2"/>
        <scheme val="minor"/>
      </rPr>
      <t>-1</t>
    </r>
  </si>
  <si>
    <r>
      <t>g Na.g NaCl</t>
    </r>
    <r>
      <rPr>
        <vertAlign val="superscript"/>
        <sz val="11"/>
        <rFont val="Calibri"/>
        <family val="2"/>
        <scheme val="minor"/>
      </rPr>
      <t>-1</t>
    </r>
  </si>
  <si>
    <t>Activated sludge</t>
  </si>
  <si>
    <t>VSS/TSS ratio</t>
  </si>
  <si>
    <r>
      <t>X</t>
    </r>
    <r>
      <rPr>
        <vertAlign val="subscript"/>
        <sz val="11"/>
        <rFont val="Calibri"/>
        <family val="2"/>
        <scheme val="minor"/>
      </rPr>
      <t>VSS</t>
    </r>
    <r>
      <rPr>
        <sz val="11"/>
        <rFont val="Calibri"/>
        <family val="2"/>
        <scheme val="minor"/>
      </rPr>
      <t>/X</t>
    </r>
    <r>
      <rPr>
        <vertAlign val="subscript"/>
        <sz val="11"/>
        <rFont val="Calibri"/>
        <family val="2"/>
        <scheme val="minor"/>
      </rPr>
      <t>TSS</t>
    </r>
  </si>
  <si>
    <r>
      <t>m</t>
    </r>
    <r>
      <rPr>
        <vertAlign val="subscript"/>
        <sz val="11"/>
        <rFont val="Calibri"/>
        <family val="2"/>
        <scheme val="minor"/>
      </rPr>
      <t>tox,anox</t>
    </r>
  </si>
  <si>
    <r>
      <t>m</t>
    </r>
    <r>
      <rPr>
        <vertAlign val="subscript"/>
        <sz val="11"/>
        <rFont val="Calibri"/>
        <family val="2"/>
        <scheme val="minor"/>
      </rPr>
      <t>tox,aer</t>
    </r>
  </si>
  <si>
    <r>
      <t>i</t>
    </r>
    <r>
      <rPr>
        <vertAlign val="subscript"/>
        <sz val="11"/>
        <rFont val="Calibri"/>
        <family val="2"/>
        <scheme val="minor"/>
      </rPr>
      <t>CIT,CH4</t>
    </r>
  </si>
  <si>
    <r>
      <t>i</t>
    </r>
    <r>
      <rPr>
        <vertAlign val="subscript"/>
        <sz val="11"/>
        <rFont val="Calibri"/>
        <family val="2"/>
        <scheme val="minor"/>
      </rPr>
      <t>CIT,VFA</t>
    </r>
  </si>
  <si>
    <r>
      <t>i</t>
    </r>
    <r>
      <rPr>
        <vertAlign val="subscript"/>
        <sz val="11"/>
        <rFont val="Calibri"/>
        <family val="2"/>
        <scheme val="minor"/>
      </rPr>
      <t>CIT,MEOL</t>
    </r>
  </si>
  <si>
    <r>
      <t>CH</t>
    </r>
    <r>
      <rPr>
        <vertAlign val="subscript"/>
        <sz val="11"/>
        <rFont val="Calibri"/>
        <family val="2"/>
        <scheme val="minor"/>
      </rPr>
      <t>4</t>
    </r>
    <r>
      <rPr>
        <sz val="11"/>
        <rFont val="Calibri"/>
        <family val="2"/>
        <scheme val="minor"/>
      </rPr>
      <t>: 64 g COD/mol C</t>
    </r>
  </si>
  <si>
    <r>
      <t>C</t>
    </r>
    <r>
      <rPr>
        <vertAlign val="subscript"/>
        <sz val="11"/>
        <rFont val="Calibri"/>
        <family val="2"/>
        <scheme val="minor"/>
      </rPr>
      <t>2</t>
    </r>
    <r>
      <rPr>
        <sz val="11"/>
        <rFont val="Calibri"/>
        <family val="2"/>
        <scheme val="minor"/>
      </rPr>
      <t>H</t>
    </r>
    <r>
      <rPr>
        <vertAlign val="subscript"/>
        <sz val="11"/>
        <rFont val="Calibri"/>
        <family val="2"/>
        <scheme val="minor"/>
      </rPr>
      <t>4</t>
    </r>
    <r>
      <rPr>
        <sz val="11"/>
        <rFont val="Calibri"/>
        <family val="2"/>
        <scheme val="minor"/>
      </rPr>
      <t>O</t>
    </r>
    <r>
      <rPr>
        <vertAlign val="subscript"/>
        <sz val="11"/>
        <rFont val="Calibri"/>
        <family val="2"/>
        <scheme val="minor"/>
      </rPr>
      <t>2</t>
    </r>
    <r>
      <rPr>
        <sz val="11"/>
        <rFont val="Calibri"/>
        <family val="2"/>
        <scheme val="minor"/>
      </rPr>
      <t>: 32 g COD/mol C</t>
    </r>
  </si>
  <si>
    <r>
      <t>i</t>
    </r>
    <r>
      <rPr>
        <vertAlign val="subscript"/>
        <sz val="11"/>
        <rFont val="Calibri"/>
        <family val="2"/>
        <scheme val="minor"/>
      </rPr>
      <t>CIT,PHA</t>
    </r>
  </si>
  <si>
    <r>
      <t>C</t>
    </r>
    <r>
      <rPr>
        <vertAlign val="subscript"/>
        <sz val="11"/>
        <rFont val="Calibri"/>
        <family val="2"/>
        <scheme val="minor"/>
      </rPr>
      <t>5</t>
    </r>
    <r>
      <rPr>
        <sz val="11"/>
        <rFont val="Calibri"/>
        <family val="2"/>
        <scheme val="minor"/>
      </rPr>
      <t>H</t>
    </r>
    <r>
      <rPr>
        <vertAlign val="subscript"/>
        <sz val="11"/>
        <rFont val="Calibri"/>
        <family val="2"/>
        <scheme val="minor"/>
      </rPr>
      <t>7</t>
    </r>
    <r>
      <rPr>
        <sz val="11"/>
        <rFont val="Calibri"/>
        <family val="2"/>
        <scheme val="minor"/>
      </rPr>
      <t>O</t>
    </r>
    <r>
      <rPr>
        <vertAlign val="subscript"/>
        <sz val="11"/>
        <rFont val="Calibri"/>
        <family val="2"/>
        <scheme val="minor"/>
      </rPr>
      <t>2</t>
    </r>
    <r>
      <rPr>
        <sz val="11"/>
        <rFont val="Calibri"/>
        <family val="2"/>
        <scheme val="minor"/>
      </rPr>
      <t>N: 32 g COD/mol C</t>
    </r>
  </si>
  <si>
    <r>
      <t>H[C</t>
    </r>
    <r>
      <rPr>
        <vertAlign val="subscript"/>
        <sz val="11"/>
        <color indexed="8"/>
        <rFont val="Calibri"/>
        <family val="2"/>
        <scheme val="minor"/>
      </rPr>
      <t>4</t>
    </r>
    <r>
      <rPr>
        <sz val="11"/>
        <color indexed="8"/>
        <rFont val="Calibri"/>
        <family val="2"/>
        <scheme val="minor"/>
      </rPr>
      <t>H</t>
    </r>
    <r>
      <rPr>
        <vertAlign val="subscript"/>
        <sz val="11"/>
        <color indexed="8"/>
        <rFont val="Calibri"/>
        <family val="2"/>
        <scheme val="minor"/>
      </rPr>
      <t>6</t>
    </r>
    <r>
      <rPr>
        <sz val="11"/>
        <color indexed="8"/>
        <rFont val="Calibri"/>
        <family val="2"/>
        <scheme val="minor"/>
      </rPr>
      <t>O</t>
    </r>
    <r>
      <rPr>
        <vertAlign val="subscript"/>
        <sz val="11"/>
        <color indexed="8"/>
        <rFont val="Calibri"/>
        <family val="2"/>
        <scheme val="minor"/>
      </rPr>
      <t>2</t>
    </r>
    <r>
      <rPr>
        <sz val="11"/>
        <color indexed="8"/>
        <rFont val="Calibri"/>
        <family val="2"/>
        <scheme val="minor"/>
      </rPr>
      <t>]</t>
    </r>
    <r>
      <rPr>
        <vertAlign val="subscript"/>
        <sz val="11"/>
        <color indexed="8"/>
        <rFont val="Calibri"/>
        <family val="2"/>
        <scheme val="minor"/>
      </rPr>
      <t>n</t>
    </r>
    <r>
      <rPr>
        <sz val="11"/>
        <color indexed="8"/>
        <rFont val="Calibri"/>
        <family val="2"/>
        <scheme val="minor"/>
      </rPr>
      <t>OH: 36 g COD/mol C</t>
    </r>
  </si>
  <si>
    <r>
      <t>i</t>
    </r>
    <r>
      <rPr>
        <vertAlign val="subscript"/>
        <sz val="11"/>
        <rFont val="Calibri"/>
        <family val="2"/>
      </rPr>
      <t>CIT,VFA</t>
    </r>
    <r>
      <rPr>
        <sz val="11"/>
        <rFont val="Calibri"/>
        <family val="2"/>
      </rPr>
      <t>/Y</t>
    </r>
    <r>
      <rPr>
        <vertAlign val="subscript"/>
        <sz val="11"/>
        <rFont val="Calibri"/>
        <family val="2"/>
      </rPr>
      <t>OHO,VFA,ox</t>
    </r>
    <r>
      <rPr>
        <sz val="11"/>
        <rFont val="Calibri"/>
        <family val="2"/>
      </rPr>
      <t>-i</t>
    </r>
    <r>
      <rPr>
        <vertAlign val="subscript"/>
        <sz val="11"/>
        <rFont val="Calibri"/>
        <family val="2"/>
      </rPr>
      <t>CIT,BIO</t>
    </r>
  </si>
  <si>
    <r>
      <t>i</t>
    </r>
    <r>
      <rPr>
        <vertAlign val="subscript"/>
        <sz val="11"/>
        <rFont val="Calibri"/>
        <family val="2"/>
      </rPr>
      <t>CIT,VFA</t>
    </r>
    <r>
      <rPr>
        <sz val="11"/>
        <rFont val="Calibri"/>
        <family val="2"/>
      </rPr>
      <t>/Y</t>
    </r>
    <r>
      <rPr>
        <vertAlign val="subscript"/>
        <sz val="11"/>
        <rFont val="Calibri"/>
        <family val="2"/>
      </rPr>
      <t>OHO,VFA,anox</t>
    </r>
    <r>
      <rPr>
        <sz val="11"/>
        <rFont val="Calibri"/>
        <family val="2"/>
      </rPr>
      <t>-i</t>
    </r>
    <r>
      <rPr>
        <vertAlign val="subscript"/>
        <sz val="11"/>
        <rFont val="Calibri"/>
        <family val="2"/>
      </rPr>
      <t>CIT,BIO</t>
    </r>
  </si>
  <si>
    <r>
      <t>i</t>
    </r>
    <r>
      <rPr>
        <vertAlign val="subscript"/>
        <sz val="11"/>
        <rFont val="Calibri"/>
        <family val="2"/>
      </rPr>
      <t>CIT,MEOL</t>
    </r>
    <r>
      <rPr>
        <sz val="11"/>
        <rFont val="Calibri"/>
        <family val="2"/>
      </rPr>
      <t>/Y</t>
    </r>
    <r>
      <rPr>
        <vertAlign val="subscript"/>
        <sz val="11"/>
        <rFont val="Calibri"/>
        <family val="2"/>
      </rPr>
      <t>MEOLO</t>
    </r>
    <r>
      <rPr>
        <sz val="11"/>
        <rFont val="Calibri"/>
        <family val="2"/>
      </rPr>
      <t>-i</t>
    </r>
    <r>
      <rPr>
        <vertAlign val="subscript"/>
        <sz val="11"/>
        <rFont val="Calibri"/>
        <family val="2"/>
      </rPr>
      <t>CIT,BIO</t>
    </r>
  </si>
  <si>
    <r>
      <t>i</t>
    </r>
    <r>
      <rPr>
        <vertAlign val="subscript"/>
        <sz val="11"/>
        <rFont val="Calibri"/>
        <family val="2"/>
      </rPr>
      <t>CIT,MEOL</t>
    </r>
    <r>
      <rPr>
        <sz val="11"/>
        <rFont val="Calibri"/>
        <family val="2"/>
      </rPr>
      <t>/Y</t>
    </r>
    <r>
      <rPr>
        <vertAlign val="subscript"/>
        <sz val="11"/>
        <rFont val="Calibri"/>
        <family val="2"/>
      </rPr>
      <t>OHO,SMEOL,ox</t>
    </r>
    <r>
      <rPr>
        <sz val="11"/>
        <rFont val="Calibri"/>
        <family val="2"/>
      </rPr>
      <t>-i</t>
    </r>
    <r>
      <rPr>
        <vertAlign val="subscript"/>
        <sz val="11"/>
        <rFont val="Calibri"/>
        <family val="2"/>
      </rPr>
      <t>CIT,BIO</t>
    </r>
  </si>
  <si>
    <r>
      <t>-i</t>
    </r>
    <r>
      <rPr>
        <vertAlign val="subscript"/>
        <sz val="11"/>
        <rFont val="Calibri"/>
        <family val="2"/>
      </rPr>
      <t>CIT,BIO</t>
    </r>
    <r>
      <rPr>
        <sz val="11"/>
        <rFont val="Calibri"/>
        <family val="2"/>
      </rPr>
      <t>-i</t>
    </r>
    <r>
      <rPr>
        <vertAlign val="subscript"/>
        <sz val="11"/>
        <rFont val="Calibri"/>
        <family val="2"/>
      </rPr>
      <t>CIT,CH4</t>
    </r>
    <r>
      <rPr>
        <sz val="11"/>
        <rFont val="Calibri"/>
        <family val="2"/>
      </rPr>
      <t>*(1-Y</t>
    </r>
    <r>
      <rPr>
        <vertAlign val="subscript"/>
        <sz val="11"/>
        <rFont val="Calibri"/>
        <family val="2"/>
      </rPr>
      <t>HMETO</t>
    </r>
    <r>
      <rPr>
        <sz val="11"/>
        <rFont val="Calibri"/>
        <family val="2"/>
      </rPr>
      <t>)/Y</t>
    </r>
    <r>
      <rPr>
        <vertAlign val="subscript"/>
        <sz val="11"/>
        <rFont val="Calibri"/>
        <family val="2"/>
      </rPr>
      <t>HMETO</t>
    </r>
  </si>
  <si>
    <r>
      <t>i</t>
    </r>
    <r>
      <rPr>
        <vertAlign val="subscript"/>
        <sz val="11"/>
        <rFont val="Calibri"/>
        <family val="2"/>
      </rPr>
      <t>CIT,MEOL</t>
    </r>
    <r>
      <rPr>
        <sz val="11"/>
        <rFont val="Calibri"/>
        <family val="2"/>
      </rPr>
      <t>-i</t>
    </r>
    <r>
      <rPr>
        <vertAlign val="subscript"/>
        <sz val="11"/>
        <rFont val="Calibri"/>
        <family val="2"/>
      </rPr>
      <t>CIT,VFA</t>
    </r>
    <r>
      <rPr>
        <sz val="11"/>
        <rFont val="Calibri"/>
        <family val="2"/>
      </rPr>
      <t>*2/3</t>
    </r>
  </si>
  <si>
    <r>
      <t>i</t>
    </r>
    <r>
      <rPr>
        <vertAlign val="subscript"/>
        <sz val="11"/>
        <rFont val="Calibri"/>
        <family val="2"/>
      </rPr>
      <t>CIT,VFA</t>
    </r>
    <r>
      <rPr>
        <sz val="11"/>
        <rFont val="Calibri"/>
        <family val="2"/>
      </rPr>
      <t>-i</t>
    </r>
    <r>
      <rPr>
        <vertAlign val="subscript"/>
        <sz val="11"/>
        <rFont val="Calibri"/>
        <family val="2"/>
      </rPr>
      <t>CIT,PHA</t>
    </r>
  </si>
  <si>
    <r>
      <t>pH</t>
    </r>
    <r>
      <rPr>
        <vertAlign val="subscript"/>
        <sz val="11"/>
        <rFont val="Calibri"/>
        <family val="2"/>
        <scheme val="minor"/>
      </rPr>
      <t>low,AMETO</t>
    </r>
  </si>
  <si>
    <r>
      <t>pH</t>
    </r>
    <r>
      <rPr>
        <vertAlign val="subscript"/>
        <sz val="11"/>
        <rFont val="Calibri"/>
        <family val="2"/>
        <scheme val="minor"/>
      </rPr>
      <t>high,AMETO</t>
    </r>
  </si>
  <si>
    <r>
      <t>pH</t>
    </r>
    <r>
      <rPr>
        <vertAlign val="subscript"/>
        <sz val="11"/>
        <rFont val="Calibri"/>
        <family val="2"/>
        <scheme val="minor"/>
      </rPr>
      <t>low,HMETO</t>
    </r>
  </si>
  <si>
    <r>
      <t>pH</t>
    </r>
    <r>
      <rPr>
        <vertAlign val="subscript"/>
        <sz val="11"/>
        <rFont val="Calibri"/>
        <family val="2"/>
        <scheme val="minor"/>
      </rPr>
      <t>high,HMETO</t>
    </r>
  </si>
  <si>
    <r>
      <t>Bellinh</t>
    </r>
    <r>
      <rPr>
        <vertAlign val="subscript"/>
        <sz val="11"/>
        <rFont val="Calibri"/>
        <family val="2"/>
        <scheme val="minor"/>
      </rPr>
      <t>pH,AMETO</t>
    </r>
  </si>
  <si>
    <r>
      <t>Bellinh</t>
    </r>
    <r>
      <rPr>
        <vertAlign val="subscript"/>
        <sz val="11"/>
        <rFont val="Calibri"/>
        <family val="2"/>
        <scheme val="minor"/>
      </rPr>
      <t>pH,HMETO</t>
    </r>
  </si>
  <si>
    <r>
      <t>Bellinh(pH;pH</t>
    </r>
    <r>
      <rPr>
        <vertAlign val="subscript"/>
        <sz val="11"/>
        <rFont val="Calibri"/>
        <family val="2"/>
        <scheme val="minor"/>
      </rPr>
      <t>low,AMETO</t>
    </r>
    <r>
      <rPr>
        <sz val="11"/>
        <rFont val="Calibri"/>
        <family val="2"/>
        <scheme val="minor"/>
      </rPr>
      <t>;pH</t>
    </r>
    <r>
      <rPr>
        <vertAlign val="subscript"/>
        <sz val="11"/>
        <rFont val="Calibri"/>
        <family val="2"/>
        <scheme val="minor"/>
      </rPr>
      <t>high,AMETO</t>
    </r>
    <r>
      <rPr>
        <sz val="11"/>
        <rFont val="Calibri"/>
        <family val="2"/>
        <scheme val="minor"/>
      </rPr>
      <t>)</t>
    </r>
  </si>
  <si>
    <r>
      <t>Bellinh(pH;pH</t>
    </r>
    <r>
      <rPr>
        <vertAlign val="subscript"/>
        <sz val="11"/>
        <rFont val="Calibri"/>
        <family val="2"/>
        <scheme val="minor"/>
      </rPr>
      <t>low,HMETO</t>
    </r>
    <r>
      <rPr>
        <sz val="11"/>
        <rFont val="Calibri"/>
        <family val="2"/>
        <scheme val="minor"/>
      </rPr>
      <t>;pH</t>
    </r>
    <r>
      <rPr>
        <vertAlign val="subscript"/>
        <sz val="11"/>
        <rFont val="Calibri"/>
        <family val="2"/>
        <scheme val="minor"/>
      </rPr>
      <t>high,HMETO</t>
    </r>
    <r>
      <rPr>
        <sz val="11"/>
        <rFont val="Calibri"/>
        <family val="2"/>
        <scheme val="minor"/>
      </rPr>
      <t>)</t>
    </r>
  </si>
  <si>
    <r>
      <t>Hsat</t>
    </r>
    <r>
      <rPr>
        <vertAlign val="subscript"/>
        <sz val="11"/>
        <rFont val="Calibri"/>
        <family val="2"/>
        <scheme val="minor"/>
      </rPr>
      <t>SVFA,AMETO</t>
    </r>
  </si>
  <si>
    <t>HFO kinetics</t>
  </si>
  <si>
    <t>A_MN/M_MSTR</t>
  </si>
  <si>
    <t>A_MP/M_MSTR</t>
  </si>
  <si>
    <t>2*A_MP/M_MACP</t>
  </si>
  <si>
    <t>2*A_MP/M_MVivi</t>
  </si>
  <si>
    <t>HFO stoichiometry</t>
  </si>
  <si>
    <t>Ferrous ions fully dissociated</t>
  </si>
  <si>
    <r>
      <t>m</t>
    </r>
    <r>
      <rPr>
        <vertAlign val="subscript"/>
        <sz val="11"/>
        <rFont val="Calibri"/>
        <family val="2"/>
        <scheme val="minor"/>
      </rPr>
      <t>tox,ana</t>
    </r>
  </si>
  <si>
    <t>unitless</t>
  </si>
  <si>
    <r>
      <t>10^(-A</t>
    </r>
    <r>
      <rPr>
        <vertAlign val="subscript"/>
        <sz val="11"/>
        <rFont val="Calibri"/>
        <family val="2"/>
        <scheme val="minor"/>
      </rPr>
      <t>Davies</t>
    </r>
    <r>
      <rPr>
        <sz val="11"/>
        <rFont val="Calibri"/>
        <family val="2"/>
        <scheme val="minor"/>
      </rPr>
      <t>*1^(2)*(IS</t>
    </r>
    <r>
      <rPr>
        <vertAlign val="subscript"/>
        <sz val="11"/>
        <rFont val="Calibri"/>
        <family val="2"/>
        <scheme val="minor"/>
      </rPr>
      <t>lim</t>
    </r>
    <r>
      <rPr>
        <sz val="11"/>
        <rFont val="Calibri"/>
        <family val="2"/>
        <scheme val="minor"/>
      </rPr>
      <t>^(0.5)/(1+1.5*IS</t>
    </r>
    <r>
      <rPr>
        <vertAlign val="subscript"/>
        <sz val="11"/>
        <rFont val="Calibri"/>
        <family val="2"/>
        <scheme val="minor"/>
      </rPr>
      <t>lim</t>
    </r>
    <r>
      <rPr>
        <sz val="11"/>
        <rFont val="Calibri"/>
        <family val="2"/>
        <scheme val="minor"/>
      </rPr>
      <t>^(0.5))-0.3*IS</t>
    </r>
    <r>
      <rPr>
        <vertAlign val="subscript"/>
        <sz val="11"/>
        <rFont val="Calibri"/>
        <family val="2"/>
        <scheme val="minor"/>
      </rPr>
      <t>lim</t>
    </r>
    <r>
      <rPr>
        <sz val="11"/>
        <rFont val="Calibri"/>
        <family val="2"/>
        <scheme val="minor"/>
      </rPr>
      <t>))</t>
    </r>
  </si>
  <si>
    <r>
      <t>10^(-A</t>
    </r>
    <r>
      <rPr>
        <vertAlign val="subscript"/>
        <sz val="11"/>
        <rFont val="Calibri"/>
        <family val="2"/>
        <scheme val="minor"/>
      </rPr>
      <t>Davies</t>
    </r>
    <r>
      <rPr>
        <sz val="11"/>
        <rFont val="Calibri"/>
        <family val="2"/>
        <scheme val="minor"/>
      </rPr>
      <t>*2^(2)*(IS</t>
    </r>
    <r>
      <rPr>
        <vertAlign val="subscript"/>
        <sz val="11"/>
        <rFont val="Calibri"/>
        <family val="2"/>
        <scheme val="minor"/>
      </rPr>
      <t>lim</t>
    </r>
    <r>
      <rPr>
        <sz val="11"/>
        <rFont val="Calibri"/>
        <family val="2"/>
        <scheme val="minor"/>
      </rPr>
      <t>^(0.5)/(1+1.5*IS</t>
    </r>
    <r>
      <rPr>
        <vertAlign val="subscript"/>
        <sz val="11"/>
        <rFont val="Calibri"/>
        <family val="2"/>
        <scheme val="minor"/>
      </rPr>
      <t>lim</t>
    </r>
    <r>
      <rPr>
        <sz val="11"/>
        <rFont val="Calibri"/>
        <family val="2"/>
        <scheme val="minor"/>
      </rPr>
      <t>^(0.5))-0.3*IS</t>
    </r>
    <r>
      <rPr>
        <vertAlign val="subscript"/>
        <sz val="11"/>
        <rFont val="Calibri"/>
        <family val="2"/>
        <scheme val="minor"/>
      </rPr>
      <t>lim</t>
    </r>
    <r>
      <rPr>
        <sz val="11"/>
        <rFont val="Calibri"/>
        <family val="2"/>
        <scheme val="minor"/>
      </rPr>
      <t>))</t>
    </r>
  </si>
  <si>
    <r>
      <t>10^(-A</t>
    </r>
    <r>
      <rPr>
        <vertAlign val="subscript"/>
        <sz val="11"/>
        <rFont val="Calibri"/>
        <family val="2"/>
        <scheme val="minor"/>
      </rPr>
      <t>Davies</t>
    </r>
    <r>
      <rPr>
        <sz val="11"/>
        <rFont val="Calibri"/>
        <family val="2"/>
        <scheme val="minor"/>
      </rPr>
      <t>*3^(2)*(IS</t>
    </r>
    <r>
      <rPr>
        <vertAlign val="subscript"/>
        <sz val="11"/>
        <rFont val="Calibri"/>
        <family val="2"/>
        <scheme val="minor"/>
      </rPr>
      <t>lim</t>
    </r>
    <r>
      <rPr>
        <sz val="11"/>
        <rFont val="Calibri"/>
        <family val="2"/>
        <scheme val="minor"/>
      </rPr>
      <t>^(0.5)/(1+1.5*IS</t>
    </r>
    <r>
      <rPr>
        <vertAlign val="subscript"/>
        <sz val="11"/>
        <rFont val="Calibri"/>
        <family val="2"/>
        <scheme val="minor"/>
      </rPr>
      <t>lim</t>
    </r>
    <r>
      <rPr>
        <sz val="11"/>
        <rFont val="Calibri"/>
        <family val="2"/>
        <scheme val="minor"/>
      </rPr>
      <t>^(0.5))-0.3*IS</t>
    </r>
    <r>
      <rPr>
        <vertAlign val="subscript"/>
        <sz val="11"/>
        <rFont val="Calibri"/>
        <family val="2"/>
        <scheme val="minor"/>
      </rPr>
      <t>lim</t>
    </r>
    <r>
      <rPr>
        <sz val="11"/>
        <rFont val="Calibri"/>
        <family val="2"/>
        <scheme val="minor"/>
      </rPr>
      <t>))</t>
    </r>
  </si>
  <si>
    <t>Key(950)</t>
  </si>
  <si>
    <t>Key(960)</t>
  </si>
  <si>
    <t>Key(980)</t>
  </si>
  <si>
    <t>Key(1000)</t>
  </si>
  <si>
    <t>Key(990)</t>
  </si>
  <si>
    <r>
      <t>X</t>
    </r>
    <r>
      <rPr>
        <vertAlign val="subscript"/>
        <sz val="11"/>
        <rFont val="Calibri"/>
        <family val="2"/>
        <scheme val="minor"/>
      </rPr>
      <t>ISS</t>
    </r>
  </si>
  <si>
    <r>
      <t>X</t>
    </r>
    <r>
      <rPr>
        <vertAlign val="subscript"/>
        <sz val="11"/>
        <rFont val="Calibri"/>
        <family val="2"/>
        <scheme val="minor"/>
      </rPr>
      <t>precip</t>
    </r>
  </si>
  <si>
    <r>
      <t>X</t>
    </r>
    <r>
      <rPr>
        <vertAlign val="subscript"/>
        <sz val="11"/>
        <rFont val="Calibri"/>
        <family val="2"/>
        <scheme val="minor"/>
      </rPr>
      <t>HFO,TSS</t>
    </r>
  </si>
  <si>
    <t>Total HFOs in TSS unit</t>
  </si>
  <si>
    <t>Dry matter</t>
  </si>
  <si>
    <r>
      <t>X</t>
    </r>
    <r>
      <rPr>
        <vertAlign val="subscript"/>
        <sz val="11"/>
        <rFont val="Calibri"/>
        <family val="2"/>
        <scheme val="minor"/>
      </rPr>
      <t>DM</t>
    </r>
  </si>
  <si>
    <r>
      <t>g.m</t>
    </r>
    <r>
      <rPr>
        <vertAlign val="superscript"/>
        <sz val="11"/>
        <rFont val="Calibri"/>
        <family val="2"/>
      </rPr>
      <t>-3</t>
    </r>
    <r>
      <rPr>
        <sz val="11"/>
        <rFont val="Calibri"/>
        <family val="2"/>
      </rPr>
      <t>.d</t>
    </r>
    <r>
      <rPr>
        <vertAlign val="superscript"/>
        <sz val="11"/>
        <rFont val="Calibri"/>
        <family val="2"/>
      </rPr>
      <t>-1</t>
    </r>
  </si>
  <si>
    <r>
      <t>MM</t>
    </r>
    <r>
      <rPr>
        <vertAlign val="subscript"/>
        <sz val="11"/>
        <rFont val="Calibri"/>
        <family val="2"/>
        <scheme val="minor"/>
      </rPr>
      <t>air</t>
    </r>
  </si>
  <si>
    <t>Molar mass of air</t>
  </si>
  <si>
    <r>
      <t>MM</t>
    </r>
    <r>
      <rPr>
        <vertAlign val="subscript"/>
        <sz val="11"/>
        <rFont val="Calibri"/>
        <family val="2"/>
        <scheme val="minor"/>
      </rPr>
      <t>NaCl</t>
    </r>
  </si>
  <si>
    <t>Molecular mass of NaCl</t>
  </si>
  <si>
    <r>
      <t>MM</t>
    </r>
    <r>
      <rPr>
        <vertAlign val="subscript"/>
        <sz val="11"/>
        <rFont val="Calibri"/>
        <family val="2"/>
        <scheme val="minor"/>
      </rPr>
      <t>NaOH</t>
    </r>
  </si>
  <si>
    <t>Molecular mass of NaOH</t>
  </si>
  <si>
    <r>
      <t>MM</t>
    </r>
    <r>
      <rPr>
        <vertAlign val="subscript"/>
        <sz val="11"/>
        <rFont val="Calibri"/>
        <family val="2"/>
        <scheme val="minor"/>
      </rPr>
      <t>MMC</t>
    </r>
  </si>
  <si>
    <t>Molecular mass of methyl mercaptan</t>
  </si>
  <si>
    <r>
      <t>g N.mol</t>
    </r>
    <r>
      <rPr>
        <vertAlign val="superscript"/>
        <sz val="11"/>
        <rFont val="Calibri"/>
        <family val="2"/>
        <scheme val="minor"/>
      </rPr>
      <t>-1</t>
    </r>
  </si>
  <si>
    <r>
      <t>g COD.mol</t>
    </r>
    <r>
      <rPr>
        <vertAlign val="superscript"/>
        <sz val="11"/>
        <rFont val="Calibri"/>
        <family val="2"/>
        <scheme val="minor"/>
      </rPr>
      <t>-1</t>
    </r>
  </si>
  <si>
    <r>
      <t>g S.mol</t>
    </r>
    <r>
      <rPr>
        <vertAlign val="superscript"/>
        <sz val="11"/>
        <rFont val="Calibri"/>
        <family val="2"/>
        <scheme val="minor"/>
      </rPr>
      <t>-1</t>
    </r>
  </si>
  <si>
    <r>
      <t>g COD.g N</t>
    </r>
    <r>
      <rPr>
        <vertAlign val="superscript"/>
        <sz val="11"/>
        <rFont val="Calibri"/>
        <family val="2"/>
      </rPr>
      <t>-1</t>
    </r>
  </si>
  <si>
    <r>
      <t>g COD.g Fe</t>
    </r>
    <r>
      <rPr>
        <vertAlign val="superscript"/>
        <sz val="11"/>
        <rFont val="Calibri"/>
        <family val="2"/>
      </rPr>
      <t>-1</t>
    </r>
  </si>
  <si>
    <r>
      <t>g COD.g S</t>
    </r>
    <r>
      <rPr>
        <vertAlign val="superscript"/>
        <sz val="11"/>
        <rFont val="Calibri"/>
        <family val="2"/>
      </rPr>
      <t>-1</t>
    </r>
  </si>
  <si>
    <r>
      <t>g COD.g S</t>
    </r>
    <r>
      <rPr>
        <vertAlign val="superscript"/>
        <sz val="11"/>
        <rFont val="Calibri"/>
        <family val="2"/>
        <scheme val="minor"/>
      </rPr>
      <t>-1</t>
    </r>
  </si>
  <si>
    <r>
      <t>ppm.m</t>
    </r>
    <r>
      <rPr>
        <vertAlign val="superscript"/>
        <sz val="11"/>
        <rFont val="Calibri"/>
        <family val="2"/>
        <scheme val="minor"/>
      </rPr>
      <t>-3</t>
    </r>
    <r>
      <rPr>
        <sz val="11"/>
        <rFont val="Calibri"/>
        <family val="2"/>
        <scheme val="minor"/>
      </rPr>
      <t>.m</t>
    </r>
    <r>
      <rPr>
        <vertAlign val="superscript"/>
        <sz val="11"/>
        <rFont val="Calibri"/>
        <family val="2"/>
        <scheme val="minor"/>
      </rPr>
      <t>3</t>
    </r>
  </si>
  <si>
    <r>
      <t>%.v.v</t>
    </r>
    <r>
      <rPr>
        <vertAlign val="superscript"/>
        <sz val="11"/>
        <rFont val="Calibri"/>
        <family val="2"/>
        <scheme val="minor"/>
      </rPr>
      <t>-1</t>
    </r>
  </si>
  <si>
    <t>Conversion coefficient between pascal and Hgmm</t>
  </si>
  <si>
    <t>Conversion coefficient between pascal and bar</t>
  </si>
  <si>
    <t>Conversion coefficient between square centimeters and square meters</t>
  </si>
  <si>
    <r>
      <t>c</t>
    </r>
    <r>
      <rPr>
        <vertAlign val="subscript"/>
        <sz val="11"/>
        <rFont val="Calibri"/>
        <family val="2"/>
        <scheme val="minor"/>
      </rPr>
      <t>cm3,m3</t>
    </r>
  </si>
  <si>
    <t>Conversion coefficient between cubic centimeters and cubic meters</t>
  </si>
  <si>
    <r>
      <t>cm</t>
    </r>
    <r>
      <rPr>
        <vertAlign val="superscript"/>
        <sz val="11"/>
        <rFont val="Calibri"/>
        <family val="2"/>
        <scheme val="minor"/>
      </rPr>
      <t>3</t>
    </r>
    <r>
      <rPr>
        <sz val="11"/>
        <rFont val="Calibri"/>
        <family val="2"/>
        <scheme val="minor"/>
      </rPr>
      <t>.m</t>
    </r>
    <r>
      <rPr>
        <vertAlign val="superscript"/>
        <sz val="11"/>
        <rFont val="Calibri"/>
        <family val="2"/>
        <scheme val="minor"/>
      </rPr>
      <t>-3</t>
    </r>
  </si>
  <si>
    <t>Standard enthalpy change of reactions</t>
  </si>
  <si>
    <t>Formula</t>
  </si>
  <si>
    <r>
      <t>dH</t>
    </r>
    <r>
      <rPr>
        <vertAlign val="subscript"/>
        <sz val="11"/>
        <rFont val="Calibri"/>
        <family val="2"/>
        <scheme val="minor"/>
      </rPr>
      <t>diss,H2O</t>
    </r>
  </si>
  <si>
    <t>Standard enthalpy change of dissociation of water</t>
  </si>
  <si>
    <r>
      <t>(H</t>
    </r>
    <r>
      <rPr>
        <vertAlign val="subscript"/>
        <sz val="11"/>
        <rFont val="Calibri"/>
        <family val="2"/>
        <scheme val="minor"/>
      </rPr>
      <t>OHm</t>
    </r>
    <r>
      <rPr>
        <sz val="11"/>
        <rFont val="Calibri"/>
        <family val="2"/>
        <scheme val="minor"/>
      </rPr>
      <t xml:space="preserve"> + H</t>
    </r>
    <r>
      <rPr>
        <vertAlign val="subscript"/>
        <sz val="11"/>
        <rFont val="Calibri"/>
        <family val="2"/>
        <scheme val="minor"/>
      </rPr>
      <t>Hp</t>
    </r>
    <r>
      <rPr>
        <sz val="11"/>
        <rFont val="Calibri"/>
        <family val="2"/>
        <scheme val="minor"/>
      </rPr>
      <t>) - H</t>
    </r>
    <r>
      <rPr>
        <vertAlign val="subscript"/>
        <sz val="11"/>
        <rFont val="Calibri"/>
        <family val="2"/>
        <scheme val="minor"/>
      </rPr>
      <t>H2O</t>
    </r>
  </si>
  <si>
    <r>
      <t>dH</t>
    </r>
    <r>
      <rPr>
        <vertAlign val="subscript"/>
        <sz val="11"/>
        <rFont val="Calibri"/>
        <family val="2"/>
        <scheme val="minor"/>
      </rPr>
      <t>ion,amm</t>
    </r>
  </si>
  <si>
    <t>Standard enthalpy change of ammonia ionization</t>
  </si>
  <si>
    <r>
      <t>dH</t>
    </r>
    <r>
      <rPr>
        <vertAlign val="subscript"/>
        <sz val="11"/>
        <rFont val="Calibri"/>
        <family val="2"/>
        <scheme val="minor"/>
      </rPr>
      <t>diss,CO2,1</t>
    </r>
  </si>
  <si>
    <t>Standard enthalpy change of carbonate dissociation, first step</t>
  </si>
  <si>
    <r>
      <t>(H</t>
    </r>
    <r>
      <rPr>
        <vertAlign val="subscript"/>
        <sz val="11"/>
        <rFont val="Calibri"/>
        <family val="2"/>
        <scheme val="minor"/>
      </rPr>
      <t>HCO3m</t>
    </r>
    <r>
      <rPr>
        <sz val="11"/>
        <rFont val="Calibri"/>
        <family val="2"/>
        <scheme val="minor"/>
      </rPr>
      <t xml:space="preserve"> + H</t>
    </r>
    <r>
      <rPr>
        <vertAlign val="subscript"/>
        <sz val="11"/>
        <rFont val="Calibri"/>
        <family val="2"/>
        <scheme val="minor"/>
      </rPr>
      <t>Hp</t>
    </r>
    <r>
      <rPr>
        <sz val="11"/>
        <rFont val="Calibri"/>
        <family val="2"/>
        <scheme val="minor"/>
      </rPr>
      <t>) - H</t>
    </r>
    <r>
      <rPr>
        <vertAlign val="subscript"/>
        <sz val="11"/>
        <rFont val="Calibri"/>
        <family val="2"/>
        <scheme val="minor"/>
      </rPr>
      <t>H2CO3</t>
    </r>
  </si>
  <si>
    <r>
      <t>dH</t>
    </r>
    <r>
      <rPr>
        <vertAlign val="subscript"/>
        <sz val="11"/>
        <rFont val="Calibri"/>
        <family val="2"/>
        <scheme val="minor"/>
      </rPr>
      <t>diss,CO2,2</t>
    </r>
  </si>
  <si>
    <t>Standard enthalpy change of carbonate dissociation, second step</t>
  </si>
  <si>
    <r>
      <t>(H</t>
    </r>
    <r>
      <rPr>
        <vertAlign val="subscript"/>
        <sz val="11"/>
        <rFont val="Calibri"/>
        <family val="2"/>
        <scheme val="minor"/>
      </rPr>
      <t>Hp</t>
    </r>
    <r>
      <rPr>
        <sz val="11"/>
        <rFont val="Calibri"/>
        <family val="2"/>
        <scheme val="minor"/>
      </rPr>
      <t xml:space="preserve"> + H</t>
    </r>
    <r>
      <rPr>
        <vertAlign val="subscript"/>
        <sz val="11"/>
        <rFont val="Calibri"/>
        <family val="2"/>
        <scheme val="minor"/>
      </rPr>
      <t>CO32m</t>
    </r>
    <r>
      <rPr>
        <sz val="11"/>
        <rFont val="Calibri"/>
        <family val="2"/>
        <scheme val="minor"/>
      </rPr>
      <t>) - (H</t>
    </r>
    <r>
      <rPr>
        <vertAlign val="subscript"/>
        <sz val="11"/>
        <rFont val="Calibri"/>
        <family val="2"/>
        <scheme val="minor"/>
      </rPr>
      <t>HCO3m</t>
    </r>
    <r>
      <rPr>
        <sz val="11"/>
        <rFont val="Calibri"/>
        <family val="2"/>
        <scheme val="minor"/>
      </rPr>
      <t>)</t>
    </r>
  </si>
  <si>
    <r>
      <t>dH</t>
    </r>
    <r>
      <rPr>
        <vertAlign val="subscript"/>
        <sz val="11"/>
        <rFont val="Calibri"/>
        <family val="2"/>
        <scheme val="minor"/>
      </rPr>
      <t>diss,PO4,1</t>
    </r>
  </si>
  <si>
    <t>Standard enthalpy change of phosphate dissociation, first step</t>
  </si>
  <si>
    <r>
      <t>(H</t>
    </r>
    <r>
      <rPr>
        <vertAlign val="subscript"/>
        <sz val="11"/>
        <rFont val="Calibri"/>
        <family val="2"/>
        <scheme val="minor"/>
      </rPr>
      <t>Hp</t>
    </r>
    <r>
      <rPr>
        <sz val="11"/>
        <rFont val="Calibri"/>
        <family val="2"/>
        <scheme val="minor"/>
      </rPr>
      <t xml:space="preserve"> + H</t>
    </r>
    <r>
      <rPr>
        <vertAlign val="subscript"/>
        <sz val="11"/>
        <rFont val="Calibri"/>
        <family val="2"/>
        <scheme val="minor"/>
      </rPr>
      <t>H2PO4m</t>
    </r>
    <r>
      <rPr>
        <sz val="11"/>
        <rFont val="Calibri"/>
        <family val="2"/>
        <scheme val="minor"/>
      </rPr>
      <t>) - (H</t>
    </r>
    <r>
      <rPr>
        <vertAlign val="subscript"/>
        <sz val="11"/>
        <rFont val="Calibri"/>
        <family val="2"/>
        <scheme val="minor"/>
      </rPr>
      <t>H3PO4</t>
    </r>
    <r>
      <rPr>
        <sz val="11"/>
        <rFont val="Calibri"/>
        <family val="2"/>
        <scheme val="minor"/>
      </rPr>
      <t>)</t>
    </r>
  </si>
  <si>
    <r>
      <t>dH</t>
    </r>
    <r>
      <rPr>
        <vertAlign val="subscript"/>
        <sz val="11"/>
        <rFont val="Calibri"/>
        <family val="2"/>
        <scheme val="minor"/>
      </rPr>
      <t>diss,PO4,2</t>
    </r>
  </si>
  <si>
    <t>Standard enthalpy change of phosphate dissociation, second step</t>
  </si>
  <si>
    <r>
      <t>(H</t>
    </r>
    <r>
      <rPr>
        <vertAlign val="subscript"/>
        <sz val="11"/>
        <rFont val="Calibri"/>
        <family val="2"/>
        <scheme val="minor"/>
      </rPr>
      <t>Hp</t>
    </r>
    <r>
      <rPr>
        <sz val="11"/>
        <rFont val="Calibri"/>
        <family val="2"/>
        <scheme val="minor"/>
      </rPr>
      <t xml:space="preserve"> + H</t>
    </r>
    <r>
      <rPr>
        <vertAlign val="subscript"/>
        <sz val="11"/>
        <rFont val="Calibri"/>
        <family val="2"/>
        <scheme val="minor"/>
      </rPr>
      <t>HPO42m</t>
    </r>
    <r>
      <rPr>
        <sz val="11"/>
        <rFont val="Calibri"/>
        <family val="2"/>
        <scheme val="minor"/>
      </rPr>
      <t>) - (H</t>
    </r>
    <r>
      <rPr>
        <vertAlign val="subscript"/>
        <sz val="11"/>
        <rFont val="Calibri"/>
        <family val="2"/>
        <scheme val="minor"/>
      </rPr>
      <t>H2PO4m</t>
    </r>
    <r>
      <rPr>
        <sz val="11"/>
        <rFont val="Calibri"/>
        <family val="2"/>
        <scheme val="minor"/>
      </rPr>
      <t>)</t>
    </r>
  </si>
  <si>
    <r>
      <t>dH</t>
    </r>
    <r>
      <rPr>
        <vertAlign val="subscript"/>
        <sz val="11"/>
        <rFont val="Calibri"/>
        <family val="2"/>
        <scheme val="minor"/>
      </rPr>
      <t>diss,PO4,3</t>
    </r>
  </si>
  <si>
    <t>Standard enthalpy change of phosphate dissociation, third step</t>
  </si>
  <si>
    <r>
      <t>(H</t>
    </r>
    <r>
      <rPr>
        <vertAlign val="subscript"/>
        <sz val="11"/>
        <rFont val="Calibri"/>
        <family val="2"/>
        <scheme val="minor"/>
      </rPr>
      <t>Hp</t>
    </r>
    <r>
      <rPr>
        <sz val="11"/>
        <rFont val="Calibri"/>
        <family val="2"/>
        <scheme val="minor"/>
      </rPr>
      <t xml:space="preserve"> + H</t>
    </r>
    <r>
      <rPr>
        <vertAlign val="subscript"/>
        <sz val="11"/>
        <rFont val="Calibri"/>
        <family val="2"/>
        <scheme val="minor"/>
      </rPr>
      <t>PO43m</t>
    </r>
    <r>
      <rPr>
        <sz val="11"/>
        <rFont val="Calibri"/>
        <family val="2"/>
        <scheme val="minor"/>
      </rPr>
      <t>) - (H</t>
    </r>
    <r>
      <rPr>
        <vertAlign val="subscript"/>
        <sz val="11"/>
        <rFont val="Calibri"/>
        <family val="2"/>
        <scheme val="minor"/>
      </rPr>
      <t>HPO42m</t>
    </r>
    <r>
      <rPr>
        <sz val="11"/>
        <rFont val="Calibri"/>
        <family val="2"/>
        <scheme val="minor"/>
      </rPr>
      <t>)</t>
    </r>
  </si>
  <si>
    <r>
      <t>dH</t>
    </r>
    <r>
      <rPr>
        <vertAlign val="subscript"/>
        <sz val="11"/>
        <rFont val="Calibri"/>
        <family val="2"/>
        <scheme val="minor"/>
      </rPr>
      <t>diss,VFA</t>
    </r>
  </si>
  <si>
    <t>Standard enthalpy change of VFA dissociation</t>
  </si>
  <si>
    <r>
      <t>(H</t>
    </r>
    <r>
      <rPr>
        <vertAlign val="subscript"/>
        <sz val="11"/>
        <rFont val="Calibri"/>
        <family val="2"/>
        <scheme val="minor"/>
      </rPr>
      <t>Hp</t>
    </r>
    <r>
      <rPr>
        <sz val="11"/>
        <rFont val="Calibri"/>
        <family val="2"/>
        <scheme val="minor"/>
      </rPr>
      <t xml:space="preserve"> + H</t>
    </r>
    <r>
      <rPr>
        <vertAlign val="subscript"/>
        <sz val="11"/>
        <rFont val="Calibri"/>
        <family val="2"/>
        <scheme val="minor"/>
      </rPr>
      <t>Acm</t>
    </r>
    <r>
      <rPr>
        <sz val="11"/>
        <rFont val="Calibri"/>
        <family val="2"/>
        <scheme val="minor"/>
      </rPr>
      <t>) - (H</t>
    </r>
    <r>
      <rPr>
        <vertAlign val="subscript"/>
        <sz val="11"/>
        <rFont val="Calibri"/>
        <family val="2"/>
        <scheme val="minor"/>
      </rPr>
      <t>HAc</t>
    </r>
    <r>
      <rPr>
        <sz val="11"/>
        <rFont val="Calibri"/>
        <family val="2"/>
        <scheme val="minor"/>
      </rPr>
      <t>)</t>
    </r>
  </si>
  <si>
    <r>
      <t>dH</t>
    </r>
    <r>
      <rPr>
        <vertAlign val="subscript"/>
        <sz val="11"/>
        <rFont val="Calibri"/>
        <family val="2"/>
        <scheme val="minor"/>
      </rPr>
      <t>diss,S,1</t>
    </r>
  </si>
  <si>
    <t>Standard enthalpy change of sulfide dissociation, first step</t>
  </si>
  <si>
    <r>
      <t>(H</t>
    </r>
    <r>
      <rPr>
        <vertAlign val="subscript"/>
        <sz val="11"/>
        <rFont val="Calibri"/>
        <family val="2"/>
        <scheme val="minor"/>
      </rPr>
      <t>HSm</t>
    </r>
    <r>
      <rPr>
        <sz val="11"/>
        <rFont val="Calibri"/>
        <family val="2"/>
        <scheme val="minor"/>
      </rPr>
      <t xml:space="preserve"> + H</t>
    </r>
    <r>
      <rPr>
        <vertAlign val="subscript"/>
        <sz val="11"/>
        <rFont val="Calibri"/>
        <family val="2"/>
        <scheme val="minor"/>
      </rPr>
      <t>H3Op</t>
    </r>
    <r>
      <rPr>
        <sz val="11"/>
        <rFont val="Calibri"/>
        <family val="2"/>
        <scheme val="minor"/>
      </rPr>
      <t>) - (H</t>
    </r>
    <r>
      <rPr>
        <vertAlign val="subscript"/>
        <sz val="11"/>
        <rFont val="Calibri"/>
        <family val="2"/>
        <scheme val="minor"/>
      </rPr>
      <t>H2S</t>
    </r>
    <r>
      <rPr>
        <sz val="11"/>
        <rFont val="Calibri"/>
        <family val="2"/>
        <scheme val="minor"/>
      </rPr>
      <t xml:space="preserve"> + H</t>
    </r>
    <r>
      <rPr>
        <vertAlign val="subscript"/>
        <sz val="11"/>
        <rFont val="Calibri"/>
        <family val="2"/>
        <scheme val="minor"/>
      </rPr>
      <t>H2O</t>
    </r>
    <r>
      <rPr>
        <sz val="11"/>
        <rFont val="Calibri"/>
        <family val="2"/>
        <scheme val="minor"/>
      </rPr>
      <t>)</t>
    </r>
  </si>
  <si>
    <r>
      <t>dH</t>
    </r>
    <r>
      <rPr>
        <vertAlign val="subscript"/>
        <sz val="11"/>
        <rFont val="Calibri"/>
        <family val="2"/>
        <scheme val="minor"/>
      </rPr>
      <t>diss,S,2</t>
    </r>
  </si>
  <si>
    <t>Standard enthalpy change of sulfide dissociation, second step</t>
  </si>
  <si>
    <r>
      <t>(H</t>
    </r>
    <r>
      <rPr>
        <vertAlign val="subscript"/>
        <sz val="11"/>
        <rFont val="Calibri"/>
        <family val="2"/>
        <scheme val="minor"/>
      </rPr>
      <t>H3Op</t>
    </r>
    <r>
      <rPr>
        <sz val="11"/>
        <rFont val="Calibri"/>
        <family val="2"/>
        <scheme val="minor"/>
      </rPr>
      <t xml:space="preserve"> + H</t>
    </r>
    <r>
      <rPr>
        <vertAlign val="subscript"/>
        <sz val="11"/>
        <rFont val="Calibri"/>
        <family val="2"/>
        <scheme val="minor"/>
      </rPr>
      <t>S2m</t>
    </r>
    <r>
      <rPr>
        <sz val="11"/>
        <rFont val="Calibri"/>
        <family val="2"/>
        <scheme val="minor"/>
      </rPr>
      <t>) - (H</t>
    </r>
    <r>
      <rPr>
        <vertAlign val="subscript"/>
        <sz val="11"/>
        <rFont val="Calibri"/>
        <family val="2"/>
        <scheme val="minor"/>
      </rPr>
      <t>HSm</t>
    </r>
    <r>
      <rPr>
        <sz val="11"/>
        <rFont val="Calibri"/>
        <family val="2"/>
        <scheme val="minor"/>
      </rPr>
      <t xml:space="preserve"> + H</t>
    </r>
    <r>
      <rPr>
        <vertAlign val="subscript"/>
        <sz val="11"/>
        <rFont val="Calibri"/>
        <family val="2"/>
        <scheme val="minor"/>
      </rPr>
      <t>H2O</t>
    </r>
    <r>
      <rPr>
        <sz val="11"/>
        <rFont val="Calibri"/>
        <family val="2"/>
        <scheme val="minor"/>
      </rPr>
      <t>)</t>
    </r>
  </si>
  <si>
    <r>
      <t>dH</t>
    </r>
    <r>
      <rPr>
        <vertAlign val="subscript"/>
        <sz val="11"/>
        <rFont val="Calibri"/>
        <family val="2"/>
        <scheme val="minor"/>
      </rPr>
      <t>diss,SO4,1</t>
    </r>
  </si>
  <si>
    <t>Standard enthalpy change of sulfate dissociation, first step</t>
  </si>
  <si>
    <r>
      <t>(H</t>
    </r>
    <r>
      <rPr>
        <vertAlign val="subscript"/>
        <sz val="11"/>
        <rFont val="Calibri"/>
        <family val="2"/>
        <scheme val="minor"/>
      </rPr>
      <t>HSO4m</t>
    </r>
    <r>
      <rPr>
        <sz val="11"/>
        <rFont val="Calibri"/>
        <family val="2"/>
        <scheme val="minor"/>
      </rPr>
      <t xml:space="preserve"> + H</t>
    </r>
    <r>
      <rPr>
        <vertAlign val="subscript"/>
        <sz val="11"/>
        <rFont val="Calibri"/>
        <family val="2"/>
        <scheme val="minor"/>
      </rPr>
      <t>H3Op</t>
    </r>
    <r>
      <rPr>
        <sz val="11"/>
        <rFont val="Calibri"/>
        <family val="2"/>
        <scheme val="minor"/>
      </rPr>
      <t>) - (H</t>
    </r>
    <r>
      <rPr>
        <vertAlign val="subscript"/>
        <sz val="11"/>
        <rFont val="Calibri"/>
        <family val="2"/>
        <scheme val="minor"/>
      </rPr>
      <t>H2SO4</t>
    </r>
    <r>
      <rPr>
        <sz val="11"/>
        <rFont val="Calibri"/>
        <family val="2"/>
        <scheme val="minor"/>
      </rPr>
      <t xml:space="preserve"> + H</t>
    </r>
    <r>
      <rPr>
        <vertAlign val="subscript"/>
        <sz val="11"/>
        <rFont val="Calibri"/>
        <family val="2"/>
        <scheme val="minor"/>
      </rPr>
      <t>H2O</t>
    </r>
    <r>
      <rPr>
        <sz val="11"/>
        <rFont val="Calibri"/>
        <family val="2"/>
        <scheme val="minor"/>
      </rPr>
      <t>)</t>
    </r>
  </si>
  <si>
    <r>
      <t>dH</t>
    </r>
    <r>
      <rPr>
        <vertAlign val="subscript"/>
        <sz val="11"/>
        <rFont val="Calibri"/>
        <family val="2"/>
        <scheme val="minor"/>
      </rPr>
      <t>diss,SO4,2</t>
    </r>
  </si>
  <si>
    <t>Standard enthalpy change of sulfate dissociation, second step</t>
  </si>
  <si>
    <r>
      <t>(H</t>
    </r>
    <r>
      <rPr>
        <vertAlign val="subscript"/>
        <sz val="11"/>
        <rFont val="Calibri"/>
        <family val="2"/>
        <scheme val="minor"/>
      </rPr>
      <t>H3Op</t>
    </r>
    <r>
      <rPr>
        <sz val="11"/>
        <rFont val="Calibri"/>
        <family val="2"/>
        <scheme val="minor"/>
      </rPr>
      <t xml:space="preserve"> + H</t>
    </r>
    <r>
      <rPr>
        <vertAlign val="subscript"/>
        <sz val="11"/>
        <rFont val="Calibri"/>
        <family val="2"/>
        <scheme val="minor"/>
      </rPr>
      <t>SO42m</t>
    </r>
    <r>
      <rPr>
        <sz val="11"/>
        <rFont val="Calibri"/>
        <family val="2"/>
        <scheme val="minor"/>
      </rPr>
      <t>) - (H</t>
    </r>
    <r>
      <rPr>
        <vertAlign val="subscript"/>
        <sz val="11"/>
        <rFont val="Calibri"/>
        <family val="2"/>
        <scheme val="minor"/>
      </rPr>
      <t>HSO4m</t>
    </r>
    <r>
      <rPr>
        <sz val="11"/>
        <rFont val="Calibri"/>
        <family val="2"/>
        <scheme val="minor"/>
      </rPr>
      <t xml:space="preserve"> + H</t>
    </r>
    <r>
      <rPr>
        <vertAlign val="subscript"/>
        <sz val="11"/>
        <rFont val="Calibri"/>
        <family val="2"/>
        <scheme val="minor"/>
      </rPr>
      <t>H2O</t>
    </r>
    <r>
      <rPr>
        <sz val="11"/>
        <rFont val="Calibri"/>
        <family val="2"/>
        <scheme val="minor"/>
      </rPr>
      <t>)</t>
    </r>
  </si>
  <si>
    <r>
      <t>dH</t>
    </r>
    <r>
      <rPr>
        <vertAlign val="subscript"/>
        <sz val="11"/>
        <rFont val="Calibri"/>
        <family val="2"/>
        <scheme val="minor"/>
      </rPr>
      <t>CaOHp</t>
    </r>
  </si>
  <si>
    <r>
      <t>Standard enthalpy change for ion pairing of CaOH</t>
    </r>
    <r>
      <rPr>
        <vertAlign val="superscript"/>
        <sz val="11"/>
        <rFont val="Calibri"/>
        <family val="2"/>
        <scheme val="minor"/>
      </rPr>
      <t>+</t>
    </r>
  </si>
  <si>
    <r>
      <t>dH</t>
    </r>
    <r>
      <rPr>
        <vertAlign val="subscript"/>
        <sz val="11"/>
        <rFont val="Calibri"/>
        <family val="2"/>
        <scheme val="minor"/>
      </rPr>
      <t>CaCO3</t>
    </r>
  </si>
  <si>
    <r>
      <t>Standard enthalpy change for ion pairing of CaCO</t>
    </r>
    <r>
      <rPr>
        <vertAlign val="subscript"/>
        <sz val="11"/>
        <rFont val="Calibri"/>
        <family val="2"/>
        <scheme val="minor"/>
      </rPr>
      <t>3</t>
    </r>
  </si>
  <si>
    <r>
      <t>dH</t>
    </r>
    <r>
      <rPr>
        <vertAlign val="subscript"/>
        <sz val="11"/>
        <rFont val="Calibri"/>
        <family val="2"/>
        <scheme val="minor"/>
      </rPr>
      <t>CaHCO3p</t>
    </r>
  </si>
  <si>
    <r>
      <t>Standard enthalpy change for ion pairing of CaHCO</t>
    </r>
    <r>
      <rPr>
        <vertAlign val="subscript"/>
        <sz val="11"/>
        <rFont val="Calibri"/>
        <family val="2"/>
        <scheme val="minor"/>
      </rPr>
      <t>3</t>
    </r>
    <r>
      <rPr>
        <vertAlign val="superscript"/>
        <sz val="11"/>
        <rFont val="Calibri"/>
        <family val="2"/>
        <scheme val="minor"/>
      </rPr>
      <t>+</t>
    </r>
  </si>
  <si>
    <r>
      <t>dH</t>
    </r>
    <r>
      <rPr>
        <vertAlign val="subscript"/>
        <sz val="11"/>
        <rFont val="Calibri"/>
        <family val="2"/>
        <scheme val="minor"/>
      </rPr>
      <t>CaPO4m</t>
    </r>
  </si>
  <si>
    <r>
      <t>Standard enthalpy change for ion pairing of CaPO</t>
    </r>
    <r>
      <rPr>
        <vertAlign val="subscript"/>
        <sz val="11"/>
        <rFont val="Calibri"/>
        <family val="2"/>
        <scheme val="minor"/>
      </rPr>
      <t>4</t>
    </r>
    <r>
      <rPr>
        <vertAlign val="superscript"/>
        <sz val="11"/>
        <rFont val="Calibri"/>
        <family val="2"/>
        <scheme val="minor"/>
      </rPr>
      <t>-</t>
    </r>
  </si>
  <si>
    <r>
      <t>dH</t>
    </r>
    <r>
      <rPr>
        <vertAlign val="subscript"/>
        <sz val="11"/>
        <rFont val="Calibri"/>
        <family val="2"/>
        <scheme val="minor"/>
      </rPr>
      <t>CaHPO4</t>
    </r>
  </si>
  <si>
    <r>
      <t>Standard enthalpy change for ion pairing of CaHPO</t>
    </r>
    <r>
      <rPr>
        <vertAlign val="subscript"/>
        <sz val="11"/>
        <rFont val="Calibri"/>
        <family val="2"/>
        <scheme val="minor"/>
      </rPr>
      <t>4</t>
    </r>
  </si>
  <si>
    <r>
      <t>dH</t>
    </r>
    <r>
      <rPr>
        <vertAlign val="subscript"/>
        <sz val="11"/>
        <rFont val="Calibri"/>
        <family val="2"/>
        <scheme val="minor"/>
      </rPr>
      <t>CaH2PO4p</t>
    </r>
  </si>
  <si>
    <r>
      <t>Standard enthalpy change for ion pairing of CaH</t>
    </r>
    <r>
      <rPr>
        <vertAlign val="subscript"/>
        <sz val="11"/>
        <rFont val="Calibri"/>
        <family val="2"/>
        <scheme val="minor"/>
      </rPr>
      <t>2</t>
    </r>
    <r>
      <rPr>
        <sz val="11"/>
        <rFont val="Calibri"/>
        <family val="2"/>
        <scheme val="minor"/>
      </rPr>
      <t>PO</t>
    </r>
    <r>
      <rPr>
        <vertAlign val="subscript"/>
        <sz val="11"/>
        <rFont val="Calibri"/>
        <family val="2"/>
        <scheme val="minor"/>
      </rPr>
      <t>4</t>
    </r>
    <r>
      <rPr>
        <vertAlign val="superscript"/>
        <sz val="11"/>
        <rFont val="Calibri"/>
        <family val="2"/>
        <scheme val="minor"/>
      </rPr>
      <t>+</t>
    </r>
  </si>
  <si>
    <r>
      <t>dH</t>
    </r>
    <r>
      <rPr>
        <vertAlign val="subscript"/>
        <sz val="11"/>
        <rFont val="Calibri"/>
        <family val="2"/>
        <scheme val="minor"/>
      </rPr>
      <t>MgOHp</t>
    </r>
  </si>
  <si>
    <r>
      <t>Standard enthalpy change for ion pairing of MgOH</t>
    </r>
    <r>
      <rPr>
        <vertAlign val="superscript"/>
        <sz val="11"/>
        <rFont val="Calibri"/>
        <family val="2"/>
        <scheme val="minor"/>
      </rPr>
      <t>+</t>
    </r>
  </si>
  <si>
    <r>
      <t>dH</t>
    </r>
    <r>
      <rPr>
        <vertAlign val="subscript"/>
        <sz val="11"/>
        <rFont val="Calibri"/>
        <family val="2"/>
        <scheme val="minor"/>
      </rPr>
      <t>MgCO3</t>
    </r>
  </si>
  <si>
    <r>
      <t>Standard enthalpy change for ion pairing of MgCO</t>
    </r>
    <r>
      <rPr>
        <vertAlign val="subscript"/>
        <sz val="11"/>
        <rFont val="Calibri"/>
        <family val="2"/>
        <scheme val="minor"/>
      </rPr>
      <t>3</t>
    </r>
  </si>
  <si>
    <r>
      <t>dH</t>
    </r>
    <r>
      <rPr>
        <vertAlign val="subscript"/>
        <sz val="11"/>
        <rFont val="Calibri"/>
        <family val="2"/>
        <scheme val="minor"/>
      </rPr>
      <t>MgHCO3p</t>
    </r>
  </si>
  <si>
    <r>
      <t>Standard enthalpy change for ion pairing of MgHCO</t>
    </r>
    <r>
      <rPr>
        <vertAlign val="subscript"/>
        <sz val="11"/>
        <rFont val="Calibri"/>
        <family val="2"/>
        <scheme val="minor"/>
      </rPr>
      <t>3</t>
    </r>
    <r>
      <rPr>
        <vertAlign val="superscript"/>
        <sz val="11"/>
        <rFont val="Calibri"/>
        <family val="2"/>
        <scheme val="minor"/>
      </rPr>
      <t>+</t>
    </r>
  </si>
  <si>
    <r>
      <t>dH</t>
    </r>
    <r>
      <rPr>
        <vertAlign val="subscript"/>
        <sz val="11"/>
        <rFont val="Calibri"/>
        <family val="2"/>
        <scheme val="minor"/>
      </rPr>
      <t>MgHPO4</t>
    </r>
  </si>
  <si>
    <r>
      <t>Standard enthalpy change for ion pairing of MgHPO</t>
    </r>
    <r>
      <rPr>
        <vertAlign val="subscript"/>
        <sz val="11"/>
        <rFont val="Calibri"/>
        <family val="2"/>
        <scheme val="minor"/>
      </rPr>
      <t>4</t>
    </r>
  </si>
  <si>
    <r>
      <t>dH</t>
    </r>
    <r>
      <rPr>
        <vertAlign val="subscript"/>
        <sz val="11"/>
        <rFont val="Calibri"/>
        <family val="2"/>
        <scheme val="minor"/>
      </rPr>
      <t>MgPO4m</t>
    </r>
  </si>
  <si>
    <r>
      <t>Standard enthalpy change for ion pairing of MgPO</t>
    </r>
    <r>
      <rPr>
        <vertAlign val="subscript"/>
        <sz val="11"/>
        <rFont val="Calibri"/>
        <family val="2"/>
        <scheme val="minor"/>
      </rPr>
      <t>4</t>
    </r>
    <r>
      <rPr>
        <vertAlign val="superscript"/>
        <sz val="11"/>
        <rFont val="Calibri"/>
        <family val="2"/>
        <scheme val="minor"/>
      </rPr>
      <t>-</t>
    </r>
  </si>
  <si>
    <r>
      <t>dH</t>
    </r>
    <r>
      <rPr>
        <vertAlign val="subscript"/>
        <sz val="11"/>
        <rFont val="Calibri"/>
        <family val="2"/>
        <scheme val="minor"/>
      </rPr>
      <t>MgH2PO4p</t>
    </r>
  </si>
  <si>
    <r>
      <t>Standard enthalpy change for ion pairing of MgH</t>
    </r>
    <r>
      <rPr>
        <vertAlign val="subscript"/>
        <sz val="11"/>
        <rFont val="Calibri"/>
        <family val="2"/>
        <scheme val="minor"/>
      </rPr>
      <t>2</t>
    </r>
    <r>
      <rPr>
        <sz val="11"/>
        <rFont val="Calibri"/>
        <family val="2"/>
        <scheme val="minor"/>
      </rPr>
      <t>PO</t>
    </r>
    <r>
      <rPr>
        <vertAlign val="subscript"/>
        <sz val="11"/>
        <rFont val="Calibri"/>
        <family val="2"/>
        <scheme val="minor"/>
      </rPr>
      <t>4</t>
    </r>
    <r>
      <rPr>
        <vertAlign val="superscript"/>
        <sz val="11"/>
        <rFont val="Calibri"/>
        <family val="2"/>
        <scheme val="minor"/>
      </rPr>
      <t>+</t>
    </r>
  </si>
  <si>
    <r>
      <t>dH</t>
    </r>
    <r>
      <rPr>
        <vertAlign val="subscript"/>
        <sz val="11"/>
        <rFont val="Calibri"/>
        <family val="2"/>
        <scheme val="minor"/>
      </rPr>
      <t>NaHPO4m</t>
    </r>
  </si>
  <si>
    <r>
      <t>Standard enthalpy change for ion pairing of NaHPO</t>
    </r>
    <r>
      <rPr>
        <vertAlign val="subscript"/>
        <sz val="11"/>
        <rFont val="Calibri"/>
        <family val="2"/>
        <scheme val="minor"/>
      </rPr>
      <t>4</t>
    </r>
    <r>
      <rPr>
        <vertAlign val="superscript"/>
        <sz val="11"/>
        <rFont val="Calibri"/>
        <family val="2"/>
        <scheme val="minor"/>
      </rPr>
      <t>-</t>
    </r>
  </si>
  <si>
    <t>Volatile solids (VS)</t>
  </si>
  <si>
    <t>Volatile suspended solids (VSS)</t>
  </si>
  <si>
    <r>
      <t>X</t>
    </r>
    <r>
      <rPr>
        <vertAlign val="subscript"/>
        <sz val="11"/>
        <rFont val="Calibri"/>
        <family val="2"/>
        <scheme val="minor"/>
      </rPr>
      <t>VS,ult</t>
    </r>
  </si>
  <si>
    <r>
      <t>Y</t>
    </r>
    <r>
      <rPr>
        <vertAlign val="subscript"/>
        <sz val="11"/>
        <rFont val="Calibri"/>
        <family val="2"/>
        <scheme val="minor"/>
      </rPr>
      <t>BOD,ult</t>
    </r>
  </si>
  <si>
    <r>
      <t>S</t>
    </r>
    <r>
      <rPr>
        <vertAlign val="subscript"/>
        <sz val="11"/>
        <rFont val="Calibri"/>
        <family val="2"/>
        <scheme val="minor"/>
      </rPr>
      <t>BOD,ult</t>
    </r>
  </si>
  <si>
    <r>
      <t>X</t>
    </r>
    <r>
      <rPr>
        <vertAlign val="subscript"/>
        <sz val="11"/>
        <rFont val="Calibri"/>
        <family val="2"/>
        <scheme val="minor"/>
      </rPr>
      <t>BOD,ult</t>
    </r>
  </si>
  <si>
    <r>
      <t>T</t>
    </r>
    <r>
      <rPr>
        <vertAlign val="subscript"/>
        <sz val="11"/>
        <rFont val="Calibri"/>
        <family val="2"/>
        <scheme val="minor"/>
      </rPr>
      <t>BOD,ult</t>
    </r>
  </si>
  <si>
    <r>
      <t>S</t>
    </r>
    <r>
      <rPr>
        <vertAlign val="subscript"/>
        <sz val="11"/>
        <rFont val="Calibri"/>
        <family val="2"/>
        <scheme val="minor"/>
      </rPr>
      <t>BOD,ult</t>
    </r>
    <r>
      <rPr>
        <sz val="11"/>
        <rFont val="Calibri"/>
        <family val="2"/>
        <scheme val="minor"/>
      </rPr>
      <t xml:space="preserve"> +X</t>
    </r>
    <r>
      <rPr>
        <vertAlign val="subscript"/>
        <sz val="11"/>
        <rFont val="Calibri"/>
        <family val="2"/>
        <scheme val="minor"/>
      </rPr>
      <t>BOD,ult</t>
    </r>
  </si>
  <si>
    <t>COUR</t>
  </si>
  <si>
    <t>NOUR</t>
  </si>
  <si>
    <t>Metal</t>
  </si>
  <si>
    <r>
      <t>m</t>
    </r>
    <r>
      <rPr>
        <vertAlign val="subscript"/>
        <sz val="11"/>
        <rFont val="Calibri"/>
        <family val="2"/>
        <scheme val="minor"/>
      </rPr>
      <t>tox,ana,max</t>
    </r>
  </si>
  <si>
    <t>Non-Digester</t>
  </si>
  <si>
    <r>
      <t>X</t>
    </r>
    <r>
      <rPr>
        <b/>
        <vertAlign val="subscript"/>
        <sz val="11"/>
        <rFont val="Calibri"/>
        <family val="2"/>
        <scheme val="minor"/>
      </rPr>
      <t>PP</t>
    </r>
  </si>
  <si>
    <t>Glycogen accumulating organisms</t>
  </si>
  <si>
    <r>
      <t>b</t>
    </r>
    <r>
      <rPr>
        <vertAlign val="subscript"/>
        <sz val="11"/>
        <rFont val="Calibri"/>
        <family val="2"/>
        <scheme val="minor"/>
      </rPr>
      <t>PP,ana</t>
    </r>
  </si>
  <si>
    <r>
      <t>K</t>
    </r>
    <r>
      <rPr>
        <vertAlign val="subscript"/>
        <sz val="11"/>
        <rFont val="Calibri"/>
        <family val="2"/>
        <scheme val="minor"/>
      </rPr>
      <t>PP</t>
    </r>
  </si>
  <si>
    <r>
      <t>MRsat(X</t>
    </r>
    <r>
      <rPr>
        <vertAlign val="subscript"/>
        <sz val="11"/>
        <rFont val="Calibri"/>
        <family val="2"/>
        <scheme val="minor"/>
      </rPr>
      <t>PP</t>
    </r>
    <r>
      <rPr>
        <sz val="11"/>
        <rFont val="Calibri"/>
        <family val="2"/>
        <scheme val="minor"/>
      </rPr>
      <t>;X</t>
    </r>
    <r>
      <rPr>
        <vertAlign val="subscript"/>
        <sz val="11"/>
        <rFont val="Calibri"/>
        <family val="2"/>
        <scheme val="minor"/>
      </rPr>
      <t>PAO</t>
    </r>
    <r>
      <rPr>
        <sz val="11"/>
        <rFont val="Calibri"/>
        <family val="2"/>
        <scheme val="minor"/>
      </rPr>
      <t>;K</t>
    </r>
    <r>
      <rPr>
        <vertAlign val="subscript"/>
        <sz val="11"/>
        <rFont val="Calibri"/>
        <family val="2"/>
        <scheme val="minor"/>
      </rPr>
      <t>PP</t>
    </r>
    <r>
      <rPr>
        <sz val="11"/>
        <rFont val="Calibri"/>
        <family val="2"/>
        <scheme val="minor"/>
      </rPr>
      <t>)</t>
    </r>
  </si>
  <si>
    <r>
      <t>Msat</t>
    </r>
    <r>
      <rPr>
        <vertAlign val="subscript"/>
        <sz val="11"/>
        <rFont val="Calibri"/>
        <family val="2"/>
        <scheme val="minor"/>
      </rPr>
      <t>XPP,KPP,lim</t>
    </r>
  </si>
  <si>
    <r>
      <t>Msat(X</t>
    </r>
    <r>
      <rPr>
        <vertAlign val="subscript"/>
        <sz val="11"/>
        <rFont val="Calibri"/>
        <family val="2"/>
        <scheme val="minor"/>
      </rPr>
      <t>PP</t>
    </r>
    <r>
      <rPr>
        <sz val="11"/>
        <rFont val="Calibri"/>
        <family val="2"/>
        <scheme val="minor"/>
      </rPr>
      <t>;K</t>
    </r>
    <r>
      <rPr>
        <vertAlign val="subscript"/>
        <sz val="11"/>
        <rFont val="Calibri"/>
        <family val="2"/>
        <scheme val="minor"/>
      </rPr>
      <t>PP,lim</t>
    </r>
    <r>
      <rPr>
        <sz val="11"/>
        <rFont val="Calibri"/>
        <family val="2"/>
        <scheme val="minor"/>
      </rPr>
      <t>)</t>
    </r>
  </si>
  <si>
    <r>
      <t>b</t>
    </r>
    <r>
      <rPr>
        <vertAlign val="subscript"/>
        <sz val="11"/>
        <color indexed="8"/>
        <rFont val="Calibri"/>
        <family val="2"/>
        <scheme val="minor"/>
      </rPr>
      <t>PP,ana,T</t>
    </r>
  </si>
  <si>
    <r>
      <t>b</t>
    </r>
    <r>
      <rPr>
        <vertAlign val="subscript"/>
        <sz val="11"/>
        <color indexed="8"/>
        <rFont val="Calibri"/>
        <family val="2"/>
        <scheme val="minor"/>
      </rPr>
      <t>PP,ana</t>
    </r>
    <r>
      <rPr>
        <sz val="11"/>
        <color indexed="8"/>
        <rFont val="Calibri"/>
        <family val="2"/>
        <scheme val="minor"/>
      </rPr>
      <t>*Arrh(θ</t>
    </r>
    <r>
      <rPr>
        <vertAlign val="subscript"/>
        <sz val="11"/>
        <color indexed="8"/>
        <rFont val="Calibri"/>
        <family val="2"/>
        <scheme val="minor"/>
      </rPr>
      <t>b,PP,ana</t>
    </r>
    <r>
      <rPr>
        <sz val="11"/>
        <color indexed="8"/>
        <rFont val="Calibri"/>
        <family val="2"/>
        <scheme val="minor"/>
      </rPr>
      <t>; T; T</t>
    </r>
    <r>
      <rPr>
        <vertAlign val="subscript"/>
        <sz val="11"/>
        <color indexed="8"/>
        <rFont val="Calibri"/>
        <family val="2"/>
        <scheme val="minor"/>
      </rPr>
      <t>base</t>
    </r>
    <r>
      <rPr>
        <sz val="11"/>
        <color indexed="8"/>
        <rFont val="Calibri"/>
        <family val="2"/>
        <scheme val="minor"/>
      </rPr>
      <t>)</t>
    </r>
  </si>
  <si>
    <r>
      <t>θ</t>
    </r>
    <r>
      <rPr>
        <vertAlign val="subscript"/>
        <sz val="11"/>
        <color indexed="8"/>
        <rFont val="Calibri"/>
        <family val="2"/>
        <scheme val="minor"/>
      </rPr>
      <t>b,PP,ana</t>
    </r>
  </si>
  <si>
    <r>
      <t>MRsat</t>
    </r>
    <r>
      <rPr>
        <vertAlign val="subscript"/>
        <sz val="11"/>
        <rFont val="Calibri"/>
        <family val="2"/>
        <scheme val="minor"/>
      </rPr>
      <t>XPP,XPAO,KPP</t>
    </r>
  </si>
  <si>
    <t>r50</t>
  </si>
  <si>
    <t>r51</t>
  </si>
  <si>
    <t>r52</t>
  </si>
  <si>
    <t>r53</t>
  </si>
  <si>
    <t>r54</t>
  </si>
  <si>
    <t>r55</t>
  </si>
  <si>
    <t>r56</t>
  </si>
  <si>
    <t>r57</t>
  </si>
  <si>
    <t>Lopez Vazquez et al., 2009</t>
  </si>
  <si>
    <r>
      <t>g COD.g COD</t>
    </r>
    <r>
      <rPr>
        <vertAlign val="superscript"/>
        <sz val="11"/>
        <rFont val="Calibri"/>
        <family val="2"/>
        <scheme val="minor"/>
      </rPr>
      <t>-1</t>
    </r>
  </si>
  <si>
    <r>
      <t>Loginh</t>
    </r>
    <r>
      <rPr>
        <vertAlign val="subscript"/>
        <sz val="11"/>
        <rFont val="Calibri"/>
        <family val="2"/>
        <scheme val="minor"/>
      </rPr>
      <t>XPHA,XPAO,max</t>
    </r>
  </si>
  <si>
    <r>
      <t>Loginh</t>
    </r>
    <r>
      <rPr>
        <vertAlign val="subscript"/>
        <sz val="11"/>
        <rFont val="Calibri"/>
        <family val="2"/>
        <scheme val="minor"/>
      </rPr>
      <t>XPP,XPAO,max</t>
    </r>
  </si>
  <si>
    <r>
      <t>CH</t>
    </r>
    <r>
      <rPr>
        <vertAlign val="subscript"/>
        <sz val="11"/>
        <rFont val="Calibri"/>
        <family val="2"/>
        <scheme val="minor"/>
      </rPr>
      <t>4</t>
    </r>
    <r>
      <rPr>
        <sz val="11"/>
        <rFont val="Calibri"/>
        <family val="2"/>
        <scheme val="minor"/>
      </rPr>
      <t>O: 48 g COD/mol C</t>
    </r>
  </si>
  <si>
    <r>
      <t>i</t>
    </r>
    <r>
      <rPr>
        <vertAlign val="subscript"/>
        <sz val="11"/>
        <rFont val="Calibri"/>
        <family val="2"/>
        <scheme val="minor"/>
      </rPr>
      <t>N,XE</t>
    </r>
  </si>
  <si>
    <t>N content of endogenous products</t>
  </si>
  <si>
    <t>Precipitated solids</t>
  </si>
  <si>
    <t>pH calculation - pH not specified (Non pHSet)</t>
  </si>
  <si>
    <t>Temperature dependency correction</t>
  </si>
  <si>
    <t>Anaerobic toxicity factor</t>
  </si>
  <si>
    <t>Anoxic methanol utilizer kinetics (MEOLO)</t>
  </si>
  <si>
    <t>Oxidation-reduction potential constants</t>
  </si>
  <si>
    <r>
      <t>ORP</t>
    </r>
    <r>
      <rPr>
        <vertAlign val="subscript"/>
        <sz val="11"/>
        <rFont val="Calibri"/>
        <family val="2"/>
        <scheme val="minor"/>
      </rPr>
      <t>base</t>
    </r>
  </si>
  <si>
    <t>Base ORP value</t>
  </si>
  <si>
    <t>mV</t>
  </si>
  <si>
    <r>
      <t>K</t>
    </r>
    <r>
      <rPr>
        <vertAlign val="subscript"/>
        <sz val="11"/>
        <rFont val="Calibri"/>
        <family val="2"/>
        <scheme val="minor"/>
      </rPr>
      <t>ORP,SO2</t>
    </r>
  </si>
  <si>
    <t>Half-saturation of dissolved oxygen for ORP</t>
  </si>
  <si>
    <r>
      <t>K</t>
    </r>
    <r>
      <rPr>
        <vertAlign val="subscript"/>
        <sz val="11"/>
        <rFont val="Calibri"/>
        <family val="2"/>
        <scheme val="minor"/>
      </rPr>
      <t>ORP,SNOx</t>
    </r>
  </si>
  <si>
    <r>
      <t>Half-saturation of NO</t>
    </r>
    <r>
      <rPr>
        <vertAlign val="subscript"/>
        <sz val="11"/>
        <color rgb="FF000000"/>
        <rFont val="Calibri"/>
        <family val="2"/>
        <scheme val="minor"/>
      </rPr>
      <t>x</t>
    </r>
    <r>
      <rPr>
        <sz val="11"/>
        <color rgb="FF000000"/>
        <rFont val="Calibri"/>
        <family val="2"/>
        <charset val="238"/>
        <scheme val="minor"/>
      </rPr>
      <t xml:space="preserve"> for ORP</t>
    </r>
  </si>
  <si>
    <t>Oxidation-reduction potential</t>
  </si>
  <si>
    <r>
      <t>ORP</t>
    </r>
    <r>
      <rPr>
        <vertAlign val="subscript"/>
        <sz val="11"/>
        <rFont val="Calibri"/>
        <family val="2"/>
        <scheme val="minor"/>
      </rPr>
      <t>O2</t>
    </r>
  </si>
  <si>
    <r>
      <t>ORP</t>
    </r>
    <r>
      <rPr>
        <vertAlign val="subscript"/>
        <sz val="11"/>
        <rFont val="Calibri"/>
        <family val="2"/>
      </rPr>
      <t>NOx</t>
    </r>
  </si>
  <si>
    <t>ORP</t>
  </si>
  <si>
    <r>
      <t>Y</t>
    </r>
    <r>
      <rPr>
        <vertAlign val="subscript"/>
        <sz val="11"/>
        <rFont val="Calibri"/>
        <family val="2"/>
        <scheme val="minor"/>
      </rPr>
      <t>OHO,H2,ana,high</t>
    </r>
  </si>
  <si>
    <r>
      <t>Y</t>
    </r>
    <r>
      <rPr>
        <vertAlign val="subscript"/>
        <sz val="11"/>
        <rFont val="Calibri"/>
        <family val="2"/>
        <scheme val="minor"/>
      </rPr>
      <t>OHO,H2,ana,low</t>
    </r>
  </si>
  <si>
    <r>
      <t>K</t>
    </r>
    <r>
      <rPr>
        <vertAlign val="subscript"/>
        <sz val="11"/>
        <rFont val="Calibri"/>
        <family val="2"/>
        <scheme val="minor"/>
      </rPr>
      <t>VFA,FERM,AS</t>
    </r>
  </si>
  <si>
    <r>
      <t>S</t>
    </r>
    <r>
      <rPr>
        <vertAlign val="subscript"/>
        <sz val="11"/>
        <rFont val="Calibri"/>
        <family val="2"/>
      </rPr>
      <t>B</t>
    </r>
    <r>
      <rPr>
        <sz val="11"/>
        <rFont val="Calibri"/>
        <family val="2"/>
      </rPr>
      <t xml:space="preserve"> fermentation with high VFA (OHO growth, anaerobic)</t>
    </r>
  </si>
  <si>
    <t>r58</t>
  </si>
  <si>
    <r>
      <t>K</t>
    </r>
    <r>
      <rPr>
        <vertAlign val="subscript"/>
        <sz val="11"/>
        <rFont val="Calibri"/>
        <family val="2"/>
        <scheme val="minor"/>
      </rPr>
      <t>VFA,FERM</t>
    </r>
  </si>
  <si>
    <t>Saturation term for VFAs in fermentation</t>
  </si>
  <si>
    <r>
      <t>Logsat</t>
    </r>
    <r>
      <rPr>
        <vertAlign val="subscript"/>
        <sz val="11"/>
        <rFont val="Calibri"/>
        <family val="2"/>
        <scheme val="minor"/>
      </rPr>
      <t>SVFA,KVFA,FERM</t>
    </r>
  </si>
  <si>
    <r>
      <t>Loginh</t>
    </r>
    <r>
      <rPr>
        <vertAlign val="subscript"/>
        <sz val="11"/>
        <rFont val="Calibri"/>
        <family val="2"/>
        <scheme val="minor"/>
      </rPr>
      <t>SVFA,KVFA,FERM</t>
    </r>
  </si>
  <si>
    <t>Acidoclastic methanogen kinetics (AMETO)</t>
  </si>
  <si>
    <t>Hydrogenotrophic methanogen kinetics (HMETO)</t>
  </si>
  <si>
    <t>Key(1200)</t>
  </si>
  <si>
    <r>
      <t>i</t>
    </r>
    <r>
      <rPr>
        <vertAlign val="subscript"/>
        <sz val="11"/>
        <rFont val="Calibri"/>
        <family val="2"/>
      </rPr>
      <t>CIT,VFA</t>
    </r>
    <r>
      <rPr>
        <sz val="11"/>
        <rFont val="Calibri"/>
        <family val="2"/>
      </rPr>
      <t>*1/Y</t>
    </r>
    <r>
      <rPr>
        <vertAlign val="subscript"/>
        <sz val="11"/>
        <rFont val="Calibri"/>
        <family val="2"/>
      </rPr>
      <t>AMETO</t>
    </r>
    <r>
      <rPr>
        <sz val="11"/>
        <rFont val="Calibri"/>
        <family val="2"/>
      </rPr>
      <t>-i</t>
    </r>
    <r>
      <rPr>
        <vertAlign val="subscript"/>
        <sz val="11"/>
        <rFont val="Calibri"/>
        <family val="2"/>
      </rPr>
      <t>CIT,BIO</t>
    </r>
    <r>
      <rPr>
        <sz val="11"/>
        <rFont val="Calibri"/>
        <family val="2"/>
      </rPr>
      <t>-i</t>
    </r>
    <r>
      <rPr>
        <vertAlign val="subscript"/>
        <sz val="11"/>
        <rFont val="Calibri"/>
        <family val="2"/>
      </rPr>
      <t>CIT,CH4</t>
    </r>
    <r>
      <rPr>
        <sz val="11"/>
        <rFont val="Calibri"/>
        <family val="2"/>
      </rPr>
      <t>*(1-Y</t>
    </r>
    <r>
      <rPr>
        <vertAlign val="subscript"/>
        <sz val="11"/>
        <rFont val="Calibri"/>
        <family val="2"/>
      </rPr>
      <t>AMETO</t>
    </r>
    <r>
      <rPr>
        <sz val="11"/>
        <rFont val="Calibri"/>
        <family val="2"/>
      </rPr>
      <t>)/Y</t>
    </r>
    <r>
      <rPr>
        <vertAlign val="subscript"/>
        <sz val="11"/>
        <rFont val="Calibri"/>
        <family val="2"/>
      </rPr>
      <t>AMETO</t>
    </r>
  </si>
  <si>
    <r>
      <t>g O2.m</t>
    </r>
    <r>
      <rPr>
        <vertAlign val="superscript"/>
        <sz val="11"/>
        <rFont val="Calibri"/>
        <family val="2"/>
        <scheme val="minor"/>
      </rPr>
      <t>-3</t>
    </r>
  </si>
  <si>
    <t>Ordinary heterotrophic organism kinetics (OHO)</t>
  </si>
  <si>
    <r>
      <t>mol [NH</t>
    </r>
    <r>
      <rPr>
        <vertAlign val="subscript"/>
        <sz val="11"/>
        <color indexed="8"/>
        <rFont val="Calibri"/>
        <family val="2"/>
        <scheme val="minor"/>
      </rPr>
      <t>3</t>
    </r>
    <r>
      <rPr>
        <sz val="11"/>
        <color indexed="8"/>
        <rFont val="Calibri"/>
        <family val="2"/>
        <scheme val="minor"/>
      </rPr>
      <t>].L</t>
    </r>
    <r>
      <rPr>
        <vertAlign val="superscript"/>
        <sz val="11"/>
        <color indexed="8"/>
        <rFont val="Calibri"/>
        <family val="2"/>
        <scheme val="minor"/>
      </rPr>
      <t>-1</t>
    </r>
  </si>
  <si>
    <r>
      <t>g COD.g COD</t>
    </r>
    <r>
      <rPr>
        <vertAlign val="superscript"/>
        <sz val="11"/>
        <color indexed="8"/>
        <rFont val="Calibri"/>
        <family val="2"/>
        <scheme val="minor"/>
      </rPr>
      <t>-1</t>
    </r>
  </si>
  <si>
    <r>
      <t>g TSS.g COD</t>
    </r>
    <r>
      <rPr>
        <vertAlign val="superscript"/>
        <sz val="11"/>
        <rFont val="Calibri"/>
        <family val="2"/>
        <scheme val="minor"/>
      </rPr>
      <t>-1</t>
    </r>
  </si>
  <si>
    <r>
      <t>ORP</t>
    </r>
    <r>
      <rPr>
        <vertAlign val="subscript"/>
        <sz val="11"/>
        <rFont val="Calibri"/>
        <family val="2"/>
        <scheme val="minor"/>
      </rPr>
      <t>max,SO2</t>
    </r>
  </si>
  <si>
    <t>ORP max for dissolved oxygen</t>
  </si>
  <si>
    <r>
      <t>ORP</t>
    </r>
    <r>
      <rPr>
        <vertAlign val="subscript"/>
        <sz val="11"/>
        <rFont val="Calibri"/>
        <family val="2"/>
        <scheme val="minor"/>
      </rPr>
      <t>max,SNOx</t>
    </r>
  </si>
  <si>
    <t>ORP max for dissolved nitrate</t>
  </si>
  <si>
    <r>
      <t>ORP</t>
    </r>
    <r>
      <rPr>
        <vertAlign val="subscript"/>
        <sz val="11"/>
        <rFont val="Calibri"/>
        <family val="2"/>
        <scheme val="minor"/>
      </rPr>
      <t>base</t>
    </r>
    <r>
      <rPr>
        <sz val="11"/>
        <rFont val="Calibri"/>
        <family val="2"/>
        <scheme val="minor"/>
      </rPr>
      <t>+(ORP</t>
    </r>
    <r>
      <rPr>
        <vertAlign val="subscript"/>
        <sz val="11"/>
        <rFont val="Calibri"/>
        <family val="2"/>
        <scheme val="minor"/>
      </rPr>
      <t>max,SO2</t>
    </r>
    <r>
      <rPr>
        <sz val="11"/>
        <rFont val="Calibri"/>
        <family val="2"/>
        <scheme val="minor"/>
      </rPr>
      <t>-ORP</t>
    </r>
    <r>
      <rPr>
        <vertAlign val="subscript"/>
        <sz val="11"/>
        <rFont val="Calibri"/>
        <family val="2"/>
        <scheme val="minor"/>
      </rPr>
      <t>base)</t>
    </r>
    <r>
      <rPr>
        <sz val="11"/>
        <rFont val="Calibri"/>
        <family val="2"/>
        <scheme val="minor"/>
      </rPr>
      <t>*S</t>
    </r>
    <r>
      <rPr>
        <vertAlign val="subscript"/>
        <sz val="11"/>
        <rFont val="Calibri"/>
        <family val="2"/>
        <scheme val="minor"/>
      </rPr>
      <t>O2</t>
    </r>
    <r>
      <rPr>
        <sz val="11"/>
        <rFont val="Calibri"/>
        <family val="2"/>
        <scheme val="minor"/>
      </rPr>
      <t>/(K</t>
    </r>
    <r>
      <rPr>
        <vertAlign val="subscript"/>
        <sz val="11"/>
        <rFont val="Calibri"/>
        <family val="2"/>
        <scheme val="minor"/>
      </rPr>
      <t>ORP,SO2</t>
    </r>
    <r>
      <rPr>
        <sz val="11"/>
        <rFont val="Calibri"/>
        <family val="2"/>
        <scheme val="minor"/>
      </rPr>
      <t>+S</t>
    </r>
    <r>
      <rPr>
        <vertAlign val="subscript"/>
        <sz val="11"/>
        <rFont val="Calibri"/>
        <family val="2"/>
        <scheme val="minor"/>
      </rPr>
      <t>O2</t>
    </r>
    <r>
      <rPr>
        <sz val="11"/>
        <rFont val="Calibri"/>
        <family val="2"/>
        <scheme val="minor"/>
      </rPr>
      <t>)</t>
    </r>
  </si>
  <si>
    <r>
      <t>ORP</t>
    </r>
    <r>
      <rPr>
        <vertAlign val="subscript"/>
        <sz val="11"/>
        <rFont val="Calibri"/>
        <family val="2"/>
        <scheme val="minor"/>
      </rPr>
      <t>base</t>
    </r>
    <r>
      <rPr>
        <sz val="11"/>
        <rFont val="Calibri"/>
        <family val="2"/>
        <scheme val="minor"/>
      </rPr>
      <t>+(ORP</t>
    </r>
    <r>
      <rPr>
        <vertAlign val="subscript"/>
        <sz val="11"/>
        <rFont val="Calibri"/>
        <family val="2"/>
        <scheme val="minor"/>
      </rPr>
      <t>max,SNOx</t>
    </r>
    <r>
      <rPr>
        <sz val="11"/>
        <rFont val="Calibri"/>
        <family val="2"/>
        <scheme val="minor"/>
      </rPr>
      <t>-ORP</t>
    </r>
    <r>
      <rPr>
        <vertAlign val="subscript"/>
        <sz val="11"/>
        <rFont val="Calibri"/>
        <family val="2"/>
        <scheme val="minor"/>
      </rPr>
      <t>base)</t>
    </r>
    <r>
      <rPr>
        <sz val="11"/>
        <rFont val="Calibri"/>
        <family val="2"/>
        <scheme val="minor"/>
      </rPr>
      <t>*S</t>
    </r>
    <r>
      <rPr>
        <vertAlign val="subscript"/>
        <sz val="11"/>
        <rFont val="Calibri"/>
        <family val="2"/>
        <scheme val="minor"/>
      </rPr>
      <t>NOx</t>
    </r>
    <r>
      <rPr>
        <sz val="11"/>
        <rFont val="Calibri"/>
        <family val="2"/>
        <scheme val="minor"/>
      </rPr>
      <t>/(K</t>
    </r>
    <r>
      <rPr>
        <vertAlign val="subscript"/>
        <sz val="11"/>
        <rFont val="Calibri"/>
        <family val="2"/>
        <scheme val="minor"/>
      </rPr>
      <t>ORP,SNOx</t>
    </r>
    <r>
      <rPr>
        <sz val="11"/>
        <rFont val="Calibri"/>
        <family val="2"/>
        <scheme val="minor"/>
      </rPr>
      <t>+S</t>
    </r>
    <r>
      <rPr>
        <vertAlign val="subscript"/>
        <sz val="11"/>
        <rFont val="Calibri"/>
        <family val="2"/>
        <scheme val="minor"/>
      </rPr>
      <t>NOx</t>
    </r>
    <r>
      <rPr>
        <sz val="11"/>
        <rFont val="Calibri"/>
        <family val="2"/>
        <scheme val="minor"/>
      </rPr>
      <t>)</t>
    </r>
  </si>
  <si>
    <t>Oxidation-reduction potential due to dissolved oxygen</t>
  </si>
  <si>
    <t>Oxidation-reduction potential due to dissolved nitrate</t>
  </si>
  <si>
    <t>GAO anaerobic maintenance</t>
  </si>
  <si>
    <t>r59</t>
  </si>
  <si>
    <t>-BigNumber</t>
  </si>
  <si>
    <t>PP cleavage for maintenance</t>
  </si>
  <si>
    <r>
      <t>η</t>
    </r>
    <r>
      <rPr>
        <vertAlign val="subscript"/>
        <sz val="11"/>
        <rFont val="Calibri"/>
        <family val="2"/>
        <scheme val="minor"/>
      </rPr>
      <t>bPP,aer</t>
    </r>
  </si>
  <si>
    <r>
      <t>η</t>
    </r>
    <r>
      <rPr>
        <vertAlign val="subscript"/>
        <sz val="11"/>
        <rFont val="Calibri"/>
        <family val="2"/>
        <scheme val="minor"/>
      </rPr>
      <t>bPP,anox</t>
    </r>
  </si>
  <si>
    <r>
      <t>MRinh</t>
    </r>
    <r>
      <rPr>
        <vertAlign val="subscript"/>
        <sz val="11"/>
        <rFont val="Calibri"/>
        <family val="2"/>
        <scheme val="minor"/>
      </rPr>
      <t>XPP,XPAO,KPP</t>
    </r>
  </si>
  <si>
    <r>
      <t>MRinh(X</t>
    </r>
    <r>
      <rPr>
        <vertAlign val="subscript"/>
        <sz val="11"/>
        <rFont val="Calibri"/>
        <family val="2"/>
        <scheme val="minor"/>
      </rPr>
      <t>PP</t>
    </r>
    <r>
      <rPr>
        <sz val="11"/>
        <rFont val="Calibri"/>
        <family val="2"/>
        <scheme val="minor"/>
      </rPr>
      <t>;X</t>
    </r>
    <r>
      <rPr>
        <vertAlign val="subscript"/>
        <sz val="11"/>
        <rFont val="Calibri"/>
        <family val="2"/>
        <scheme val="minor"/>
      </rPr>
      <t>PAO</t>
    </r>
    <r>
      <rPr>
        <sz val="11"/>
        <rFont val="Calibri"/>
        <family val="2"/>
        <scheme val="minor"/>
      </rPr>
      <t>;K</t>
    </r>
    <r>
      <rPr>
        <vertAlign val="subscript"/>
        <sz val="11"/>
        <rFont val="Calibri"/>
        <family val="2"/>
        <scheme val="minor"/>
      </rPr>
      <t>PP</t>
    </r>
    <r>
      <rPr>
        <sz val="11"/>
        <rFont val="Calibri"/>
        <family val="2"/>
        <scheme val="minor"/>
      </rPr>
      <t>)</t>
    </r>
  </si>
  <si>
    <r>
      <t>S</t>
    </r>
    <r>
      <rPr>
        <b/>
        <vertAlign val="subscript"/>
        <sz val="11"/>
        <rFont val="Calibri"/>
        <family val="2"/>
        <charset val="238"/>
        <scheme val="minor"/>
      </rPr>
      <t>NO2</t>
    </r>
  </si>
  <si>
    <t>Damping</t>
  </si>
  <si>
    <r>
      <t>S</t>
    </r>
    <r>
      <rPr>
        <b/>
        <vertAlign val="subscript"/>
        <sz val="11"/>
        <rFont val="Calibri"/>
        <family val="2"/>
        <charset val="238"/>
        <scheme val="minor"/>
      </rPr>
      <t>NO3</t>
    </r>
  </si>
  <si>
    <r>
      <t>X</t>
    </r>
    <r>
      <rPr>
        <b/>
        <vertAlign val="subscript"/>
        <sz val="11"/>
        <rFont val="Calibri"/>
        <family val="2"/>
        <charset val="238"/>
        <scheme val="minor"/>
      </rPr>
      <t>AOB</t>
    </r>
  </si>
  <si>
    <r>
      <t>X</t>
    </r>
    <r>
      <rPr>
        <b/>
        <vertAlign val="subscript"/>
        <sz val="11"/>
        <rFont val="Calibri"/>
        <family val="2"/>
        <charset val="238"/>
        <scheme val="minor"/>
      </rPr>
      <t>NOB</t>
    </r>
  </si>
  <si>
    <r>
      <t>S</t>
    </r>
    <r>
      <rPr>
        <b/>
        <vertAlign val="subscript"/>
        <sz val="11"/>
        <rFont val="Calibri"/>
        <family val="2"/>
        <scheme val="minor"/>
      </rPr>
      <t>NO2</t>
    </r>
  </si>
  <si>
    <r>
      <t>S</t>
    </r>
    <r>
      <rPr>
        <b/>
        <vertAlign val="subscript"/>
        <sz val="11"/>
        <rFont val="Calibri"/>
        <family val="2"/>
        <scheme val="minor"/>
      </rPr>
      <t>NO3</t>
    </r>
  </si>
  <si>
    <r>
      <t>X</t>
    </r>
    <r>
      <rPr>
        <b/>
        <vertAlign val="subscript"/>
        <sz val="11"/>
        <rFont val="Calibri"/>
        <family val="2"/>
        <scheme val="minor"/>
      </rPr>
      <t>NOB</t>
    </r>
  </si>
  <si>
    <r>
      <t>X</t>
    </r>
    <r>
      <rPr>
        <b/>
        <vertAlign val="subscript"/>
        <sz val="11"/>
        <rFont val="Calibri"/>
        <family val="2"/>
        <scheme val="minor"/>
      </rPr>
      <t>AOB</t>
    </r>
  </si>
  <si>
    <r>
      <t>[HNO</t>
    </r>
    <r>
      <rPr>
        <b/>
        <vertAlign val="subscript"/>
        <sz val="11"/>
        <rFont val="Calibri"/>
        <family val="2"/>
      </rPr>
      <t>2</t>
    </r>
    <r>
      <rPr>
        <b/>
        <sz val="11"/>
        <rFont val="Calibri"/>
        <family val="2"/>
      </rPr>
      <t>]</t>
    </r>
  </si>
  <si>
    <t>Nitrous acid</t>
  </si>
  <si>
    <r>
      <t>[NO</t>
    </r>
    <r>
      <rPr>
        <b/>
        <vertAlign val="subscript"/>
        <sz val="11"/>
        <rFont val="Calibri"/>
        <family val="2"/>
      </rPr>
      <t>2</t>
    </r>
    <r>
      <rPr>
        <b/>
        <vertAlign val="superscript"/>
        <sz val="11"/>
        <rFont val="Calibri"/>
        <family val="2"/>
      </rPr>
      <t>-</t>
    </r>
    <r>
      <rPr>
        <b/>
        <sz val="11"/>
        <rFont val="Calibri"/>
        <family val="2"/>
      </rPr>
      <t>]</t>
    </r>
  </si>
  <si>
    <t>Nitrite ion</t>
  </si>
  <si>
    <r>
      <t>diss</t>
    </r>
    <r>
      <rPr>
        <vertAlign val="subscript"/>
        <sz val="11"/>
        <rFont val="Calibri"/>
        <family val="2"/>
      </rPr>
      <t>NO2</t>
    </r>
  </si>
  <si>
    <r>
      <t>-(EEQ</t>
    </r>
    <r>
      <rPr>
        <vertAlign val="subscript"/>
        <sz val="11"/>
        <rFont val="Calibri"/>
        <family val="2"/>
      </rPr>
      <t>NO2</t>
    </r>
    <r>
      <rPr>
        <sz val="11"/>
        <rFont val="Calibri"/>
        <family val="2"/>
      </rPr>
      <t>-Y</t>
    </r>
    <r>
      <rPr>
        <vertAlign val="subscript"/>
        <sz val="11"/>
        <rFont val="Calibri"/>
        <family val="2"/>
      </rPr>
      <t>AOB</t>
    </r>
    <r>
      <rPr>
        <sz val="11"/>
        <rFont val="Calibri"/>
        <family val="2"/>
      </rPr>
      <t>)/Y</t>
    </r>
    <r>
      <rPr>
        <vertAlign val="subscript"/>
        <sz val="11"/>
        <rFont val="Calibri"/>
        <family val="2"/>
      </rPr>
      <t>AOB</t>
    </r>
  </si>
  <si>
    <r>
      <t>-(EEQ</t>
    </r>
    <r>
      <rPr>
        <vertAlign val="subscript"/>
        <sz val="11"/>
        <rFont val="Calibri"/>
        <family val="2"/>
      </rPr>
      <t>NO2,NO3</t>
    </r>
    <r>
      <rPr>
        <sz val="11"/>
        <rFont val="Calibri"/>
        <family val="2"/>
      </rPr>
      <t>-Y</t>
    </r>
    <r>
      <rPr>
        <vertAlign val="subscript"/>
        <sz val="11"/>
        <rFont val="Calibri"/>
        <family val="2"/>
      </rPr>
      <t>NOB</t>
    </r>
    <r>
      <rPr>
        <sz val="11"/>
        <rFont val="Calibri"/>
        <family val="2"/>
      </rPr>
      <t>)/Y</t>
    </r>
    <r>
      <rPr>
        <vertAlign val="subscript"/>
        <sz val="11"/>
        <rFont val="Calibri"/>
        <family val="2"/>
      </rPr>
      <t>NOB</t>
    </r>
  </si>
  <si>
    <r>
      <t>-1/Y</t>
    </r>
    <r>
      <rPr>
        <vertAlign val="subscript"/>
        <sz val="11"/>
        <rFont val="Calibri"/>
        <family val="2"/>
      </rPr>
      <t>AOB</t>
    </r>
    <r>
      <rPr>
        <sz val="11"/>
        <rFont val="Calibri"/>
        <family val="2"/>
      </rPr>
      <t>-i</t>
    </r>
    <r>
      <rPr>
        <vertAlign val="subscript"/>
        <sz val="11"/>
        <rFont val="Calibri"/>
        <family val="2"/>
      </rPr>
      <t>N,BIO</t>
    </r>
  </si>
  <si>
    <r>
      <t>1/Y</t>
    </r>
    <r>
      <rPr>
        <vertAlign val="subscript"/>
        <sz val="11"/>
        <rFont val="Calibri"/>
        <family val="2"/>
      </rPr>
      <t>AOB</t>
    </r>
  </si>
  <si>
    <r>
      <rPr>
        <sz val="11"/>
        <rFont val="Calibri"/>
        <family val="2"/>
      </rPr>
      <t>-i</t>
    </r>
    <r>
      <rPr>
        <vertAlign val="subscript"/>
        <sz val="11"/>
        <rFont val="Calibri"/>
        <family val="2"/>
      </rPr>
      <t>N,BIO</t>
    </r>
  </si>
  <si>
    <r>
      <t>-1/Y</t>
    </r>
    <r>
      <rPr>
        <vertAlign val="subscript"/>
        <sz val="11"/>
        <rFont val="Calibri"/>
        <family val="2"/>
      </rPr>
      <t>NOB</t>
    </r>
  </si>
  <si>
    <r>
      <t>1/Y</t>
    </r>
    <r>
      <rPr>
        <vertAlign val="subscript"/>
        <sz val="11"/>
        <rFont val="Calibri"/>
        <family val="2"/>
      </rPr>
      <t>NOB</t>
    </r>
  </si>
  <si>
    <t>AOB growth</t>
  </si>
  <si>
    <t>AOB decay</t>
  </si>
  <si>
    <t>NOB growth</t>
  </si>
  <si>
    <t>NOB decay</t>
  </si>
  <si>
    <t>Anammox growth</t>
  </si>
  <si>
    <t>Anammox decay</t>
  </si>
  <si>
    <r>
      <t>X</t>
    </r>
    <r>
      <rPr>
        <b/>
        <vertAlign val="subscript"/>
        <sz val="11"/>
        <rFont val="Calibri"/>
        <family val="2"/>
        <charset val="238"/>
        <scheme val="minor"/>
      </rPr>
      <t>AMX</t>
    </r>
  </si>
  <si>
    <r>
      <t>-(3*i</t>
    </r>
    <r>
      <rPr>
        <vertAlign val="subscript"/>
        <sz val="11"/>
        <color indexed="8"/>
        <rFont val="Calibri"/>
        <family val="2"/>
        <scheme val="minor"/>
      </rPr>
      <t>N,BIO</t>
    </r>
    <r>
      <rPr>
        <sz val="11"/>
        <color indexed="8"/>
        <rFont val="Calibri"/>
        <family val="2"/>
        <scheme val="minor"/>
      </rPr>
      <t>*AM</t>
    </r>
    <r>
      <rPr>
        <vertAlign val="subscript"/>
        <sz val="11"/>
        <color indexed="8"/>
        <rFont val="Calibri"/>
        <family val="2"/>
        <scheme val="minor"/>
      </rPr>
      <t>O</t>
    </r>
    <r>
      <rPr>
        <sz val="11"/>
        <color indexed="8"/>
        <rFont val="Calibri"/>
        <family val="2"/>
        <scheme val="minor"/>
      </rPr>
      <t>+2*AM</t>
    </r>
    <r>
      <rPr>
        <vertAlign val="subscript"/>
        <sz val="11"/>
        <color indexed="8"/>
        <rFont val="Calibri"/>
        <family val="2"/>
        <scheme val="minor"/>
      </rPr>
      <t>N</t>
    </r>
    <r>
      <rPr>
        <sz val="11"/>
        <color indexed="8"/>
        <rFont val="Calibri"/>
        <family val="2"/>
        <scheme val="minor"/>
      </rPr>
      <t>)/(5*Y</t>
    </r>
    <r>
      <rPr>
        <vertAlign val="subscript"/>
        <sz val="11"/>
        <color indexed="8"/>
        <rFont val="Calibri"/>
        <family val="2"/>
        <scheme val="minor"/>
      </rPr>
      <t>AMX,NO3</t>
    </r>
    <r>
      <rPr>
        <sz val="11"/>
        <color indexed="8"/>
        <rFont val="Calibri"/>
        <family val="2"/>
        <scheme val="minor"/>
      </rPr>
      <t>+3-3*Y</t>
    </r>
    <r>
      <rPr>
        <vertAlign val="subscript"/>
        <sz val="11"/>
        <color indexed="8"/>
        <rFont val="Calibri"/>
        <family val="2"/>
        <scheme val="minor"/>
      </rPr>
      <t>AMX,NO2</t>
    </r>
    <r>
      <rPr>
        <sz val="11"/>
        <color indexed="8"/>
        <rFont val="Calibri"/>
        <family val="2"/>
        <scheme val="minor"/>
      </rPr>
      <t>)/AM</t>
    </r>
    <r>
      <rPr>
        <vertAlign val="subscript"/>
        <sz val="11"/>
        <color indexed="8"/>
        <rFont val="Calibri"/>
        <family val="2"/>
        <scheme val="minor"/>
      </rPr>
      <t>O</t>
    </r>
  </si>
  <si>
    <r>
      <t xml:space="preserve"> -Y</t>
    </r>
    <r>
      <rPr>
        <vertAlign val="subscript"/>
        <sz val="11"/>
        <color indexed="8"/>
        <rFont val="Calibri"/>
        <family val="2"/>
        <charset val="238"/>
      </rPr>
      <t>AMX,NO2</t>
    </r>
    <r>
      <rPr>
        <sz val="11"/>
        <color indexed="8"/>
        <rFont val="Calibri"/>
        <family val="2"/>
      </rPr>
      <t>/(5*Y</t>
    </r>
    <r>
      <rPr>
        <vertAlign val="subscript"/>
        <sz val="11"/>
        <color indexed="8"/>
        <rFont val="Calibri"/>
        <family val="2"/>
        <charset val="238"/>
      </rPr>
      <t>AMX,NO3</t>
    </r>
    <r>
      <rPr>
        <sz val="11"/>
        <color indexed="8"/>
        <rFont val="Calibri"/>
        <family val="2"/>
      </rPr>
      <t>+3-3*Y</t>
    </r>
    <r>
      <rPr>
        <vertAlign val="subscript"/>
        <sz val="11"/>
        <color indexed="8"/>
        <rFont val="Calibri"/>
        <family val="2"/>
        <charset val="238"/>
      </rPr>
      <t>AMX,NO2</t>
    </r>
    <r>
      <rPr>
        <sz val="11"/>
        <color indexed="8"/>
        <rFont val="Calibri"/>
        <family val="2"/>
      </rPr>
      <t>)*(3*i</t>
    </r>
    <r>
      <rPr>
        <vertAlign val="subscript"/>
        <sz val="11"/>
        <color indexed="8"/>
        <rFont val="Calibri"/>
        <family val="2"/>
        <charset val="238"/>
      </rPr>
      <t>N,BIO</t>
    </r>
    <r>
      <rPr>
        <sz val="11"/>
        <color indexed="8"/>
        <rFont val="Calibri"/>
        <family val="2"/>
      </rPr>
      <t>*AM</t>
    </r>
    <r>
      <rPr>
        <vertAlign val="subscript"/>
        <sz val="11"/>
        <color indexed="8"/>
        <rFont val="Calibri"/>
        <family val="2"/>
        <charset val="238"/>
      </rPr>
      <t>O</t>
    </r>
    <r>
      <rPr>
        <sz val="11"/>
        <color indexed="8"/>
        <rFont val="Calibri"/>
        <family val="2"/>
      </rPr>
      <t>+2*AM</t>
    </r>
    <r>
      <rPr>
        <vertAlign val="subscript"/>
        <sz val="11"/>
        <color indexed="8"/>
        <rFont val="Calibri"/>
        <family val="2"/>
        <charset val="238"/>
      </rPr>
      <t>N</t>
    </r>
    <r>
      <rPr>
        <sz val="11"/>
        <color indexed="8"/>
        <rFont val="Calibri"/>
        <family val="2"/>
      </rPr>
      <t>)/AM</t>
    </r>
    <r>
      <rPr>
        <vertAlign val="subscript"/>
        <sz val="11"/>
        <color indexed="8"/>
        <rFont val="Calibri"/>
        <family val="2"/>
        <charset val="238"/>
      </rPr>
      <t>O</t>
    </r>
  </si>
  <si>
    <r>
      <t>Y</t>
    </r>
    <r>
      <rPr>
        <vertAlign val="subscript"/>
        <sz val="11"/>
        <color indexed="8"/>
        <rFont val="Calibri"/>
        <family val="2"/>
        <scheme val="minor"/>
      </rPr>
      <t>AMX,NO3</t>
    </r>
    <r>
      <rPr>
        <sz val="11"/>
        <color indexed="8"/>
        <rFont val="Calibri"/>
        <family val="2"/>
        <scheme val="minor"/>
      </rPr>
      <t>/(5*Y</t>
    </r>
    <r>
      <rPr>
        <vertAlign val="subscript"/>
        <sz val="11"/>
        <color indexed="8"/>
        <rFont val="Calibri"/>
        <family val="2"/>
        <scheme val="minor"/>
      </rPr>
      <t>AMX,NO3</t>
    </r>
    <r>
      <rPr>
        <sz val="11"/>
        <color indexed="8"/>
        <rFont val="Calibri"/>
        <family val="2"/>
        <scheme val="minor"/>
      </rPr>
      <t>+3-3*Y</t>
    </r>
    <r>
      <rPr>
        <vertAlign val="subscript"/>
        <sz val="11"/>
        <color indexed="8"/>
        <rFont val="Calibri"/>
        <family val="2"/>
        <scheme val="minor"/>
      </rPr>
      <t>AMX,NO2</t>
    </r>
    <r>
      <rPr>
        <sz val="11"/>
        <color indexed="8"/>
        <rFont val="Calibri"/>
        <family val="2"/>
        <scheme val="minor"/>
      </rPr>
      <t>)*(3*i</t>
    </r>
    <r>
      <rPr>
        <vertAlign val="subscript"/>
        <sz val="11"/>
        <color indexed="8"/>
        <rFont val="Calibri"/>
        <family val="2"/>
        <scheme val="minor"/>
      </rPr>
      <t>N,BIO</t>
    </r>
    <r>
      <rPr>
        <sz val="11"/>
        <color indexed="8"/>
        <rFont val="Calibri"/>
        <family val="2"/>
        <scheme val="minor"/>
      </rPr>
      <t>*AM</t>
    </r>
    <r>
      <rPr>
        <vertAlign val="subscript"/>
        <sz val="11"/>
        <color indexed="8"/>
        <rFont val="Calibri"/>
        <family val="2"/>
        <scheme val="minor"/>
      </rPr>
      <t>O</t>
    </r>
    <r>
      <rPr>
        <sz val="11"/>
        <color indexed="8"/>
        <rFont val="Calibri"/>
        <family val="2"/>
        <scheme val="minor"/>
      </rPr>
      <t>+2*AM</t>
    </r>
    <r>
      <rPr>
        <vertAlign val="subscript"/>
        <sz val="11"/>
        <color indexed="8"/>
        <rFont val="Calibri"/>
        <family val="2"/>
        <scheme val="minor"/>
      </rPr>
      <t>N</t>
    </r>
    <r>
      <rPr>
        <sz val="11"/>
        <color indexed="8"/>
        <rFont val="Calibri"/>
        <family val="2"/>
        <scheme val="minor"/>
      </rPr>
      <t>)/AM</t>
    </r>
    <r>
      <rPr>
        <vertAlign val="subscript"/>
        <sz val="11"/>
        <color indexed="8"/>
        <rFont val="Calibri"/>
        <family val="2"/>
        <scheme val="minor"/>
      </rPr>
      <t>O</t>
    </r>
  </si>
  <si>
    <r>
      <t>2*(Y</t>
    </r>
    <r>
      <rPr>
        <vertAlign val="subscript"/>
        <sz val="11"/>
        <color indexed="8"/>
        <rFont val="Calibri"/>
        <family val="2"/>
        <scheme val="minor"/>
      </rPr>
      <t>AMX,NO3</t>
    </r>
    <r>
      <rPr>
        <sz val="11"/>
        <color indexed="8"/>
        <rFont val="Calibri"/>
        <family val="2"/>
        <scheme val="minor"/>
      </rPr>
      <t>*AM</t>
    </r>
    <r>
      <rPr>
        <vertAlign val="subscript"/>
        <sz val="11"/>
        <color indexed="8"/>
        <rFont val="Calibri"/>
        <family val="2"/>
        <scheme val="minor"/>
      </rPr>
      <t>N</t>
    </r>
    <r>
      <rPr>
        <sz val="11"/>
        <color indexed="8"/>
        <rFont val="Calibri"/>
        <family val="2"/>
        <scheme val="minor"/>
      </rPr>
      <t>-1*AM</t>
    </r>
    <r>
      <rPr>
        <vertAlign val="subscript"/>
        <sz val="11"/>
        <color indexed="8"/>
        <rFont val="Calibri"/>
        <family val="2"/>
        <scheme val="minor"/>
      </rPr>
      <t>N</t>
    </r>
    <r>
      <rPr>
        <sz val="11"/>
        <color indexed="8"/>
        <rFont val="Calibri"/>
        <family val="2"/>
        <scheme val="minor"/>
      </rPr>
      <t>-1*Y</t>
    </r>
    <r>
      <rPr>
        <vertAlign val="subscript"/>
        <sz val="11"/>
        <color indexed="8"/>
        <rFont val="Calibri"/>
        <family val="2"/>
        <scheme val="minor"/>
      </rPr>
      <t>AMX,NO2</t>
    </r>
    <r>
      <rPr>
        <sz val="11"/>
        <color indexed="8"/>
        <rFont val="Calibri"/>
        <family val="2"/>
        <scheme val="minor"/>
      </rPr>
      <t>*AM</t>
    </r>
    <r>
      <rPr>
        <vertAlign val="subscript"/>
        <sz val="11"/>
        <color indexed="8"/>
        <rFont val="Calibri"/>
        <family val="2"/>
        <scheme val="minor"/>
      </rPr>
      <t>N</t>
    </r>
    <r>
      <rPr>
        <sz val="11"/>
        <color indexed="8"/>
        <rFont val="Calibri"/>
        <family val="2"/>
        <scheme val="minor"/>
      </rPr>
      <t>+4*Y</t>
    </r>
    <r>
      <rPr>
        <vertAlign val="subscript"/>
        <sz val="11"/>
        <color indexed="8"/>
        <rFont val="Calibri"/>
        <family val="2"/>
        <scheme val="minor"/>
      </rPr>
      <t>AMX,NO3</t>
    </r>
    <r>
      <rPr>
        <sz val="11"/>
        <color indexed="8"/>
        <rFont val="Calibri"/>
        <family val="2"/>
        <scheme val="minor"/>
      </rPr>
      <t>*i</t>
    </r>
    <r>
      <rPr>
        <vertAlign val="subscript"/>
        <sz val="11"/>
        <color indexed="8"/>
        <rFont val="Calibri"/>
        <family val="2"/>
        <scheme val="minor"/>
      </rPr>
      <t>N,BIO</t>
    </r>
    <r>
      <rPr>
        <sz val="11"/>
        <color indexed="8"/>
        <rFont val="Calibri"/>
        <family val="2"/>
        <scheme val="minor"/>
      </rPr>
      <t>*AM</t>
    </r>
    <r>
      <rPr>
        <vertAlign val="subscript"/>
        <sz val="11"/>
        <color indexed="8"/>
        <rFont val="Calibri"/>
        <family val="2"/>
        <scheme val="minor"/>
      </rPr>
      <t>O</t>
    </r>
    <r>
      <rPr>
        <sz val="11"/>
        <color indexed="8"/>
        <rFont val="Calibri"/>
        <family val="2"/>
        <scheme val="minor"/>
      </rPr>
      <t>-3*Y</t>
    </r>
    <r>
      <rPr>
        <vertAlign val="subscript"/>
        <sz val="11"/>
        <color indexed="8"/>
        <rFont val="Calibri"/>
        <family val="2"/>
        <scheme val="minor"/>
      </rPr>
      <t>AMX,NO2</t>
    </r>
    <r>
      <rPr>
        <sz val="11"/>
        <color indexed="8"/>
        <rFont val="Calibri"/>
        <family val="2"/>
        <scheme val="minor"/>
      </rPr>
      <t>*i</t>
    </r>
    <r>
      <rPr>
        <vertAlign val="subscript"/>
        <sz val="11"/>
        <color indexed="8"/>
        <rFont val="Calibri"/>
        <family val="2"/>
        <scheme val="minor"/>
      </rPr>
      <t>N,BIO</t>
    </r>
    <r>
      <rPr>
        <sz val="11"/>
        <color indexed="8"/>
        <rFont val="Calibri"/>
        <family val="2"/>
        <scheme val="minor"/>
      </rPr>
      <t>*AM</t>
    </r>
    <r>
      <rPr>
        <vertAlign val="subscript"/>
        <sz val="11"/>
        <color indexed="8"/>
        <rFont val="Calibri"/>
        <family val="2"/>
        <scheme val="minor"/>
      </rPr>
      <t>O</t>
    </r>
    <r>
      <rPr>
        <sz val="11"/>
        <color indexed="8"/>
        <rFont val="Calibri"/>
        <family val="2"/>
        <scheme val="minor"/>
      </rPr>
      <t>)/AM</t>
    </r>
    <r>
      <rPr>
        <vertAlign val="subscript"/>
        <sz val="11"/>
        <color indexed="8"/>
        <rFont val="Calibri"/>
        <family val="2"/>
        <scheme val="minor"/>
      </rPr>
      <t>O</t>
    </r>
    <r>
      <rPr>
        <sz val="11"/>
        <color indexed="8"/>
        <rFont val="Calibri"/>
        <family val="2"/>
        <scheme val="minor"/>
      </rPr>
      <t>/(3*Y</t>
    </r>
    <r>
      <rPr>
        <vertAlign val="subscript"/>
        <sz val="11"/>
        <color indexed="8"/>
        <rFont val="Calibri"/>
        <family val="2"/>
        <scheme val="minor"/>
      </rPr>
      <t>AMX,NO2</t>
    </r>
    <r>
      <rPr>
        <sz val="11"/>
        <color indexed="8"/>
        <rFont val="Calibri"/>
        <family val="2"/>
        <scheme val="minor"/>
      </rPr>
      <t>-5*Y</t>
    </r>
    <r>
      <rPr>
        <vertAlign val="subscript"/>
        <sz val="11"/>
        <color indexed="8"/>
        <rFont val="Calibri"/>
        <family val="2"/>
        <scheme val="minor"/>
      </rPr>
      <t>AMX,NO3</t>
    </r>
    <r>
      <rPr>
        <sz val="11"/>
        <color indexed="8"/>
        <rFont val="Calibri"/>
        <family val="2"/>
        <scheme val="minor"/>
      </rPr>
      <t>-3)</t>
    </r>
  </si>
  <si>
    <r>
      <t>OHO growth on VFAs, NO</t>
    </r>
    <r>
      <rPr>
        <vertAlign val="subscript"/>
        <sz val="11"/>
        <color rgb="FF000000"/>
        <rFont val="Calibri"/>
        <family val="2"/>
        <scheme val="minor"/>
      </rPr>
      <t>2</t>
    </r>
  </si>
  <si>
    <r>
      <t>OHO growth on S</t>
    </r>
    <r>
      <rPr>
        <vertAlign val="subscript"/>
        <sz val="11"/>
        <color rgb="FF000000"/>
        <rFont val="Calibri"/>
        <family val="2"/>
        <scheme val="minor"/>
      </rPr>
      <t>B</t>
    </r>
    <r>
      <rPr>
        <sz val="11"/>
        <color rgb="FF000000"/>
        <rFont val="Calibri"/>
        <family val="2"/>
        <charset val="238"/>
        <scheme val="minor"/>
      </rPr>
      <t>, NO</t>
    </r>
    <r>
      <rPr>
        <vertAlign val="subscript"/>
        <sz val="11"/>
        <color rgb="FF000000"/>
        <rFont val="Calibri"/>
        <family val="2"/>
        <scheme val="minor"/>
      </rPr>
      <t>2</t>
    </r>
  </si>
  <si>
    <r>
      <t>MEOLO growth, NO</t>
    </r>
    <r>
      <rPr>
        <vertAlign val="subscript"/>
        <sz val="11"/>
        <color rgb="FF000000"/>
        <rFont val="Calibri"/>
        <family val="2"/>
        <scheme val="minor"/>
      </rPr>
      <t>2</t>
    </r>
  </si>
  <si>
    <r>
      <t>PAO growth on PHA, NO</t>
    </r>
    <r>
      <rPr>
        <vertAlign val="subscript"/>
        <sz val="11"/>
        <color rgb="FF000000"/>
        <rFont val="Calibri"/>
        <family val="2"/>
        <scheme val="minor"/>
      </rPr>
      <t>2</t>
    </r>
    <r>
      <rPr>
        <sz val="11"/>
        <color rgb="FF000000"/>
        <rFont val="Calibri"/>
        <family val="2"/>
        <charset val="238"/>
        <scheme val="minor"/>
      </rPr>
      <t>; PO</t>
    </r>
    <r>
      <rPr>
        <vertAlign val="subscript"/>
        <sz val="11"/>
        <color rgb="FF000000"/>
        <rFont val="Calibri"/>
        <family val="2"/>
        <scheme val="minor"/>
      </rPr>
      <t>4</t>
    </r>
    <r>
      <rPr>
        <sz val="11"/>
        <color rgb="FF000000"/>
        <rFont val="Calibri"/>
        <family val="2"/>
        <charset val="238"/>
        <scheme val="minor"/>
      </rPr>
      <t xml:space="preserve"> limited</t>
    </r>
  </si>
  <si>
    <r>
      <t>-(1-Y</t>
    </r>
    <r>
      <rPr>
        <vertAlign val="subscript"/>
        <sz val="11"/>
        <rFont val="Calibri"/>
        <family val="2"/>
      </rPr>
      <t>OHO,VFA,anox</t>
    </r>
    <r>
      <rPr>
        <sz val="11"/>
        <rFont val="Calibri"/>
        <family val="2"/>
      </rPr>
      <t>)/(EEQ</t>
    </r>
    <r>
      <rPr>
        <vertAlign val="subscript"/>
        <sz val="11"/>
        <rFont val="Calibri"/>
        <family val="2"/>
      </rPr>
      <t>N2,NO2</t>
    </r>
    <r>
      <rPr>
        <sz val="11"/>
        <rFont val="Calibri"/>
        <family val="2"/>
      </rPr>
      <t>*Y</t>
    </r>
    <r>
      <rPr>
        <vertAlign val="subscript"/>
        <sz val="11"/>
        <rFont val="Calibri"/>
        <family val="2"/>
      </rPr>
      <t>OHO,VFA,anox</t>
    </r>
    <r>
      <rPr>
        <sz val="11"/>
        <rFont val="Calibri"/>
        <family val="2"/>
      </rPr>
      <t>)</t>
    </r>
  </si>
  <si>
    <r>
      <t>(1-Y</t>
    </r>
    <r>
      <rPr>
        <vertAlign val="subscript"/>
        <sz val="11"/>
        <rFont val="Calibri"/>
        <family val="2"/>
      </rPr>
      <t>OHO,VFA,anox</t>
    </r>
    <r>
      <rPr>
        <sz val="11"/>
        <rFont val="Calibri"/>
        <family val="2"/>
      </rPr>
      <t>)/(EEQ</t>
    </r>
    <r>
      <rPr>
        <vertAlign val="subscript"/>
        <sz val="11"/>
        <rFont val="Calibri"/>
        <family val="2"/>
      </rPr>
      <t>N2,NO2</t>
    </r>
    <r>
      <rPr>
        <sz val="11"/>
        <rFont val="Calibri"/>
        <family val="2"/>
      </rPr>
      <t>*Y</t>
    </r>
    <r>
      <rPr>
        <vertAlign val="subscript"/>
        <sz val="11"/>
        <rFont val="Calibri"/>
        <family val="2"/>
      </rPr>
      <t>OHO,VFA,anox</t>
    </r>
    <r>
      <rPr>
        <sz val="11"/>
        <rFont val="Calibri"/>
        <family val="2"/>
      </rPr>
      <t>)</t>
    </r>
  </si>
  <si>
    <r>
      <t>(1-Y</t>
    </r>
    <r>
      <rPr>
        <vertAlign val="subscript"/>
        <sz val="11"/>
        <rFont val="Calibri"/>
        <family val="2"/>
      </rPr>
      <t>OHO,VFA,anox</t>
    </r>
    <r>
      <rPr>
        <sz val="11"/>
        <rFont val="Calibri"/>
        <family val="2"/>
      </rPr>
      <t>)/(EEQ</t>
    </r>
    <r>
      <rPr>
        <vertAlign val="subscript"/>
        <sz val="11"/>
        <rFont val="Calibri"/>
        <family val="2"/>
      </rPr>
      <t>NO2,NO3</t>
    </r>
    <r>
      <rPr>
        <sz val="11"/>
        <rFont val="Calibri"/>
        <family val="2"/>
      </rPr>
      <t>*Y</t>
    </r>
    <r>
      <rPr>
        <vertAlign val="subscript"/>
        <sz val="11"/>
        <rFont val="Calibri"/>
        <family val="2"/>
      </rPr>
      <t>OHO,VFA,anox</t>
    </r>
    <r>
      <rPr>
        <sz val="11"/>
        <rFont val="Calibri"/>
        <family val="2"/>
      </rPr>
      <t>)</t>
    </r>
  </si>
  <si>
    <r>
      <t>-(1-Y</t>
    </r>
    <r>
      <rPr>
        <vertAlign val="subscript"/>
        <sz val="11"/>
        <rFont val="Calibri"/>
        <family val="2"/>
      </rPr>
      <t>OHO,VFA,anox</t>
    </r>
    <r>
      <rPr>
        <sz val="11"/>
        <rFont val="Calibri"/>
        <family val="2"/>
      </rPr>
      <t>)/(EEQ</t>
    </r>
    <r>
      <rPr>
        <vertAlign val="subscript"/>
        <sz val="11"/>
        <rFont val="Calibri"/>
        <family val="2"/>
      </rPr>
      <t>NO2,NO3</t>
    </r>
    <r>
      <rPr>
        <sz val="11"/>
        <rFont val="Calibri"/>
        <family val="2"/>
      </rPr>
      <t>*Y</t>
    </r>
    <r>
      <rPr>
        <vertAlign val="subscript"/>
        <sz val="11"/>
        <rFont val="Calibri"/>
        <family val="2"/>
      </rPr>
      <t>OHO,VFA,anox</t>
    </r>
    <r>
      <rPr>
        <sz val="11"/>
        <rFont val="Calibri"/>
        <family val="2"/>
      </rPr>
      <t>)</t>
    </r>
  </si>
  <si>
    <r>
      <t>-(1-Y</t>
    </r>
    <r>
      <rPr>
        <vertAlign val="subscript"/>
        <sz val="11"/>
        <rFont val="Calibri"/>
        <family val="2"/>
      </rPr>
      <t>MEOLO</t>
    </r>
    <r>
      <rPr>
        <sz val="11"/>
        <rFont val="Calibri"/>
        <family val="2"/>
      </rPr>
      <t>)/(EEQ</t>
    </r>
    <r>
      <rPr>
        <vertAlign val="subscript"/>
        <sz val="11"/>
        <rFont val="Calibri"/>
        <family val="2"/>
      </rPr>
      <t>N2,NO2</t>
    </r>
    <r>
      <rPr>
        <sz val="11"/>
        <rFont val="Calibri"/>
        <family val="2"/>
      </rPr>
      <t>*Y</t>
    </r>
    <r>
      <rPr>
        <vertAlign val="subscript"/>
        <sz val="11"/>
        <rFont val="Calibri"/>
        <family val="2"/>
      </rPr>
      <t>MEOLO</t>
    </r>
    <r>
      <rPr>
        <sz val="11"/>
        <rFont val="Calibri"/>
        <family val="2"/>
      </rPr>
      <t>)</t>
    </r>
  </si>
  <si>
    <r>
      <t>(1-Y</t>
    </r>
    <r>
      <rPr>
        <vertAlign val="subscript"/>
        <sz val="11"/>
        <rFont val="Calibri"/>
        <family val="2"/>
      </rPr>
      <t>MEOLO</t>
    </r>
    <r>
      <rPr>
        <sz val="11"/>
        <rFont val="Calibri"/>
        <family val="2"/>
      </rPr>
      <t>)/(EEQ</t>
    </r>
    <r>
      <rPr>
        <vertAlign val="subscript"/>
        <sz val="11"/>
        <rFont val="Calibri"/>
        <family val="2"/>
      </rPr>
      <t>N2,NO2</t>
    </r>
    <r>
      <rPr>
        <sz val="11"/>
        <rFont val="Calibri"/>
        <family val="2"/>
      </rPr>
      <t>*Y</t>
    </r>
    <r>
      <rPr>
        <vertAlign val="subscript"/>
        <sz val="11"/>
        <rFont val="Calibri"/>
        <family val="2"/>
      </rPr>
      <t>MEOLO</t>
    </r>
    <r>
      <rPr>
        <sz val="11"/>
        <rFont val="Calibri"/>
        <family val="2"/>
      </rPr>
      <t>)</t>
    </r>
  </si>
  <si>
    <r>
      <t>(1-Y</t>
    </r>
    <r>
      <rPr>
        <vertAlign val="subscript"/>
        <sz val="11"/>
        <rFont val="Calibri"/>
        <family val="2"/>
      </rPr>
      <t>MEOLO</t>
    </r>
    <r>
      <rPr>
        <sz val="11"/>
        <rFont val="Calibri"/>
        <family val="2"/>
      </rPr>
      <t>)/(EEQ</t>
    </r>
    <r>
      <rPr>
        <vertAlign val="subscript"/>
        <sz val="11"/>
        <rFont val="Calibri"/>
        <family val="2"/>
      </rPr>
      <t>NO2,NO3</t>
    </r>
    <r>
      <rPr>
        <sz val="11"/>
        <rFont val="Calibri"/>
        <family val="2"/>
      </rPr>
      <t>*Y</t>
    </r>
    <r>
      <rPr>
        <vertAlign val="subscript"/>
        <sz val="11"/>
        <rFont val="Calibri"/>
        <family val="2"/>
      </rPr>
      <t>MEOLO</t>
    </r>
    <r>
      <rPr>
        <sz val="11"/>
        <rFont val="Calibri"/>
        <family val="2"/>
      </rPr>
      <t>)</t>
    </r>
  </si>
  <si>
    <r>
      <t>-(1-Y</t>
    </r>
    <r>
      <rPr>
        <vertAlign val="subscript"/>
        <sz val="11"/>
        <rFont val="Calibri"/>
        <family val="2"/>
      </rPr>
      <t>MEOLO</t>
    </r>
    <r>
      <rPr>
        <sz val="11"/>
        <rFont val="Calibri"/>
        <family val="2"/>
      </rPr>
      <t>)/(EEQ</t>
    </r>
    <r>
      <rPr>
        <vertAlign val="subscript"/>
        <sz val="11"/>
        <rFont val="Calibri"/>
        <family val="2"/>
      </rPr>
      <t>NO2,NO3</t>
    </r>
    <r>
      <rPr>
        <sz val="11"/>
        <rFont val="Calibri"/>
        <family val="2"/>
      </rPr>
      <t>*Y</t>
    </r>
    <r>
      <rPr>
        <vertAlign val="subscript"/>
        <sz val="11"/>
        <rFont val="Calibri"/>
        <family val="2"/>
      </rPr>
      <t>MEOLO</t>
    </r>
    <r>
      <rPr>
        <sz val="11"/>
        <rFont val="Calibri"/>
        <family val="2"/>
      </rPr>
      <t>)</t>
    </r>
  </si>
  <si>
    <r>
      <t>K</t>
    </r>
    <r>
      <rPr>
        <vertAlign val="subscript"/>
        <sz val="11"/>
        <rFont val="Calibri"/>
        <family val="2"/>
        <scheme val="minor"/>
      </rPr>
      <t>NO2,OHO,AS</t>
    </r>
  </si>
  <si>
    <r>
      <t>K</t>
    </r>
    <r>
      <rPr>
        <vertAlign val="subscript"/>
        <sz val="11"/>
        <rFont val="Calibri"/>
        <family val="2"/>
        <scheme val="minor"/>
      </rPr>
      <t>NO2,MEOLO,AS</t>
    </r>
  </si>
  <si>
    <r>
      <t>µ</t>
    </r>
    <r>
      <rPr>
        <vertAlign val="subscript"/>
        <sz val="11"/>
        <color indexed="8"/>
        <rFont val="Calibri"/>
        <family val="2"/>
        <scheme val="minor"/>
      </rPr>
      <t>AOB</t>
    </r>
  </si>
  <si>
    <t>Maximum specific growth rate of AOBs</t>
  </si>
  <si>
    <r>
      <t>K</t>
    </r>
    <r>
      <rPr>
        <vertAlign val="subscript"/>
        <sz val="11"/>
        <color indexed="8"/>
        <rFont val="Calibri"/>
        <family val="2"/>
        <scheme val="minor"/>
      </rPr>
      <t>NHx,AOB,AS</t>
    </r>
  </si>
  <si>
    <r>
      <t>b</t>
    </r>
    <r>
      <rPr>
        <vertAlign val="subscript"/>
        <sz val="11"/>
        <color indexed="8"/>
        <rFont val="Calibri"/>
        <family val="2"/>
        <scheme val="minor"/>
      </rPr>
      <t>AOB</t>
    </r>
  </si>
  <si>
    <r>
      <t>K</t>
    </r>
    <r>
      <rPr>
        <vertAlign val="subscript"/>
        <sz val="11"/>
        <color indexed="8"/>
        <rFont val="Calibri"/>
        <family val="2"/>
        <scheme val="minor"/>
      </rPr>
      <t>CO2,AOB,pH,sidestream</t>
    </r>
  </si>
  <si>
    <r>
      <t>K</t>
    </r>
    <r>
      <rPr>
        <vertAlign val="subscript"/>
        <sz val="11"/>
        <color indexed="8"/>
        <rFont val="Calibri"/>
        <family val="2"/>
        <scheme val="minor"/>
      </rPr>
      <t>CO2,AOB,pH,AS</t>
    </r>
  </si>
  <si>
    <r>
      <t>K</t>
    </r>
    <r>
      <rPr>
        <vertAlign val="subscript"/>
        <sz val="11"/>
        <color indexed="8"/>
        <rFont val="Calibri"/>
        <family val="2"/>
        <scheme val="minor"/>
      </rPr>
      <t>O2,AOB,sidestream</t>
    </r>
  </si>
  <si>
    <r>
      <t>K</t>
    </r>
    <r>
      <rPr>
        <vertAlign val="subscript"/>
        <sz val="11"/>
        <color indexed="8"/>
        <rFont val="Calibri"/>
        <family val="2"/>
        <scheme val="minor"/>
      </rPr>
      <t>O2,AOB,AS</t>
    </r>
  </si>
  <si>
    <r>
      <t>K</t>
    </r>
    <r>
      <rPr>
        <vertAlign val="subscript"/>
        <sz val="11"/>
        <color indexed="8"/>
        <rFont val="Calibri"/>
        <family val="2"/>
        <scheme val="minor"/>
      </rPr>
      <t>NOx,AOB,AS</t>
    </r>
  </si>
  <si>
    <r>
      <t>µ</t>
    </r>
    <r>
      <rPr>
        <vertAlign val="subscript"/>
        <sz val="11"/>
        <color indexed="8"/>
        <rFont val="Calibri"/>
        <family val="2"/>
        <scheme val="minor"/>
      </rPr>
      <t>NOB</t>
    </r>
  </si>
  <si>
    <t>Maximum specific growth rate of NOBs</t>
  </si>
  <si>
    <r>
      <t>K</t>
    </r>
    <r>
      <rPr>
        <vertAlign val="subscript"/>
        <sz val="11"/>
        <color indexed="8"/>
        <rFont val="Calibri"/>
        <family val="2"/>
        <scheme val="minor"/>
      </rPr>
      <t>NO2,NOB,AS</t>
    </r>
  </si>
  <si>
    <r>
      <t>b</t>
    </r>
    <r>
      <rPr>
        <vertAlign val="subscript"/>
        <sz val="11"/>
        <color indexed="8"/>
        <rFont val="Calibri"/>
        <family val="2"/>
        <scheme val="minor"/>
      </rPr>
      <t>NOB</t>
    </r>
  </si>
  <si>
    <r>
      <t>K</t>
    </r>
    <r>
      <rPr>
        <vertAlign val="subscript"/>
        <sz val="11"/>
        <color indexed="8"/>
        <rFont val="Calibri"/>
        <family val="2"/>
        <scheme val="minor"/>
      </rPr>
      <t>CO2,NOB,pH,AS</t>
    </r>
  </si>
  <si>
    <r>
      <t>K</t>
    </r>
    <r>
      <rPr>
        <vertAlign val="subscript"/>
        <sz val="11"/>
        <color indexed="8"/>
        <rFont val="Calibri"/>
        <family val="2"/>
        <scheme val="minor"/>
      </rPr>
      <t>O2,NOB,sidestream</t>
    </r>
  </si>
  <si>
    <r>
      <t>K</t>
    </r>
    <r>
      <rPr>
        <vertAlign val="subscript"/>
        <sz val="11"/>
        <color indexed="8"/>
        <rFont val="Calibri"/>
        <family val="2"/>
        <scheme val="minor"/>
      </rPr>
      <t>O2,NOB,AS</t>
    </r>
  </si>
  <si>
    <r>
      <t>K</t>
    </r>
    <r>
      <rPr>
        <vertAlign val="subscript"/>
        <sz val="11"/>
        <color indexed="8"/>
        <rFont val="Calibri"/>
        <family val="2"/>
        <scheme val="minor"/>
      </rPr>
      <t>NOx,NOB,AS</t>
    </r>
  </si>
  <si>
    <r>
      <t>µ</t>
    </r>
    <r>
      <rPr>
        <vertAlign val="subscript"/>
        <sz val="11"/>
        <color indexed="8"/>
        <rFont val="Calibri"/>
        <family val="2"/>
        <scheme val="minor"/>
      </rPr>
      <t>AMX</t>
    </r>
  </si>
  <si>
    <r>
      <t>b</t>
    </r>
    <r>
      <rPr>
        <vertAlign val="subscript"/>
        <sz val="11"/>
        <color indexed="8"/>
        <rFont val="Calibri"/>
        <family val="2"/>
        <scheme val="minor"/>
      </rPr>
      <t>AMX</t>
    </r>
  </si>
  <si>
    <r>
      <t>K</t>
    </r>
    <r>
      <rPr>
        <vertAlign val="subscript"/>
        <sz val="11"/>
        <color indexed="8"/>
        <rFont val="Calibri"/>
        <family val="2"/>
        <scheme val="minor"/>
      </rPr>
      <t>NHx,AMX,AS</t>
    </r>
  </si>
  <si>
    <r>
      <t>K</t>
    </r>
    <r>
      <rPr>
        <vertAlign val="subscript"/>
        <sz val="11"/>
        <color indexed="8"/>
        <rFont val="Calibri"/>
        <family val="2"/>
        <scheme val="minor"/>
      </rPr>
      <t>NO2,AMX,AS</t>
    </r>
  </si>
  <si>
    <r>
      <t>K</t>
    </r>
    <r>
      <rPr>
        <vertAlign val="subscript"/>
        <sz val="11"/>
        <color indexed="8"/>
        <rFont val="Calibri"/>
        <family val="2"/>
        <scheme val="minor"/>
      </rPr>
      <t>CO2,AMX,pH,AS</t>
    </r>
  </si>
  <si>
    <r>
      <t>K</t>
    </r>
    <r>
      <rPr>
        <vertAlign val="subscript"/>
        <sz val="11"/>
        <color indexed="8"/>
        <rFont val="Calibri"/>
        <family val="2"/>
        <scheme val="minor"/>
      </rPr>
      <t>NOx,AMX,AS</t>
    </r>
  </si>
  <si>
    <r>
      <t>θ</t>
    </r>
    <r>
      <rPr>
        <vertAlign val="subscript"/>
        <sz val="11"/>
        <color indexed="8"/>
        <rFont val="Calibri"/>
        <family val="2"/>
        <scheme val="minor"/>
      </rPr>
      <t>µ,AOB</t>
    </r>
  </si>
  <si>
    <t>Arrhenius coefficient for AOB growth</t>
  </si>
  <si>
    <r>
      <t>θ</t>
    </r>
    <r>
      <rPr>
        <vertAlign val="subscript"/>
        <sz val="11"/>
        <color indexed="8"/>
        <rFont val="Calibri"/>
        <family val="2"/>
        <scheme val="minor"/>
      </rPr>
      <t>b,AOB</t>
    </r>
  </si>
  <si>
    <t>Arrhenius coefficient for AOB decay</t>
  </si>
  <si>
    <r>
      <t>θ</t>
    </r>
    <r>
      <rPr>
        <vertAlign val="subscript"/>
        <sz val="11"/>
        <color indexed="8"/>
        <rFont val="Calibri"/>
        <family val="2"/>
        <scheme val="minor"/>
      </rPr>
      <t>µ,NOB</t>
    </r>
  </si>
  <si>
    <t>Arrhenius coefficient for NOB growth</t>
  </si>
  <si>
    <r>
      <t>θ</t>
    </r>
    <r>
      <rPr>
        <vertAlign val="subscript"/>
        <sz val="11"/>
        <color indexed="8"/>
        <rFont val="Calibri"/>
        <family val="2"/>
        <scheme val="minor"/>
      </rPr>
      <t>b,NOB</t>
    </r>
  </si>
  <si>
    <t>Arrhenius coefficient for NOB decay</t>
  </si>
  <si>
    <r>
      <t>θ</t>
    </r>
    <r>
      <rPr>
        <vertAlign val="subscript"/>
        <sz val="11"/>
        <color indexed="8"/>
        <rFont val="Calibri"/>
        <family val="2"/>
        <scheme val="minor"/>
      </rPr>
      <t>µ,AMX</t>
    </r>
  </si>
  <si>
    <t>Arrhenius coefficient for anammox growth</t>
  </si>
  <si>
    <r>
      <t>θ</t>
    </r>
    <r>
      <rPr>
        <vertAlign val="subscript"/>
        <sz val="11"/>
        <color indexed="8"/>
        <rFont val="Calibri"/>
        <family val="2"/>
        <scheme val="minor"/>
      </rPr>
      <t>b,AMX</t>
    </r>
  </si>
  <si>
    <t>Arrhenius coefficient for anammox decay</t>
  </si>
  <si>
    <r>
      <t>Y</t>
    </r>
    <r>
      <rPr>
        <vertAlign val="subscript"/>
        <sz val="11"/>
        <rFont val="Calibri"/>
        <family val="2"/>
        <scheme val="minor"/>
      </rPr>
      <t>AOB</t>
    </r>
  </si>
  <si>
    <r>
      <t>Y</t>
    </r>
    <r>
      <rPr>
        <vertAlign val="subscript"/>
        <sz val="11"/>
        <rFont val="Calibri"/>
        <family val="2"/>
        <scheme val="minor"/>
      </rPr>
      <t>NOB</t>
    </r>
  </si>
  <si>
    <r>
      <t>Y</t>
    </r>
    <r>
      <rPr>
        <vertAlign val="subscript"/>
        <sz val="11"/>
        <rFont val="Calibri"/>
        <family val="2"/>
        <scheme val="minor"/>
      </rPr>
      <t>AMX,NO2</t>
    </r>
  </si>
  <si>
    <r>
      <t>Y</t>
    </r>
    <r>
      <rPr>
        <vertAlign val="subscript"/>
        <sz val="11"/>
        <rFont val="Calibri"/>
        <family val="2"/>
        <scheme val="minor"/>
      </rPr>
      <t>AMX,NO3</t>
    </r>
  </si>
  <si>
    <t>BigReal</t>
  </si>
  <si>
    <r>
      <t>S</t>
    </r>
    <r>
      <rPr>
        <vertAlign val="subscript"/>
        <sz val="11"/>
        <rFont val="Calibri"/>
        <family val="2"/>
      </rPr>
      <t>NOx</t>
    </r>
  </si>
  <si>
    <t>Nitrite uptake rate (N2UR)</t>
  </si>
  <si>
    <r>
      <t>K</t>
    </r>
    <r>
      <rPr>
        <vertAlign val="subscript"/>
        <sz val="11"/>
        <rFont val="Calibri"/>
        <family val="2"/>
        <scheme val="minor"/>
      </rPr>
      <t>NHx,AOB</t>
    </r>
  </si>
  <si>
    <r>
      <t>K</t>
    </r>
    <r>
      <rPr>
        <vertAlign val="subscript"/>
        <sz val="11"/>
        <rFont val="Calibri"/>
        <family val="2"/>
      </rPr>
      <t>NHx,AOB,AS</t>
    </r>
  </si>
  <si>
    <r>
      <t>K</t>
    </r>
    <r>
      <rPr>
        <vertAlign val="subscript"/>
        <sz val="11"/>
        <rFont val="Calibri"/>
        <family val="2"/>
        <scheme val="minor"/>
      </rPr>
      <t>CO2,AOB,pH</t>
    </r>
  </si>
  <si>
    <r>
      <t>K</t>
    </r>
    <r>
      <rPr>
        <vertAlign val="subscript"/>
        <sz val="11"/>
        <rFont val="Calibri"/>
        <family val="2"/>
      </rPr>
      <t>CO2,AOB,pH,AS</t>
    </r>
  </si>
  <si>
    <r>
      <t>K</t>
    </r>
    <r>
      <rPr>
        <vertAlign val="subscript"/>
        <sz val="11"/>
        <rFont val="Calibri"/>
        <family val="2"/>
      </rPr>
      <t>CO2,AOB,pH,sidestream</t>
    </r>
  </si>
  <si>
    <r>
      <t>K</t>
    </r>
    <r>
      <rPr>
        <vertAlign val="subscript"/>
        <sz val="11"/>
        <rFont val="Calibri"/>
        <family val="2"/>
        <scheme val="minor"/>
      </rPr>
      <t>O2,AOB</t>
    </r>
  </si>
  <si>
    <r>
      <t>K</t>
    </r>
    <r>
      <rPr>
        <vertAlign val="subscript"/>
        <sz val="11"/>
        <rFont val="Calibri"/>
        <family val="2"/>
      </rPr>
      <t>O2,AOB,AS</t>
    </r>
  </si>
  <si>
    <r>
      <t>K</t>
    </r>
    <r>
      <rPr>
        <vertAlign val="subscript"/>
        <sz val="11"/>
        <rFont val="Calibri"/>
        <family val="2"/>
      </rPr>
      <t>O2,AOB,sidestream</t>
    </r>
  </si>
  <si>
    <r>
      <t>K</t>
    </r>
    <r>
      <rPr>
        <vertAlign val="subscript"/>
        <sz val="11"/>
        <rFont val="Calibri"/>
        <family val="2"/>
        <scheme val="minor"/>
      </rPr>
      <t>NOx,AOB</t>
    </r>
  </si>
  <si>
    <r>
      <t>K</t>
    </r>
    <r>
      <rPr>
        <vertAlign val="subscript"/>
        <sz val="11"/>
        <rFont val="Calibri"/>
        <family val="2"/>
      </rPr>
      <t>NOx,AOB,AS</t>
    </r>
  </si>
  <si>
    <r>
      <t>K</t>
    </r>
    <r>
      <rPr>
        <vertAlign val="subscript"/>
        <sz val="11"/>
        <rFont val="Calibri"/>
        <family val="2"/>
        <scheme val="minor"/>
      </rPr>
      <t>NO2,NOB</t>
    </r>
  </si>
  <si>
    <r>
      <t>K</t>
    </r>
    <r>
      <rPr>
        <vertAlign val="subscript"/>
        <sz val="11"/>
        <rFont val="Calibri"/>
        <family val="2"/>
      </rPr>
      <t>NO2,NOB,AS</t>
    </r>
  </si>
  <si>
    <r>
      <t>K</t>
    </r>
    <r>
      <rPr>
        <vertAlign val="subscript"/>
        <sz val="11"/>
        <rFont val="Calibri"/>
        <family val="2"/>
        <scheme val="minor"/>
      </rPr>
      <t>CO2,NOB,pH</t>
    </r>
  </si>
  <si>
    <r>
      <t>K</t>
    </r>
    <r>
      <rPr>
        <vertAlign val="subscript"/>
        <sz val="11"/>
        <rFont val="Calibri"/>
        <family val="2"/>
      </rPr>
      <t>CO2,NOB,pH,AS</t>
    </r>
  </si>
  <si>
    <r>
      <t>K</t>
    </r>
    <r>
      <rPr>
        <vertAlign val="subscript"/>
        <sz val="11"/>
        <rFont val="Calibri"/>
        <family val="2"/>
        <scheme val="minor"/>
      </rPr>
      <t>O2,NOB</t>
    </r>
  </si>
  <si>
    <r>
      <t>K</t>
    </r>
    <r>
      <rPr>
        <vertAlign val="subscript"/>
        <sz val="11"/>
        <rFont val="Calibri"/>
        <family val="2"/>
      </rPr>
      <t>O2,NOB,AS</t>
    </r>
  </si>
  <si>
    <r>
      <t>K</t>
    </r>
    <r>
      <rPr>
        <vertAlign val="subscript"/>
        <sz val="11"/>
        <rFont val="Calibri"/>
        <family val="2"/>
      </rPr>
      <t>O2,NOB,sidestream</t>
    </r>
  </si>
  <si>
    <r>
      <t>K</t>
    </r>
    <r>
      <rPr>
        <vertAlign val="subscript"/>
        <sz val="11"/>
        <rFont val="Calibri"/>
        <family val="2"/>
        <scheme val="minor"/>
      </rPr>
      <t>NOx,NOB</t>
    </r>
  </si>
  <si>
    <r>
      <t>K</t>
    </r>
    <r>
      <rPr>
        <vertAlign val="subscript"/>
        <sz val="11"/>
        <rFont val="Calibri"/>
        <family val="2"/>
      </rPr>
      <t>NOx,NOB,AS</t>
    </r>
  </si>
  <si>
    <r>
      <t>K</t>
    </r>
    <r>
      <rPr>
        <vertAlign val="subscript"/>
        <sz val="11"/>
        <rFont val="Calibri"/>
        <family val="2"/>
        <scheme val="minor"/>
      </rPr>
      <t>NHx,AMX</t>
    </r>
  </si>
  <si>
    <r>
      <t>K</t>
    </r>
    <r>
      <rPr>
        <vertAlign val="subscript"/>
        <sz val="11"/>
        <rFont val="Calibri"/>
        <family val="2"/>
      </rPr>
      <t>NHx,AMX,AS</t>
    </r>
  </si>
  <si>
    <r>
      <t>K</t>
    </r>
    <r>
      <rPr>
        <vertAlign val="subscript"/>
        <sz val="11"/>
        <rFont val="Calibri"/>
        <family val="2"/>
        <scheme val="minor"/>
      </rPr>
      <t>NO2,AMX</t>
    </r>
  </si>
  <si>
    <r>
      <t>K</t>
    </r>
    <r>
      <rPr>
        <vertAlign val="subscript"/>
        <sz val="11"/>
        <rFont val="Calibri"/>
        <family val="2"/>
      </rPr>
      <t>NO2,AMX,AS</t>
    </r>
  </si>
  <si>
    <r>
      <t>K</t>
    </r>
    <r>
      <rPr>
        <vertAlign val="subscript"/>
        <sz val="11"/>
        <rFont val="Calibri"/>
        <family val="2"/>
        <scheme val="minor"/>
      </rPr>
      <t>CO2,AMX,pH</t>
    </r>
  </si>
  <si>
    <r>
      <t>K</t>
    </r>
    <r>
      <rPr>
        <vertAlign val="subscript"/>
        <sz val="11"/>
        <rFont val="Calibri"/>
        <family val="2"/>
      </rPr>
      <t>CO2,AMX,pH,AS</t>
    </r>
  </si>
  <si>
    <r>
      <t>K</t>
    </r>
    <r>
      <rPr>
        <vertAlign val="subscript"/>
        <sz val="11"/>
        <rFont val="Calibri"/>
        <family val="2"/>
        <scheme val="minor"/>
      </rPr>
      <t>NOx,AMX</t>
    </r>
  </si>
  <si>
    <r>
      <t>K</t>
    </r>
    <r>
      <rPr>
        <vertAlign val="subscript"/>
        <sz val="11"/>
        <rFont val="Calibri"/>
        <family val="2"/>
      </rPr>
      <t>NOx,AMX,AS</t>
    </r>
  </si>
  <si>
    <r>
      <t>K</t>
    </r>
    <r>
      <rPr>
        <vertAlign val="subscript"/>
        <sz val="11"/>
        <rFont val="Calibri"/>
        <family val="2"/>
      </rPr>
      <t>NO2,OHO</t>
    </r>
  </si>
  <si>
    <r>
      <t>K</t>
    </r>
    <r>
      <rPr>
        <vertAlign val="subscript"/>
        <sz val="11"/>
        <rFont val="Calibri"/>
        <family val="2"/>
      </rPr>
      <t>NO2,OHO,AS</t>
    </r>
  </si>
  <si>
    <r>
      <t>K</t>
    </r>
    <r>
      <rPr>
        <vertAlign val="subscript"/>
        <sz val="11"/>
        <rFont val="Calibri"/>
        <family val="2"/>
      </rPr>
      <t>NO2,MEOLO</t>
    </r>
  </si>
  <si>
    <r>
      <t>K</t>
    </r>
    <r>
      <rPr>
        <vertAlign val="subscript"/>
        <sz val="11"/>
        <rFont val="Calibri"/>
        <family val="2"/>
      </rPr>
      <t>NO2,MEOLO,AS</t>
    </r>
  </si>
  <si>
    <r>
      <t>K</t>
    </r>
    <r>
      <rPr>
        <vertAlign val="subscript"/>
        <sz val="11"/>
        <rFont val="Calibri"/>
        <family val="2"/>
        <scheme val="minor"/>
      </rPr>
      <t>NO2,ASSIM</t>
    </r>
  </si>
  <si>
    <r>
      <t>K</t>
    </r>
    <r>
      <rPr>
        <vertAlign val="subscript"/>
        <sz val="11"/>
        <rFont val="Calibri"/>
        <family val="2"/>
        <scheme val="minor"/>
      </rPr>
      <t>NO2,ASSIM,AS</t>
    </r>
  </si>
  <si>
    <r>
      <t>K</t>
    </r>
    <r>
      <rPr>
        <vertAlign val="subscript"/>
        <sz val="11"/>
        <rFont val="Calibri"/>
        <family val="2"/>
        <scheme val="minor"/>
      </rPr>
      <t>NO3,ASSIM</t>
    </r>
  </si>
  <si>
    <r>
      <t>K</t>
    </r>
    <r>
      <rPr>
        <vertAlign val="subscript"/>
        <sz val="11"/>
        <rFont val="Calibri"/>
        <family val="2"/>
        <scheme val="minor"/>
      </rPr>
      <t>NO3,ASSIM,AS</t>
    </r>
  </si>
  <si>
    <r>
      <t>NO</t>
    </r>
    <r>
      <rPr>
        <vertAlign val="subscript"/>
        <sz val="11"/>
        <color rgb="FF000000"/>
        <rFont val="Calibri"/>
        <family val="2"/>
        <scheme val="minor"/>
      </rPr>
      <t>2</t>
    </r>
    <r>
      <rPr>
        <sz val="11"/>
        <color rgb="FF000000"/>
        <rFont val="Calibri"/>
        <family val="2"/>
        <charset val="238"/>
        <scheme val="minor"/>
      </rPr>
      <t xml:space="preserve"> assimilative reduction</t>
    </r>
  </si>
  <si>
    <r>
      <t>MinhpH</t>
    </r>
    <r>
      <rPr>
        <vertAlign val="subscript"/>
        <sz val="11"/>
        <rFont val="Calibri"/>
        <family val="2"/>
        <scheme val="minor"/>
      </rPr>
      <t>HNO2,AOB</t>
    </r>
  </si>
  <si>
    <r>
      <t>LogsatpH</t>
    </r>
    <r>
      <rPr>
        <vertAlign val="subscript"/>
        <sz val="11"/>
        <rFont val="Calibri"/>
        <family val="2"/>
        <scheme val="minor"/>
      </rPr>
      <t>CO2,AOB</t>
    </r>
  </si>
  <si>
    <r>
      <t>MinhpH</t>
    </r>
    <r>
      <rPr>
        <vertAlign val="subscript"/>
        <sz val="11"/>
        <rFont val="Calibri"/>
        <family val="2"/>
        <scheme val="minor"/>
      </rPr>
      <t>NH3,NOB</t>
    </r>
  </si>
  <si>
    <r>
      <t>LogsatpH</t>
    </r>
    <r>
      <rPr>
        <vertAlign val="subscript"/>
        <sz val="11"/>
        <rFont val="Calibri"/>
        <family val="2"/>
        <scheme val="minor"/>
      </rPr>
      <t>CO2,NOB</t>
    </r>
  </si>
  <si>
    <r>
      <t>LogsatpH</t>
    </r>
    <r>
      <rPr>
        <vertAlign val="subscript"/>
        <sz val="11"/>
        <rFont val="Calibri"/>
        <family val="2"/>
        <scheme val="minor"/>
      </rPr>
      <t>CO2,AMX</t>
    </r>
  </si>
  <si>
    <r>
      <t>MinhpH</t>
    </r>
    <r>
      <rPr>
        <vertAlign val="subscript"/>
        <sz val="11"/>
        <rFont val="Calibri"/>
        <family val="2"/>
        <scheme val="minor"/>
      </rPr>
      <t>HNO2,AMX</t>
    </r>
  </si>
  <si>
    <r>
      <t>Minh</t>
    </r>
    <r>
      <rPr>
        <vertAlign val="subscript"/>
        <sz val="11"/>
        <rFont val="Calibri"/>
        <family val="2"/>
        <scheme val="minor"/>
      </rPr>
      <t>SNO2,KNO2,OHO</t>
    </r>
  </si>
  <si>
    <r>
      <t>Minh(S</t>
    </r>
    <r>
      <rPr>
        <vertAlign val="subscript"/>
        <sz val="11"/>
        <rFont val="Calibri"/>
        <family val="2"/>
        <scheme val="minor"/>
      </rPr>
      <t>NO2</t>
    </r>
    <r>
      <rPr>
        <sz val="11"/>
        <rFont val="Calibri"/>
        <family val="2"/>
        <scheme val="minor"/>
      </rPr>
      <t>;K</t>
    </r>
    <r>
      <rPr>
        <vertAlign val="subscript"/>
        <sz val="11"/>
        <rFont val="Calibri"/>
        <family val="2"/>
        <scheme val="minor"/>
      </rPr>
      <t>NO2,OHO</t>
    </r>
    <r>
      <rPr>
        <sz val="11"/>
        <rFont val="Calibri"/>
        <family val="2"/>
        <scheme val="minor"/>
      </rPr>
      <t>)</t>
    </r>
  </si>
  <si>
    <r>
      <t>Minh</t>
    </r>
    <r>
      <rPr>
        <vertAlign val="subscript"/>
        <sz val="11"/>
        <rFont val="Calibri"/>
        <family val="2"/>
        <scheme val="minor"/>
      </rPr>
      <t>SNO3,KNO3,OHO</t>
    </r>
  </si>
  <si>
    <r>
      <t>Minh(S</t>
    </r>
    <r>
      <rPr>
        <vertAlign val="subscript"/>
        <sz val="11"/>
        <rFont val="Calibri"/>
        <family val="2"/>
        <scheme val="minor"/>
      </rPr>
      <t>NO3</t>
    </r>
    <r>
      <rPr>
        <sz val="11"/>
        <rFont val="Calibri"/>
        <family val="2"/>
        <scheme val="minor"/>
      </rPr>
      <t>;K</t>
    </r>
    <r>
      <rPr>
        <vertAlign val="subscript"/>
        <sz val="11"/>
        <rFont val="Calibri"/>
        <family val="2"/>
        <scheme val="minor"/>
      </rPr>
      <t>NO3,OHO</t>
    </r>
    <r>
      <rPr>
        <sz val="11"/>
        <rFont val="Calibri"/>
        <family val="2"/>
        <scheme val="minor"/>
      </rPr>
      <t>)</t>
    </r>
  </si>
  <si>
    <r>
      <t>Minh</t>
    </r>
    <r>
      <rPr>
        <vertAlign val="subscript"/>
        <sz val="11"/>
        <rFont val="Calibri"/>
        <family val="2"/>
        <scheme val="minor"/>
      </rPr>
      <t>SNO2,KNO2,MEOLO</t>
    </r>
  </si>
  <si>
    <r>
      <t>Minh(S</t>
    </r>
    <r>
      <rPr>
        <vertAlign val="subscript"/>
        <sz val="11"/>
        <rFont val="Calibri"/>
        <family val="2"/>
        <scheme val="minor"/>
      </rPr>
      <t>NO2</t>
    </r>
    <r>
      <rPr>
        <sz val="11"/>
        <rFont val="Calibri"/>
        <family val="2"/>
        <scheme val="minor"/>
      </rPr>
      <t>;K</t>
    </r>
    <r>
      <rPr>
        <vertAlign val="subscript"/>
        <sz val="11"/>
        <rFont val="Calibri"/>
        <family val="2"/>
        <scheme val="minor"/>
      </rPr>
      <t>NO2,MEOLO</t>
    </r>
    <r>
      <rPr>
        <sz val="11"/>
        <rFont val="Calibri"/>
        <family val="2"/>
        <scheme val="minor"/>
      </rPr>
      <t>)</t>
    </r>
  </si>
  <si>
    <r>
      <t>Minh</t>
    </r>
    <r>
      <rPr>
        <vertAlign val="subscript"/>
        <sz val="11"/>
        <rFont val="Calibri"/>
        <family val="2"/>
        <scheme val="minor"/>
      </rPr>
      <t>SNO3,KNO3,MEOLO</t>
    </r>
  </si>
  <si>
    <r>
      <t>Minh(S</t>
    </r>
    <r>
      <rPr>
        <vertAlign val="subscript"/>
        <sz val="11"/>
        <rFont val="Calibri"/>
        <family val="2"/>
        <scheme val="minor"/>
      </rPr>
      <t>NO3</t>
    </r>
    <r>
      <rPr>
        <sz val="11"/>
        <rFont val="Calibri"/>
        <family val="2"/>
        <scheme val="minor"/>
      </rPr>
      <t>;K</t>
    </r>
    <r>
      <rPr>
        <vertAlign val="subscript"/>
        <sz val="11"/>
        <rFont val="Calibri"/>
        <family val="2"/>
        <scheme val="minor"/>
      </rPr>
      <t>NO3,MEOLO</t>
    </r>
    <r>
      <rPr>
        <sz val="11"/>
        <rFont val="Calibri"/>
        <family val="2"/>
        <scheme val="minor"/>
      </rPr>
      <t>)</t>
    </r>
  </si>
  <si>
    <r>
      <t>Msat</t>
    </r>
    <r>
      <rPr>
        <vertAlign val="subscript"/>
        <sz val="11"/>
        <rFont val="Calibri"/>
        <family val="2"/>
      </rPr>
      <t>SNO2,KNO2,MEOLO</t>
    </r>
  </si>
  <si>
    <r>
      <t>Msat(S</t>
    </r>
    <r>
      <rPr>
        <vertAlign val="subscript"/>
        <sz val="11"/>
        <rFont val="Calibri"/>
        <family val="2"/>
      </rPr>
      <t>NO2</t>
    </r>
    <r>
      <rPr>
        <sz val="11"/>
        <rFont val="Calibri"/>
        <family val="2"/>
      </rPr>
      <t>;K</t>
    </r>
    <r>
      <rPr>
        <vertAlign val="subscript"/>
        <sz val="11"/>
        <rFont val="Calibri"/>
        <family val="2"/>
      </rPr>
      <t>NO2,MEOLO</t>
    </r>
    <r>
      <rPr>
        <sz val="11"/>
        <rFont val="Calibri"/>
        <family val="2"/>
      </rPr>
      <t>)</t>
    </r>
  </si>
  <si>
    <r>
      <t>Msat</t>
    </r>
    <r>
      <rPr>
        <vertAlign val="subscript"/>
        <sz val="11"/>
        <rFont val="Calibri"/>
        <family val="2"/>
      </rPr>
      <t>SNO3,KNO3,MEOLO</t>
    </r>
  </si>
  <si>
    <r>
      <t>Msat(S</t>
    </r>
    <r>
      <rPr>
        <vertAlign val="subscript"/>
        <sz val="11"/>
        <rFont val="Calibri"/>
        <family val="2"/>
      </rPr>
      <t>NO3</t>
    </r>
    <r>
      <rPr>
        <sz val="11"/>
        <rFont val="Calibri"/>
        <family val="2"/>
      </rPr>
      <t>;K</t>
    </r>
    <r>
      <rPr>
        <vertAlign val="subscript"/>
        <sz val="11"/>
        <rFont val="Calibri"/>
        <family val="2"/>
      </rPr>
      <t>NO3,MEOLO</t>
    </r>
    <r>
      <rPr>
        <sz val="11"/>
        <rFont val="Calibri"/>
        <family val="2"/>
      </rPr>
      <t>)</t>
    </r>
  </si>
  <si>
    <r>
      <t>Minh</t>
    </r>
    <r>
      <rPr>
        <vertAlign val="subscript"/>
        <sz val="11"/>
        <rFont val="Calibri"/>
        <family val="2"/>
      </rPr>
      <t>SO2,KO2,AOB</t>
    </r>
  </si>
  <si>
    <r>
      <t>Minh(S</t>
    </r>
    <r>
      <rPr>
        <vertAlign val="subscript"/>
        <sz val="11"/>
        <rFont val="Calibri"/>
        <family val="2"/>
      </rPr>
      <t>O2</t>
    </r>
    <r>
      <rPr>
        <sz val="11"/>
        <rFont val="Calibri"/>
        <family val="2"/>
      </rPr>
      <t>;K</t>
    </r>
    <r>
      <rPr>
        <vertAlign val="subscript"/>
        <sz val="11"/>
        <rFont val="Calibri"/>
        <family val="2"/>
      </rPr>
      <t>O2,AOB</t>
    </r>
    <r>
      <rPr>
        <sz val="11"/>
        <rFont val="Calibri"/>
        <family val="2"/>
      </rPr>
      <t>)</t>
    </r>
  </si>
  <si>
    <r>
      <t>Msat</t>
    </r>
    <r>
      <rPr>
        <vertAlign val="subscript"/>
        <sz val="11"/>
        <rFont val="Calibri"/>
        <family val="2"/>
      </rPr>
      <t>SNHx,KNHx,AOB</t>
    </r>
  </si>
  <si>
    <r>
      <t>Msat(S</t>
    </r>
    <r>
      <rPr>
        <vertAlign val="subscript"/>
        <sz val="11"/>
        <rFont val="Calibri"/>
        <family val="2"/>
      </rPr>
      <t>NHx</t>
    </r>
    <r>
      <rPr>
        <sz val="11"/>
        <rFont val="Calibri"/>
        <family val="2"/>
      </rPr>
      <t>;K</t>
    </r>
    <r>
      <rPr>
        <vertAlign val="subscript"/>
        <sz val="11"/>
        <rFont val="Calibri"/>
        <family val="2"/>
      </rPr>
      <t>NHx,AOB</t>
    </r>
    <r>
      <rPr>
        <sz val="11"/>
        <rFont val="Calibri"/>
        <family val="2"/>
      </rPr>
      <t>)</t>
    </r>
  </si>
  <si>
    <r>
      <t>Msat</t>
    </r>
    <r>
      <rPr>
        <vertAlign val="subscript"/>
        <sz val="11"/>
        <rFont val="Calibri"/>
        <family val="2"/>
      </rPr>
      <t>SO2,KO2,AOB</t>
    </r>
  </si>
  <si>
    <r>
      <t>Msat(S</t>
    </r>
    <r>
      <rPr>
        <vertAlign val="subscript"/>
        <sz val="11"/>
        <rFont val="Calibri"/>
        <family val="2"/>
      </rPr>
      <t>O2</t>
    </r>
    <r>
      <rPr>
        <sz val="11"/>
        <rFont val="Calibri"/>
        <family val="2"/>
      </rPr>
      <t>;K</t>
    </r>
    <r>
      <rPr>
        <vertAlign val="subscript"/>
        <sz val="11"/>
        <rFont val="Calibri"/>
        <family val="2"/>
      </rPr>
      <t>O2,AOB</t>
    </r>
    <r>
      <rPr>
        <sz val="11"/>
        <rFont val="Calibri"/>
        <family val="2"/>
      </rPr>
      <t>)</t>
    </r>
  </si>
  <si>
    <r>
      <t>Minh</t>
    </r>
    <r>
      <rPr>
        <vertAlign val="subscript"/>
        <sz val="11"/>
        <rFont val="Calibri"/>
        <family val="2"/>
      </rPr>
      <t>SO2,KO2,NOB</t>
    </r>
  </si>
  <si>
    <r>
      <t>Minh(S</t>
    </r>
    <r>
      <rPr>
        <vertAlign val="subscript"/>
        <sz val="11"/>
        <rFont val="Calibri"/>
        <family val="2"/>
      </rPr>
      <t>O2</t>
    </r>
    <r>
      <rPr>
        <sz val="11"/>
        <rFont val="Calibri"/>
        <family val="2"/>
      </rPr>
      <t>;K</t>
    </r>
    <r>
      <rPr>
        <vertAlign val="subscript"/>
        <sz val="11"/>
        <rFont val="Calibri"/>
        <family val="2"/>
      </rPr>
      <t>O2,NOB</t>
    </r>
    <r>
      <rPr>
        <sz val="11"/>
        <rFont val="Calibri"/>
        <family val="2"/>
      </rPr>
      <t>)</t>
    </r>
  </si>
  <si>
    <r>
      <t>Msat</t>
    </r>
    <r>
      <rPr>
        <vertAlign val="subscript"/>
        <sz val="11"/>
        <rFont val="Calibri"/>
        <family val="2"/>
      </rPr>
      <t>SNO2,KNO2,NOB</t>
    </r>
  </si>
  <si>
    <r>
      <t>Msat(S</t>
    </r>
    <r>
      <rPr>
        <vertAlign val="subscript"/>
        <sz val="11"/>
        <rFont val="Calibri"/>
        <family val="2"/>
      </rPr>
      <t>NO2</t>
    </r>
    <r>
      <rPr>
        <sz val="11"/>
        <rFont val="Calibri"/>
        <family val="2"/>
      </rPr>
      <t>;K</t>
    </r>
    <r>
      <rPr>
        <vertAlign val="subscript"/>
        <sz val="11"/>
        <rFont val="Calibri"/>
        <family val="2"/>
      </rPr>
      <t>NO2,NOB</t>
    </r>
    <r>
      <rPr>
        <sz val="11"/>
        <rFont val="Calibri"/>
        <family val="2"/>
      </rPr>
      <t>)</t>
    </r>
  </si>
  <si>
    <r>
      <t>Msat</t>
    </r>
    <r>
      <rPr>
        <vertAlign val="subscript"/>
        <sz val="11"/>
        <rFont val="Calibri"/>
        <family val="2"/>
      </rPr>
      <t>SO2,KO2,NOB</t>
    </r>
  </si>
  <si>
    <r>
      <t>Msat(S</t>
    </r>
    <r>
      <rPr>
        <vertAlign val="subscript"/>
        <sz val="11"/>
        <rFont val="Calibri"/>
        <family val="2"/>
      </rPr>
      <t>O2</t>
    </r>
    <r>
      <rPr>
        <sz val="11"/>
        <rFont val="Calibri"/>
        <family val="2"/>
      </rPr>
      <t>;K</t>
    </r>
    <r>
      <rPr>
        <vertAlign val="subscript"/>
        <sz val="11"/>
        <rFont val="Calibri"/>
        <family val="2"/>
      </rPr>
      <t>O2,NOB</t>
    </r>
    <r>
      <rPr>
        <sz val="11"/>
        <rFont val="Calibri"/>
        <family val="2"/>
      </rPr>
      <t>)</t>
    </r>
  </si>
  <si>
    <r>
      <t>Msat</t>
    </r>
    <r>
      <rPr>
        <vertAlign val="subscript"/>
        <sz val="11"/>
        <rFont val="Calibri"/>
        <family val="2"/>
      </rPr>
      <t>SNHx,KNHx,AMX</t>
    </r>
  </si>
  <si>
    <r>
      <t>Msat(S</t>
    </r>
    <r>
      <rPr>
        <vertAlign val="subscript"/>
        <sz val="11"/>
        <rFont val="Calibri"/>
        <family val="2"/>
      </rPr>
      <t>NHx</t>
    </r>
    <r>
      <rPr>
        <sz val="11"/>
        <rFont val="Calibri"/>
        <family val="2"/>
      </rPr>
      <t>;K</t>
    </r>
    <r>
      <rPr>
        <vertAlign val="subscript"/>
        <sz val="11"/>
        <rFont val="Calibri"/>
        <family val="2"/>
      </rPr>
      <t>NHx,AMX</t>
    </r>
    <r>
      <rPr>
        <sz val="11"/>
        <rFont val="Calibri"/>
        <family val="2"/>
      </rPr>
      <t>)</t>
    </r>
  </si>
  <si>
    <r>
      <t>Msat</t>
    </r>
    <r>
      <rPr>
        <vertAlign val="subscript"/>
        <sz val="11"/>
        <rFont val="Calibri"/>
        <family val="2"/>
      </rPr>
      <t>SNO2,KNO2,AMX</t>
    </r>
  </si>
  <si>
    <r>
      <t>Msat(S</t>
    </r>
    <r>
      <rPr>
        <vertAlign val="subscript"/>
        <sz val="11"/>
        <rFont val="Calibri"/>
        <family val="2"/>
      </rPr>
      <t>NO2</t>
    </r>
    <r>
      <rPr>
        <sz val="11"/>
        <rFont val="Calibri"/>
        <family val="2"/>
      </rPr>
      <t>;K</t>
    </r>
    <r>
      <rPr>
        <vertAlign val="subscript"/>
        <sz val="11"/>
        <rFont val="Calibri"/>
        <family val="2"/>
      </rPr>
      <t>NO2,AMX</t>
    </r>
    <r>
      <rPr>
        <sz val="11"/>
        <rFont val="Calibri"/>
        <family val="2"/>
      </rPr>
      <t>)</t>
    </r>
  </si>
  <si>
    <r>
      <t>µ</t>
    </r>
    <r>
      <rPr>
        <vertAlign val="subscript"/>
        <sz val="11"/>
        <color indexed="8"/>
        <rFont val="Calibri"/>
        <family val="2"/>
        <charset val="238"/>
      </rPr>
      <t>AOB,T</t>
    </r>
  </si>
  <si>
    <r>
      <t>µ</t>
    </r>
    <r>
      <rPr>
        <vertAlign val="subscript"/>
        <sz val="11"/>
        <color indexed="8"/>
        <rFont val="Calibri"/>
        <family val="2"/>
        <charset val="238"/>
      </rPr>
      <t>AOB</t>
    </r>
    <r>
      <rPr>
        <sz val="11"/>
        <color indexed="8"/>
        <rFont val="Calibri"/>
        <family val="2"/>
      </rPr>
      <t>*Arrh(θ</t>
    </r>
    <r>
      <rPr>
        <vertAlign val="subscript"/>
        <sz val="11"/>
        <color indexed="8"/>
        <rFont val="Calibri"/>
        <family val="2"/>
        <charset val="238"/>
      </rPr>
      <t>µ,AOB</t>
    </r>
    <r>
      <rPr>
        <sz val="11"/>
        <color indexed="8"/>
        <rFont val="Calibri"/>
        <family val="2"/>
      </rPr>
      <t>; T; T</t>
    </r>
    <r>
      <rPr>
        <vertAlign val="subscript"/>
        <sz val="11"/>
        <color indexed="8"/>
        <rFont val="Calibri"/>
        <family val="2"/>
        <charset val="238"/>
      </rPr>
      <t>base</t>
    </r>
    <r>
      <rPr>
        <sz val="11"/>
        <color indexed="8"/>
        <rFont val="Calibri"/>
        <family val="2"/>
      </rPr>
      <t>)</t>
    </r>
  </si>
  <si>
    <r>
      <t>b</t>
    </r>
    <r>
      <rPr>
        <vertAlign val="subscript"/>
        <sz val="11"/>
        <color indexed="8"/>
        <rFont val="Calibri"/>
        <family val="2"/>
        <charset val="238"/>
      </rPr>
      <t>AOB,T</t>
    </r>
  </si>
  <si>
    <r>
      <t>b</t>
    </r>
    <r>
      <rPr>
        <vertAlign val="subscript"/>
        <sz val="11"/>
        <color indexed="8"/>
        <rFont val="Calibri"/>
        <family val="2"/>
        <charset val="238"/>
      </rPr>
      <t>AOB</t>
    </r>
    <r>
      <rPr>
        <sz val="11"/>
        <color indexed="8"/>
        <rFont val="Calibri"/>
        <family val="2"/>
      </rPr>
      <t>*Arrh(θ</t>
    </r>
    <r>
      <rPr>
        <vertAlign val="subscript"/>
        <sz val="11"/>
        <color indexed="8"/>
        <rFont val="Calibri"/>
        <family val="2"/>
        <charset val="238"/>
      </rPr>
      <t>b,AOB</t>
    </r>
    <r>
      <rPr>
        <sz val="11"/>
        <color indexed="8"/>
        <rFont val="Calibri"/>
        <family val="2"/>
      </rPr>
      <t>; T; T</t>
    </r>
    <r>
      <rPr>
        <vertAlign val="subscript"/>
        <sz val="11"/>
        <color indexed="8"/>
        <rFont val="Calibri"/>
        <family val="2"/>
        <charset val="238"/>
      </rPr>
      <t>base</t>
    </r>
    <r>
      <rPr>
        <sz val="11"/>
        <color indexed="8"/>
        <rFont val="Calibri"/>
        <family val="2"/>
      </rPr>
      <t>)</t>
    </r>
  </si>
  <si>
    <r>
      <t>µ</t>
    </r>
    <r>
      <rPr>
        <vertAlign val="subscript"/>
        <sz val="11"/>
        <color indexed="8"/>
        <rFont val="Calibri"/>
        <family val="2"/>
        <charset val="238"/>
      </rPr>
      <t>NOB,T</t>
    </r>
  </si>
  <si>
    <r>
      <t>µ</t>
    </r>
    <r>
      <rPr>
        <vertAlign val="subscript"/>
        <sz val="11"/>
        <color indexed="8"/>
        <rFont val="Calibri"/>
        <family val="2"/>
        <charset val="238"/>
      </rPr>
      <t>NOB</t>
    </r>
    <r>
      <rPr>
        <sz val="11"/>
        <color indexed="8"/>
        <rFont val="Calibri"/>
        <family val="2"/>
      </rPr>
      <t>*Arrh(θ</t>
    </r>
    <r>
      <rPr>
        <vertAlign val="subscript"/>
        <sz val="11"/>
        <color indexed="8"/>
        <rFont val="Calibri"/>
        <family val="2"/>
        <charset val="238"/>
      </rPr>
      <t>µ,NOB</t>
    </r>
    <r>
      <rPr>
        <sz val="11"/>
        <color indexed="8"/>
        <rFont val="Calibri"/>
        <family val="2"/>
      </rPr>
      <t>; T; T</t>
    </r>
    <r>
      <rPr>
        <vertAlign val="subscript"/>
        <sz val="11"/>
        <color indexed="8"/>
        <rFont val="Calibri"/>
        <family val="2"/>
        <charset val="238"/>
      </rPr>
      <t>base</t>
    </r>
    <r>
      <rPr>
        <sz val="11"/>
        <color indexed="8"/>
        <rFont val="Calibri"/>
        <family val="2"/>
      </rPr>
      <t>)</t>
    </r>
  </si>
  <si>
    <r>
      <t>b</t>
    </r>
    <r>
      <rPr>
        <vertAlign val="subscript"/>
        <sz val="11"/>
        <color indexed="8"/>
        <rFont val="Calibri"/>
        <family val="2"/>
        <charset val="238"/>
      </rPr>
      <t>NOB,T</t>
    </r>
  </si>
  <si>
    <r>
      <t>b</t>
    </r>
    <r>
      <rPr>
        <vertAlign val="subscript"/>
        <sz val="11"/>
        <color indexed="8"/>
        <rFont val="Calibri"/>
        <family val="2"/>
        <charset val="238"/>
      </rPr>
      <t>NOB</t>
    </r>
    <r>
      <rPr>
        <sz val="11"/>
        <color indexed="8"/>
        <rFont val="Calibri"/>
        <family val="2"/>
      </rPr>
      <t>*Arrh(θ</t>
    </r>
    <r>
      <rPr>
        <vertAlign val="subscript"/>
        <sz val="11"/>
        <color indexed="8"/>
        <rFont val="Calibri"/>
        <family val="2"/>
        <charset val="238"/>
      </rPr>
      <t>b,NOB</t>
    </r>
    <r>
      <rPr>
        <sz val="11"/>
        <color indexed="8"/>
        <rFont val="Calibri"/>
        <family val="2"/>
      </rPr>
      <t>; T; T</t>
    </r>
    <r>
      <rPr>
        <vertAlign val="subscript"/>
        <sz val="11"/>
        <color indexed="8"/>
        <rFont val="Calibri"/>
        <family val="2"/>
        <charset val="238"/>
      </rPr>
      <t>base</t>
    </r>
    <r>
      <rPr>
        <sz val="11"/>
        <color indexed="8"/>
        <rFont val="Calibri"/>
        <family val="2"/>
      </rPr>
      <t>)</t>
    </r>
  </si>
  <si>
    <r>
      <t>µ</t>
    </r>
    <r>
      <rPr>
        <vertAlign val="subscript"/>
        <sz val="11"/>
        <color indexed="8"/>
        <rFont val="Calibri"/>
        <family val="2"/>
        <charset val="238"/>
      </rPr>
      <t>AMX,T</t>
    </r>
  </si>
  <si>
    <r>
      <t>µ</t>
    </r>
    <r>
      <rPr>
        <vertAlign val="subscript"/>
        <sz val="11"/>
        <color indexed="8"/>
        <rFont val="Calibri"/>
        <family val="2"/>
        <charset val="238"/>
      </rPr>
      <t>AMX</t>
    </r>
    <r>
      <rPr>
        <sz val="11"/>
        <color indexed="8"/>
        <rFont val="Calibri"/>
        <family val="2"/>
      </rPr>
      <t>*Arrh(θ</t>
    </r>
    <r>
      <rPr>
        <vertAlign val="subscript"/>
        <sz val="11"/>
        <color indexed="8"/>
        <rFont val="Calibri"/>
        <family val="2"/>
        <charset val="238"/>
      </rPr>
      <t>µ,AMX</t>
    </r>
    <r>
      <rPr>
        <sz val="11"/>
        <color indexed="8"/>
        <rFont val="Calibri"/>
        <family val="2"/>
      </rPr>
      <t>; T; T</t>
    </r>
    <r>
      <rPr>
        <vertAlign val="subscript"/>
        <sz val="11"/>
        <color indexed="8"/>
        <rFont val="Calibri"/>
        <family val="2"/>
        <charset val="238"/>
      </rPr>
      <t>base</t>
    </r>
    <r>
      <rPr>
        <sz val="11"/>
        <color indexed="8"/>
        <rFont val="Calibri"/>
        <family val="2"/>
      </rPr>
      <t>)</t>
    </r>
  </si>
  <si>
    <r>
      <t>b</t>
    </r>
    <r>
      <rPr>
        <vertAlign val="subscript"/>
        <sz val="11"/>
        <color indexed="8"/>
        <rFont val="Calibri"/>
        <family val="2"/>
        <charset val="238"/>
      </rPr>
      <t>AMX,T</t>
    </r>
  </si>
  <si>
    <r>
      <t>b</t>
    </r>
    <r>
      <rPr>
        <vertAlign val="subscript"/>
        <sz val="11"/>
        <color indexed="8"/>
        <rFont val="Calibri"/>
        <family val="2"/>
        <charset val="238"/>
      </rPr>
      <t>AMX</t>
    </r>
    <r>
      <rPr>
        <sz val="11"/>
        <color indexed="8"/>
        <rFont val="Calibri"/>
        <family val="2"/>
      </rPr>
      <t>*Arrh(θ</t>
    </r>
    <r>
      <rPr>
        <vertAlign val="subscript"/>
        <sz val="11"/>
        <color indexed="8"/>
        <rFont val="Calibri"/>
        <family val="2"/>
        <charset val="238"/>
      </rPr>
      <t>b,AMX</t>
    </r>
    <r>
      <rPr>
        <sz val="11"/>
        <color indexed="8"/>
        <rFont val="Calibri"/>
        <family val="2"/>
      </rPr>
      <t>; T; T</t>
    </r>
    <r>
      <rPr>
        <vertAlign val="subscript"/>
        <sz val="11"/>
        <color indexed="8"/>
        <rFont val="Calibri"/>
        <family val="2"/>
        <charset val="238"/>
      </rPr>
      <t>base</t>
    </r>
    <r>
      <rPr>
        <sz val="11"/>
        <color indexed="8"/>
        <rFont val="Calibri"/>
        <family val="2"/>
      </rPr>
      <t>)</t>
    </r>
  </si>
  <si>
    <r>
      <t>K</t>
    </r>
    <r>
      <rPr>
        <vertAlign val="subscript"/>
        <sz val="11"/>
        <color indexed="8"/>
        <rFont val="Calibri"/>
        <family val="2"/>
        <scheme val="minor"/>
      </rPr>
      <t>NO3,ASSIM,AS</t>
    </r>
  </si>
  <si>
    <r>
      <t>K</t>
    </r>
    <r>
      <rPr>
        <vertAlign val="subscript"/>
        <sz val="11"/>
        <color indexed="8"/>
        <rFont val="Calibri"/>
        <family val="2"/>
        <scheme val="minor"/>
      </rPr>
      <t>NO2,ASSIM,AS</t>
    </r>
  </si>
  <si>
    <r>
      <t>Minh</t>
    </r>
    <r>
      <rPr>
        <vertAlign val="subscript"/>
        <sz val="11"/>
        <rFont val="Calibri"/>
        <family val="2"/>
        <scheme val="minor"/>
      </rPr>
      <t>SNO2,KNO2,ASSIM</t>
    </r>
  </si>
  <si>
    <r>
      <t>Minh(S</t>
    </r>
    <r>
      <rPr>
        <vertAlign val="subscript"/>
        <sz val="11"/>
        <rFont val="Calibri"/>
        <family val="2"/>
        <scheme val="minor"/>
      </rPr>
      <t>NO2</t>
    </r>
    <r>
      <rPr>
        <sz val="11"/>
        <rFont val="Calibri"/>
        <family val="2"/>
        <scheme val="minor"/>
      </rPr>
      <t>;K</t>
    </r>
    <r>
      <rPr>
        <vertAlign val="subscript"/>
        <sz val="11"/>
        <rFont val="Calibri"/>
        <family val="2"/>
        <scheme val="minor"/>
      </rPr>
      <t>NO2,ASSIM</t>
    </r>
    <r>
      <rPr>
        <sz val="11"/>
        <rFont val="Calibri"/>
        <family val="2"/>
        <scheme val="minor"/>
      </rPr>
      <t>)</t>
    </r>
  </si>
  <si>
    <r>
      <t>Msat</t>
    </r>
    <r>
      <rPr>
        <vertAlign val="subscript"/>
        <sz val="11"/>
        <rFont val="Calibri"/>
        <family val="2"/>
      </rPr>
      <t>SNO2,KNO2,ASSIM</t>
    </r>
  </si>
  <si>
    <r>
      <t>Msat(S</t>
    </r>
    <r>
      <rPr>
        <vertAlign val="subscript"/>
        <sz val="11"/>
        <rFont val="Calibri"/>
        <family val="2"/>
      </rPr>
      <t>NO2</t>
    </r>
    <r>
      <rPr>
        <sz val="11"/>
        <rFont val="Calibri"/>
        <family val="2"/>
      </rPr>
      <t>;K</t>
    </r>
    <r>
      <rPr>
        <vertAlign val="subscript"/>
        <sz val="11"/>
        <rFont val="Calibri"/>
        <family val="2"/>
      </rPr>
      <t>NO2,ASSIM</t>
    </r>
    <r>
      <rPr>
        <sz val="11"/>
        <rFont val="Calibri"/>
        <family val="2"/>
      </rPr>
      <t>)</t>
    </r>
  </si>
  <si>
    <r>
      <t>Msat</t>
    </r>
    <r>
      <rPr>
        <vertAlign val="subscript"/>
        <sz val="11"/>
        <rFont val="Calibri"/>
        <family val="2"/>
      </rPr>
      <t>SNO3,KNO3,ASSIM</t>
    </r>
  </si>
  <si>
    <r>
      <t>Msat(S</t>
    </r>
    <r>
      <rPr>
        <vertAlign val="subscript"/>
        <sz val="11"/>
        <rFont val="Calibri"/>
        <family val="2"/>
      </rPr>
      <t>NO3</t>
    </r>
    <r>
      <rPr>
        <sz val="11"/>
        <rFont val="Calibri"/>
        <family val="2"/>
      </rPr>
      <t>;K</t>
    </r>
    <r>
      <rPr>
        <vertAlign val="subscript"/>
        <sz val="11"/>
        <rFont val="Calibri"/>
        <family val="2"/>
      </rPr>
      <t>NO3,ASSIM</t>
    </r>
    <r>
      <rPr>
        <sz val="11"/>
        <rFont val="Calibri"/>
        <family val="2"/>
      </rPr>
      <t>)</t>
    </r>
  </si>
  <si>
    <r>
      <t>K</t>
    </r>
    <r>
      <rPr>
        <vertAlign val="subscript"/>
        <sz val="11"/>
        <rFont val="Calibri"/>
        <family val="2"/>
        <scheme val="minor"/>
      </rPr>
      <t>NOx,AMETO,AS</t>
    </r>
  </si>
  <si>
    <r>
      <t>K</t>
    </r>
    <r>
      <rPr>
        <vertAlign val="subscript"/>
        <sz val="11"/>
        <color indexed="8"/>
        <rFont val="Calibri"/>
        <family val="2"/>
        <scheme val="minor"/>
      </rPr>
      <t>NOx,HMETO,AS</t>
    </r>
  </si>
  <si>
    <r>
      <t>K</t>
    </r>
    <r>
      <rPr>
        <vertAlign val="subscript"/>
        <sz val="11"/>
        <rFont val="Calibri"/>
        <family val="2"/>
        <scheme val="minor"/>
      </rPr>
      <t>NOx,AMETO</t>
    </r>
  </si>
  <si>
    <r>
      <t>K</t>
    </r>
    <r>
      <rPr>
        <vertAlign val="subscript"/>
        <sz val="11"/>
        <rFont val="Calibri"/>
        <family val="2"/>
        <scheme val="minor"/>
      </rPr>
      <t>NOx,HMETO</t>
    </r>
  </si>
  <si>
    <r>
      <t>K</t>
    </r>
    <r>
      <rPr>
        <vertAlign val="subscript"/>
        <sz val="11"/>
        <rFont val="Calibri"/>
        <family val="2"/>
        <scheme val="minor"/>
      </rPr>
      <t>NOx,HMETO,AS</t>
    </r>
  </si>
  <si>
    <r>
      <t>[NO</t>
    </r>
    <r>
      <rPr>
        <vertAlign val="subscript"/>
        <sz val="11"/>
        <rFont val="Calibri"/>
        <family val="2"/>
        <scheme val="minor"/>
      </rPr>
      <t>2</t>
    </r>
    <r>
      <rPr>
        <vertAlign val="superscript"/>
        <sz val="11"/>
        <rFont val="Calibri"/>
        <family val="2"/>
        <scheme val="minor"/>
      </rPr>
      <t>-</t>
    </r>
    <r>
      <rPr>
        <sz val="11"/>
        <rFont val="Calibri"/>
        <family val="2"/>
        <scheme val="minor"/>
      </rPr>
      <t>]</t>
    </r>
    <r>
      <rPr>
        <vertAlign val="subscript"/>
        <sz val="11"/>
        <rFont val="Calibri"/>
        <family val="2"/>
        <scheme val="minor"/>
      </rPr>
      <t>eq</t>
    </r>
  </si>
  <si>
    <t>Nitrite molar concentration in equivalence point</t>
  </si>
  <si>
    <r>
      <t>(3*[PO</t>
    </r>
    <r>
      <rPr>
        <vertAlign val="subscript"/>
        <sz val="11"/>
        <rFont val="Calibri"/>
        <family val="2"/>
        <scheme val="minor"/>
      </rPr>
      <t>4</t>
    </r>
    <r>
      <rPr>
        <vertAlign val="superscript"/>
        <sz val="11"/>
        <rFont val="Calibri"/>
        <family val="2"/>
        <scheme val="minor"/>
      </rPr>
      <t>3-</t>
    </r>
    <r>
      <rPr>
        <sz val="11"/>
        <rFont val="Calibri"/>
        <family val="2"/>
        <scheme val="minor"/>
      </rPr>
      <t>] + 2*[HPO</t>
    </r>
    <r>
      <rPr>
        <vertAlign val="subscript"/>
        <sz val="11"/>
        <rFont val="Calibri"/>
        <family val="2"/>
        <scheme val="minor"/>
      </rPr>
      <t>4</t>
    </r>
    <r>
      <rPr>
        <vertAlign val="superscript"/>
        <sz val="11"/>
        <rFont val="Calibri"/>
        <family val="2"/>
        <scheme val="minor"/>
      </rPr>
      <t>2-</t>
    </r>
    <r>
      <rPr>
        <sz val="11"/>
        <rFont val="Calibri"/>
        <family val="2"/>
        <scheme val="minor"/>
      </rPr>
      <t>])- 2*[HPO</t>
    </r>
    <r>
      <rPr>
        <vertAlign val="subscript"/>
        <sz val="11"/>
        <rFont val="Calibri"/>
        <family val="2"/>
        <scheme val="minor"/>
      </rPr>
      <t>4</t>
    </r>
    <r>
      <rPr>
        <vertAlign val="superscript"/>
        <sz val="11"/>
        <rFont val="Calibri"/>
        <family val="2"/>
        <scheme val="minor"/>
      </rPr>
      <t>2-</t>
    </r>
    <r>
      <rPr>
        <sz val="11"/>
        <rFont val="Calibri"/>
        <family val="2"/>
        <scheme val="minor"/>
      </rPr>
      <t>]</t>
    </r>
    <r>
      <rPr>
        <vertAlign val="subscript"/>
        <sz val="11"/>
        <rFont val="Calibri"/>
        <family val="2"/>
        <scheme val="minor"/>
      </rPr>
      <t>eq</t>
    </r>
    <r>
      <rPr>
        <sz val="11"/>
        <rFont val="Calibri"/>
        <family val="2"/>
        <scheme val="minor"/>
      </rPr>
      <t xml:space="preserve"> + [H</t>
    </r>
    <r>
      <rPr>
        <vertAlign val="subscript"/>
        <sz val="11"/>
        <rFont val="Calibri"/>
        <family val="2"/>
        <scheme val="minor"/>
      </rPr>
      <t>2</t>
    </r>
    <r>
      <rPr>
        <sz val="11"/>
        <rFont val="Calibri"/>
        <family val="2"/>
        <scheme val="minor"/>
      </rPr>
      <t>PO</t>
    </r>
    <r>
      <rPr>
        <vertAlign val="subscript"/>
        <sz val="11"/>
        <rFont val="Calibri"/>
        <family val="2"/>
        <scheme val="minor"/>
      </rPr>
      <t>4</t>
    </r>
    <r>
      <rPr>
        <vertAlign val="superscript"/>
        <sz val="11"/>
        <rFont val="Calibri"/>
        <family val="2"/>
        <scheme val="minor"/>
      </rPr>
      <t>-</t>
    </r>
    <r>
      <rPr>
        <sz val="11"/>
        <rFont val="Calibri"/>
        <family val="2"/>
        <scheme val="minor"/>
      </rPr>
      <t>]- [H</t>
    </r>
    <r>
      <rPr>
        <vertAlign val="subscript"/>
        <sz val="11"/>
        <rFont val="Calibri"/>
        <family val="2"/>
        <scheme val="minor"/>
      </rPr>
      <t>2</t>
    </r>
    <r>
      <rPr>
        <sz val="11"/>
        <rFont val="Calibri"/>
        <family val="2"/>
        <scheme val="minor"/>
      </rPr>
      <t>PO</t>
    </r>
    <r>
      <rPr>
        <vertAlign val="subscript"/>
        <sz val="11"/>
        <rFont val="Calibri"/>
        <family val="2"/>
        <scheme val="minor"/>
      </rPr>
      <t>4</t>
    </r>
    <r>
      <rPr>
        <vertAlign val="superscript"/>
        <sz val="11"/>
        <rFont val="Calibri"/>
        <family val="2"/>
        <scheme val="minor"/>
      </rPr>
      <t>-</t>
    </r>
    <r>
      <rPr>
        <sz val="11"/>
        <rFont val="Calibri"/>
        <family val="2"/>
        <scheme val="minor"/>
      </rPr>
      <t>]</t>
    </r>
    <r>
      <rPr>
        <vertAlign val="subscript"/>
        <sz val="11"/>
        <rFont val="Calibri"/>
        <family val="2"/>
        <scheme val="minor"/>
      </rPr>
      <t>eq</t>
    </r>
    <r>
      <rPr>
        <sz val="11"/>
        <rFont val="Calibri"/>
        <family val="2"/>
        <scheme val="minor"/>
      </rPr>
      <t xml:space="preserve"> + [OH</t>
    </r>
    <r>
      <rPr>
        <vertAlign val="superscript"/>
        <sz val="11"/>
        <rFont val="Calibri"/>
        <family val="2"/>
        <scheme val="minor"/>
      </rPr>
      <t>-</t>
    </r>
    <r>
      <rPr>
        <sz val="11"/>
        <rFont val="Calibri"/>
        <family val="2"/>
        <scheme val="minor"/>
      </rPr>
      <t>]+ [NO</t>
    </r>
    <r>
      <rPr>
        <vertAlign val="subscript"/>
        <sz val="11"/>
        <rFont val="Calibri"/>
        <family val="2"/>
        <scheme val="minor"/>
      </rPr>
      <t>2</t>
    </r>
    <r>
      <rPr>
        <vertAlign val="superscript"/>
        <sz val="11"/>
        <rFont val="Calibri"/>
        <family val="2"/>
        <scheme val="minor"/>
      </rPr>
      <t>-</t>
    </r>
    <r>
      <rPr>
        <sz val="11"/>
        <rFont val="Calibri"/>
        <family val="2"/>
        <scheme val="minor"/>
      </rPr>
      <t>] - [NO</t>
    </r>
    <r>
      <rPr>
        <vertAlign val="subscript"/>
        <sz val="11"/>
        <rFont val="Calibri"/>
        <family val="2"/>
        <scheme val="minor"/>
      </rPr>
      <t>2</t>
    </r>
    <r>
      <rPr>
        <vertAlign val="superscript"/>
        <sz val="11"/>
        <rFont val="Calibri"/>
        <family val="2"/>
        <scheme val="minor"/>
      </rPr>
      <t>-</t>
    </r>
    <r>
      <rPr>
        <sz val="11"/>
        <rFont val="Calibri"/>
        <family val="2"/>
        <scheme val="minor"/>
      </rPr>
      <t>]</t>
    </r>
    <r>
      <rPr>
        <vertAlign val="subscript"/>
        <sz val="11"/>
        <rFont val="Calibri"/>
        <family val="2"/>
        <scheme val="minor"/>
      </rPr>
      <t>eq</t>
    </r>
    <r>
      <rPr>
        <sz val="11"/>
        <rFont val="Calibri"/>
        <family val="2"/>
        <scheme val="minor"/>
      </rPr>
      <t>+ [NH</t>
    </r>
    <r>
      <rPr>
        <vertAlign val="subscript"/>
        <sz val="11"/>
        <rFont val="Calibri"/>
        <family val="2"/>
        <scheme val="minor"/>
      </rPr>
      <t>3</t>
    </r>
    <r>
      <rPr>
        <sz val="11"/>
        <rFont val="Calibri"/>
        <family val="2"/>
        <scheme val="minor"/>
      </rPr>
      <t>] + 2*[CO</t>
    </r>
    <r>
      <rPr>
        <vertAlign val="subscript"/>
        <sz val="11"/>
        <rFont val="Calibri"/>
        <family val="2"/>
        <scheme val="minor"/>
      </rPr>
      <t>3</t>
    </r>
    <r>
      <rPr>
        <vertAlign val="superscript"/>
        <sz val="11"/>
        <rFont val="Calibri"/>
        <family val="2"/>
        <scheme val="minor"/>
      </rPr>
      <t>2-</t>
    </r>
    <r>
      <rPr>
        <sz val="11"/>
        <rFont val="Calibri"/>
        <family val="2"/>
        <scheme val="minor"/>
      </rPr>
      <t>]+ [HCO</t>
    </r>
    <r>
      <rPr>
        <vertAlign val="subscript"/>
        <sz val="11"/>
        <rFont val="Calibri"/>
        <family val="2"/>
        <scheme val="minor"/>
      </rPr>
      <t>3</t>
    </r>
    <r>
      <rPr>
        <vertAlign val="superscript"/>
        <sz val="11"/>
        <rFont val="Calibri"/>
        <family val="2"/>
        <scheme val="minor"/>
      </rPr>
      <t>-</t>
    </r>
    <r>
      <rPr>
        <sz val="11"/>
        <rFont val="Calibri"/>
        <family val="2"/>
        <scheme val="minor"/>
      </rPr>
      <t>]+ [Ac</t>
    </r>
    <r>
      <rPr>
        <vertAlign val="superscript"/>
        <sz val="11"/>
        <rFont val="Calibri"/>
        <family val="2"/>
        <scheme val="minor"/>
      </rPr>
      <t>-</t>
    </r>
    <r>
      <rPr>
        <sz val="11"/>
        <rFont val="Calibri"/>
        <family val="2"/>
        <scheme val="minor"/>
      </rPr>
      <t>] - [Ac</t>
    </r>
    <r>
      <rPr>
        <vertAlign val="superscript"/>
        <sz val="11"/>
        <rFont val="Calibri"/>
        <family val="2"/>
        <scheme val="minor"/>
      </rPr>
      <t>-</t>
    </r>
    <r>
      <rPr>
        <sz val="11"/>
        <rFont val="Calibri"/>
        <family val="2"/>
        <scheme val="minor"/>
      </rPr>
      <t>]</t>
    </r>
    <r>
      <rPr>
        <vertAlign val="subscript"/>
        <sz val="11"/>
        <rFont val="Calibri"/>
        <family val="2"/>
        <scheme val="minor"/>
      </rPr>
      <t>eq</t>
    </r>
    <r>
      <rPr>
        <sz val="11"/>
        <rFont val="Calibri"/>
        <family val="2"/>
        <scheme val="minor"/>
      </rPr>
      <t xml:space="preserve"> </t>
    </r>
    <r>
      <rPr>
        <sz val="11"/>
        <rFont val="Calibri"/>
        <family val="2"/>
        <scheme val="minor"/>
      </rPr>
      <t>- [H</t>
    </r>
    <r>
      <rPr>
        <vertAlign val="superscript"/>
        <sz val="11"/>
        <rFont val="Calibri"/>
        <family val="2"/>
        <scheme val="minor"/>
      </rPr>
      <t>+</t>
    </r>
    <r>
      <rPr>
        <sz val="11"/>
        <rFont val="Calibri"/>
        <family val="2"/>
        <scheme val="minor"/>
      </rPr>
      <t>]</t>
    </r>
  </si>
  <si>
    <r>
      <t>V</t>
    </r>
    <r>
      <rPr>
        <vertAlign val="subscript"/>
        <sz val="11"/>
        <rFont val="Calibri"/>
        <family val="2"/>
        <scheme val="minor"/>
      </rPr>
      <t>mol,N</t>
    </r>
  </si>
  <si>
    <t>Molar volume at normal conditions</t>
  </si>
  <si>
    <r>
      <t>Nm</t>
    </r>
    <r>
      <rPr>
        <vertAlign val="superscript"/>
        <sz val="11"/>
        <rFont val="Calibri"/>
        <family val="2"/>
        <scheme val="minor"/>
      </rPr>
      <t>3</t>
    </r>
    <r>
      <rPr>
        <sz val="11"/>
        <rFont val="Calibri"/>
        <family val="2"/>
        <scheme val="minor"/>
      </rPr>
      <t>.mol</t>
    </r>
  </si>
  <si>
    <r>
      <t>MM</t>
    </r>
    <r>
      <rPr>
        <vertAlign val="subscript"/>
        <sz val="11"/>
        <rFont val="Calibri"/>
        <family val="2"/>
        <scheme val="minor"/>
      </rPr>
      <t>FeCl3</t>
    </r>
  </si>
  <si>
    <t>Molecular mass of FeCl3</t>
  </si>
  <si>
    <r>
      <t>MM</t>
    </r>
    <r>
      <rPr>
        <vertAlign val="subscript"/>
        <sz val="11"/>
        <rFont val="Calibri"/>
        <family val="2"/>
        <scheme val="minor"/>
      </rPr>
      <t>FeCl2</t>
    </r>
  </si>
  <si>
    <t>Molecular mass of FeCl2</t>
  </si>
  <si>
    <r>
      <t>MM</t>
    </r>
    <r>
      <rPr>
        <vertAlign val="subscript"/>
        <sz val="11"/>
        <rFont val="Calibri"/>
        <family val="2"/>
        <scheme val="minor"/>
      </rPr>
      <t>FeSO4</t>
    </r>
  </si>
  <si>
    <t>Molecular mass of FeSO4</t>
  </si>
  <si>
    <r>
      <t>MM</t>
    </r>
    <r>
      <rPr>
        <vertAlign val="subscript"/>
        <sz val="11"/>
        <rFont val="Calibri"/>
        <family val="2"/>
        <scheme val="minor"/>
      </rPr>
      <t>MgOH2</t>
    </r>
  </si>
  <si>
    <t>Molecular mass of Mg(OH)2</t>
  </si>
  <si>
    <r>
      <t>MM</t>
    </r>
    <r>
      <rPr>
        <vertAlign val="subscript"/>
        <sz val="11"/>
        <rFont val="Calibri"/>
        <family val="2"/>
        <scheme val="minor"/>
      </rPr>
      <t>Na2CO3</t>
    </r>
  </si>
  <si>
    <t>Molecular mass of Na2CO3</t>
  </si>
  <si>
    <r>
      <t>MM</t>
    </r>
    <r>
      <rPr>
        <vertAlign val="subscript"/>
        <sz val="11"/>
        <rFont val="Calibri"/>
        <family val="2"/>
        <scheme val="minor"/>
      </rPr>
      <t>NaHCO3</t>
    </r>
  </si>
  <si>
    <t>Molecular mass of NaHCO3</t>
  </si>
  <si>
    <r>
      <t>λ</t>
    </r>
    <r>
      <rPr>
        <vertAlign val="subscript"/>
        <sz val="11"/>
        <rFont val="Calibri"/>
        <family val="2"/>
      </rPr>
      <t>H</t>
    </r>
  </si>
  <si>
    <r>
      <t>W.m</t>
    </r>
    <r>
      <rPr>
        <vertAlign val="superscript"/>
        <sz val="11"/>
        <rFont val="Calibri"/>
        <family val="2"/>
        <scheme val="minor"/>
      </rPr>
      <t>-1</t>
    </r>
    <r>
      <rPr>
        <sz val="11"/>
        <rFont val="Calibri"/>
        <family val="2"/>
        <scheme val="minor"/>
      </rPr>
      <t>.K</t>
    </r>
    <r>
      <rPr>
        <vertAlign val="superscript"/>
        <sz val="11"/>
        <rFont val="Calibri"/>
        <family val="2"/>
        <scheme val="minor"/>
      </rPr>
      <t>-1</t>
    </r>
  </si>
  <si>
    <t>https://en.wikipedia.org/wiki/List_of_thermal_conductivities</t>
  </si>
  <si>
    <r>
      <t>c</t>
    </r>
    <r>
      <rPr>
        <vertAlign val="subscript"/>
        <sz val="11"/>
        <rFont val="Calibri"/>
        <family val="2"/>
        <scheme val="minor"/>
      </rPr>
      <t>ms,d</t>
    </r>
  </si>
  <si>
    <t>Conversion coefficient between milliseconds and days</t>
  </si>
  <si>
    <r>
      <t>ms.d</t>
    </r>
    <r>
      <rPr>
        <vertAlign val="superscript"/>
        <sz val="11"/>
        <rFont val="Calibri"/>
        <family val="2"/>
        <scheme val="minor"/>
      </rPr>
      <t>-1</t>
    </r>
  </si>
  <si>
    <r>
      <t>c</t>
    </r>
    <r>
      <rPr>
        <vertAlign val="subscript"/>
        <sz val="11"/>
        <rFont val="Calibri"/>
        <family val="2"/>
        <scheme val="minor"/>
      </rPr>
      <t>ms,s</t>
    </r>
  </si>
  <si>
    <t>Conversion coefficient between milliseconds and seconds</t>
  </si>
  <si>
    <r>
      <t>ms.s</t>
    </r>
    <r>
      <rPr>
        <vertAlign val="superscript"/>
        <sz val="11"/>
        <rFont val="Calibri"/>
        <family val="2"/>
        <scheme val="minor"/>
      </rPr>
      <t>-1</t>
    </r>
  </si>
  <si>
    <r>
      <t>(H</t>
    </r>
    <r>
      <rPr>
        <vertAlign val="subscript"/>
        <sz val="11"/>
        <rFont val="Calibri"/>
        <family val="2"/>
        <scheme val="minor"/>
      </rPr>
      <t>NH4p</t>
    </r>
    <r>
      <rPr>
        <sz val="11"/>
        <rFont val="Calibri"/>
        <family val="2"/>
        <scheme val="minor"/>
      </rPr>
      <t xml:space="preserve"> + H</t>
    </r>
    <r>
      <rPr>
        <vertAlign val="subscript"/>
        <sz val="11"/>
        <rFont val="Calibri"/>
        <family val="2"/>
        <scheme val="minor"/>
      </rPr>
      <t>OHm</t>
    </r>
    <r>
      <rPr>
        <sz val="11"/>
        <rFont val="Calibri"/>
        <family val="2"/>
        <scheme val="minor"/>
      </rPr>
      <t>) - (H</t>
    </r>
    <r>
      <rPr>
        <vertAlign val="subscript"/>
        <sz val="11"/>
        <rFont val="Calibri"/>
        <family val="2"/>
        <scheme val="minor"/>
      </rPr>
      <t>NH3</t>
    </r>
    <r>
      <rPr>
        <sz val="11"/>
        <rFont val="Calibri"/>
        <family val="2"/>
        <scheme val="minor"/>
      </rPr>
      <t xml:space="preserve"> + H</t>
    </r>
    <r>
      <rPr>
        <vertAlign val="subscript"/>
        <sz val="11"/>
        <rFont val="Calibri"/>
        <family val="2"/>
        <scheme val="minor"/>
      </rPr>
      <t>H2O</t>
    </r>
    <r>
      <rPr>
        <sz val="11"/>
        <rFont val="Calibri"/>
        <family val="2"/>
        <scheme val="minor"/>
      </rPr>
      <t>)</t>
    </r>
  </si>
  <si>
    <r>
      <t>dH</t>
    </r>
    <r>
      <rPr>
        <vertAlign val="subscript"/>
        <sz val="11"/>
        <rFont val="Calibri"/>
        <family val="2"/>
      </rPr>
      <t>diss,NO2</t>
    </r>
  </si>
  <si>
    <t>Standard enthalpy change of nitrite dissociation</t>
  </si>
  <si>
    <r>
      <t>(H</t>
    </r>
    <r>
      <rPr>
        <vertAlign val="subscript"/>
        <sz val="11"/>
        <rFont val="Calibri"/>
        <family val="2"/>
      </rPr>
      <t>H3Op</t>
    </r>
    <r>
      <rPr>
        <sz val="11"/>
        <rFont val="Calibri"/>
        <family val="2"/>
      </rPr>
      <t xml:space="preserve"> + H</t>
    </r>
    <r>
      <rPr>
        <vertAlign val="subscript"/>
        <sz val="11"/>
        <rFont val="Calibri"/>
        <family val="2"/>
      </rPr>
      <t>NO2m</t>
    </r>
    <r>
      <rPr>
        <sz val="11"/>
        <rFont val="Calibri"/>
        <family val="2"/>
      </rPr>
      <t>) - (H</t>
    </r>
    <r>
      <rPr>
        <vertAlign val="subscript"/>
        <sz val="11"/>
        <rFont val="Calibri"/>
        <family val="2"/>
      </rPr>
      <t>HNO2</t>
    </r>
    <r>
      <rPr>
        <sz val="11"/>
        <rFont val="Calibri"/>
        <family val="2"/>
      </rPr>
      <t xml:space="preserve"> + H</t>
    </r>
    <r>
      <rPr>
        <vertAlign val="subscript"/>
        <sz val="11"/>
        <rFont val="Calibri"/>
        <family val="2"/>
      </rPr>
      <t>H2O</t>
    </r>
    <r>
      <rPr>
        <sz val="11"/>
        <rFont val="Calibri"/>
        <family val="2"/>
      </rPr>
      <t>)</t>
    </r>
  </si>
  <si>
    <t>r60</t>
  </si>
  <si>
    <t>r61</t>
  </si>
  <si>
    <t>r62</t>
  </si>
  <si>
    <t>r63</t>
  </si>
  <si>
    <t>r64</t>
  </si>
  <si>
    <t>r65</t>
  </si>
  <si>
    <t>r66</t>
  </si>
  <si>
    <t>r67</t>
  </si>
  <si>
    <t>r68</t>
  </si>
  <si>
    <t>r69</t>
  </si>
  <si>
    <t>r70</t>
  </si>
  <si>
    <r>
      <t>Msat</t>
    </r>
    <r>
      <rPr>
        <vertAlign val="subscript"/>
        <sz val="11"/>
        <rFont val="Calibri"/>
        <family val="2"/>
      </rPr>
      <t>SNO2,KNO2,OHO</t>
    </r>
  </si>
  <si>
    <r>
      <t>Msat(S</t>
    </r>
    <r>
      <rPr>
        <vertAlign val="subscript"/>
        <sz val="11"/>
        <rFont val="Calibri"/>
        <family val="2"/>
      </rPr>
      <t>NO2</t>
    </r>
    <r>
      <rPr>
        <sz val="11"/>
        <rFont val="Calibri"/>
        <family val="2"/>
      </rPr>
      <t>;K</t>
    </r>
    <r>
      <rPr>
        <vertAlign val="subscript"/>
        <sz val="11"/>
        <rFont val="Calibri"/>
        <family val="2"/>
      </rPr>
      <t>NO2,OHO</t>
    </r>
    <r>
      <rPr>
        <sz val="11"/>
        <rFont val="Calibri"/>
        <family val="2"/>
      </rPr>
      <t>)</t>
    </r>
  </si>
  <si>
    <r>
      <t>Msat</t>
    </r>
    <r>
      <rPr>
        <vertAlign val="subscript"/>
        <sz val="11"/>
        <rFont val="Calibri"/>
        <family val="2"/>
      </rPr>
      <t>SNO3,KNO3,OHO</t>
    </r>
  </si>
  <si>
    <r>
      <t>Msat(S</t>
    </r>
    <r>
      <rPr>
        <vertAlign val="subscript"/>
        <sz val="11"/>
        <rFont val="Calibri"/>
        <family val="2"/>
      </rPr>
      <t>NO3</t>
    </r>
    <r>
      <rPr>
        <sz val="11"/>
        <rFont val="Calibri"/>
        <family val="2"/>
      </rPr>
      <t>;K</t>
    </r>
    <r>
      <rPr>
        <vertAlign val="subscript"/>
        <sz val="11"/>
        <rFont val="Calibri"/>
        <family val="2"/>
      </rPr>
      <t>NO3,OHO</t>
    </r>
    <r>
      <rPr>
        <sz val="11"/>
        <rFont val="Calibri"/>
        <family val="2"/>
      </rPr>
      <t>)</t>
    </r>
  </si>
  <si>
    <r>
      <t>q</t>
    </r>
    <r>
      <rPr>
        <vertAlign val="subscript"/>
        <sz val="11"/>
        <rFont val="Calibri"/>
        <family val="2"/>
      </rPr>
      <t>MEOL</t>
    </r>
    <r>
      <rPr>
        <sz val="11"/>
        <rFont val="Calibri"/>
        <family val="2"/>
      </rPr>
      <t>*S</t>
    </r>
    <r>
      <rPr>
        <vertAlign val="subscript"/>
        <sz val="11"/>
        <rFont val="Calibri"/>
        <family val="2"/>
      </rPr>
      <t>MEOL</t>
    </r>
    <r>
      <rPr>
        <sz val="11"/>
        <rFont val="Calibri"/>
        <family val="2"/>
      </rPr>
      <t>*Msat</t>
    </r>
    <r>
      <rPr>
        <vertAlign val="subscript"/>
        <sz val="11"/>
        <rFont val="Calibri"/>
        <family val="2"/>
      </rPr>
      <t>SCO2,KCO2,BIO</t>
    </r>
    <r>
      <rPr>
        <sz val="11"/>
        <rFont val="Calibri"/>
        <family val="2"/>
      </rPr>
      <t>*Minh</t>
    </r>
    <r>
      <rPr>
        <vertAlign val="subscript"/>
        <sz val="11"/>
        <rFont val="Calibri"/>
        <family val="2"/>
      </rPr>
      <t>SO2,KO2,OHO</t>
    </r>
    <r>
      <rPr>
        <sz val="11"/>
        <rFont val="Calibri"/>
        <family val="2"/>
      </rPr>
      <t>*Minh</t>
    </r>
    <r>
      <rPr>
        <vertAlign val="subscript"/>
        <sz val="11"/>
        <rFont val="Calibri"/>
        <family val="2"/>
      </rPr>
      <t>SNO3,KNO3,OHO</t>
    </r>
    <r>
      <rPr>
        <sz val="11"/>
        <rFont val="Calibri"/>
        <family val="2"/>
      </rPr>
      <t>*Minh</t>
    </r>
    <r>
      <rPr>
        <vertAlign val="subscript"/>
        <sz val="11"/>
        <rFont val="Calibri"/>
        <family val="2"/>
      </rPr>
      <t>SNO2,KNO2,OHO</t>
    </r>
  </si>
  <si>
    <r>
      <t>-EEQ</t>
    </r>
    <r>
      <rPr>
        <vertAlign val="subscript"/>
        <sz val="11"/>
        <rFont val="Calibri"/>
        <family val="2"/>
        <scheme val="minor"/>
      </rPr>
      <t>NO2</t>
    </r>
  </si>
  <si>
    <r>
      <t>-1/EEQ</t>
    </r>
    <r>
      <rPr>
        <vertAlign val="subscript"/>
        <sz val="11"/>
        <rFont val="Calibri"/>
        <family val="2"/>
      </rPr>
      <t>N2,NO2</t>
    </r>
  </si>
  <si>
    <r>
      <t>1/EEQ</t>
    </r>
    <r>
      <rPr>
        <vertAlign val="subscript"/>
        <sz val="11"/>
        <rFont val="Calibri"/>
        <family val="2"/>
      </rPr>
      <t>N2,NO2</t>
    </r>
  </si>
  <si>
    <r>
      <t>-1/EEQ</t>
    </r>
    <r>
      <rPr>
        <vertAlign val="subscript"/>
        <sz val="11"/>
        <rFont val="Calibri"/>
        <family val="2"/>
      </rPr>
      <t>NO2,NO3</t>
    </r>
    <r>
      <rPr>
        <sz val="11"/>
        <rFont val="Calibri"/>
        <family val="2"/>
      </rPr>
      <t/>
    </r>
  </si>
  <si>
    <r>
      <t>1/EEQ</t>
    </r>
    <r>
      <rPr>
        <vertAlign val="subscript"/>
        <sz val="11"/>
        <rFont val="Calibri"/>
        <family val="2"/>
      </rPr>
      <t>NO2,NO3</t>
    </r>
    <r>
      <rPr>
        <sz val="11"/>
        <rFont val="Calibri"/>
        <family val="2"/>
      </rPr>
      <t/>
    </r>
  </si>
  <si>
    <t>r71</t>
  </si>
  <si>
    <t>r72</t>
  </si>
  <si>
    <r>
      <t>T</t>
    </r>
    <r>
      <rPr>
        <vertAlign val="subscript"/>
        <sz val="11"/>
        <rFont val="Calibri"/>
        <family val="2"/>
        <scheme val="minor"/>
      </rPr>
      <t>COD,Th</t>
    </r>
  </si>
  <si>
    <t>Theoretical total chemical oxygen demand</t>
  </si>
  <si>
    <t>Calculated only for influent</t>
  </si>
  <si>
    <r>
      <t>S</t>
    </r>
    <r>
      <rPr>
        <vertAlign val="subscript"/>
        <sz val="11"/>
        <rFont val="Calibri"/>
        <family val="2"/>
        <scheme val="minor"/>
      </rPr>
      <t>AN</t>
    </r>
  </si>
  <si>
    <r>
      <t>S</t>
    </r>
    <r>
      <rPr>
        <i/>
        <vertAlign val="subscript"/>
        <sz val="11"/>
        <rFont val="Calibri"/>
        <family val="2"/>
        <scheme val="minor"/>
      </rPr>
      <t>CAT,ini</t>
    </r>
  </si>
  <si>
    <t>Strong cations</t>
  </si>
  <si>
    <r>
      <t>S</t>
    </r>
    <r>
      <rPr>
        <i/>
        <vertAlign val="subscript"/>
        <sz val="11"/>
        <rFont val="Calibri"/>
        <family val="2"/>
        <scheme val="minor"/>
      </rPr>
      <t>AN,ini</t>
    </r>
  </si>
  <si>
    <t>Strong anions</t>
  </si>
  <si>
    <t>Inorganics in influent and biomass</t>
  </si>
  <si>
    <r>
      <t>S</t>
    </r>
    <r>
      <rPr>
        <vertAlign val="subscript"/>
        <sz val="11"/>
        <rFont val="Calibri"/>
        <family val="2"/>
      </rPr>
      <t>CO2</t>
    </r>
    <r>
      <rPr>
        <sz val="11"/>
        <rFont val="Calibri"/>
        <family val="2"/>
      </rPr>
      <t>/(AM</t>
    </r>
    <r>
      <rPr>
        <vertAlign val="subscript"/>
        <sz val="11"/>
        <rFont val="Calibri"/>
        <family val="2"/>
      </rPr>
      <t>C</t>
    </r>
    <r>
      <rPr>
        <sz val="11"/>
        <rFont val="Calibri"/>
        <family val="2"/>
      </rPr>
      <t>*1000)*[H</t>
    </r>
    <r>
      <rPr>
        <vertAlign val="superscript"/>
        <sz val="11"/>
        <rFont val="Calibri"/>
        <family val="2"/>
      </rPr>
      <t>+</t>
    </r>
    <r>
      <rPr>
        <sz val="11"/>
        <rFont val="Calibri"/>
        <family val="2"/>
      </rPr>
      <t>]^2/([H</t>
    </r>
    <r>
      <rPr>
        <vertAlign val="superscript"/>
        <sz val="11"/>
        <rFont val="Calibri"/>
        <family val="2"/>
      </rPr>
      <t>+</t>
    </r>
    <r>
      <rPr>
        <sz val="11"/>
        <rFont val="Calibri"/>
        <family val="2"/>
      </rPr>
      <t>]^2+[H</t>
    </r>
    <r>
      <rPr>
        <vertAlign val="superscript"/>
        <sz val="11"/>
        <rFont val="Calibri"/>
        <family val="2"/>
      </rPr>
      <t>+</t>
    </r>
    <r>
      <rPr>
        <sz val="11"/>
        <rFont val="Calibri"/>
        <family val="2"/>
      </rPr>
      <t>]*K</t>
    </r>
    <r>
      <rPr>
        <vertAlign val="subscript"/>
        <sz val="11"/>
        <rFont val="Calibri"/>
        <family val="2"/>
      </rPr>
      <t>C1</t>
    </r>
    <r>
      <rPr>
        <sz val="11"/>
        <rFont val="Calibri"/>
        <family val="2"/>
      </rPr>
      <t>+K</t>
    </r>
    <r>
      <rPr>
        <vertAlign val="subscript"/>
        <sz val="11"/>
        <rFont val="Calibri"/>
        <family val="2"/>
      </rPr>
      <t>C1</t>
    </r>
    <r>
      <rPr>
        <sz val="11"/>
        <rFont val="Calibri"/>
        <family val="2"/>
      </rPr>
      <t>*K</t>
    </r>
    <r>
      <rPr>
        <vertAlign val="subscript"/>
        <sz val="11"/>
        <rFont val="Calibri"/>
        <family val="2"/>
      </rPr>
      <t>C2</t>
    </r>
    <r>
      <rPr>
        <sz val="11"/>
        <rFont val="Calibri"/>
        <family val="2"/>
      </rPr>
      <t>)</t>
    </r>
  </si>
  <si>
    <r>
      <t>(S</t>
    </r>
    <r>
      <rPr>
        <vertAlign val="subscript"/>
        <sz val="11"/>
        <rFont val="Calibri"/>
        <family val="2"/>
      </rPr>
      <t>NO2</t>
    </r>
    <r>
      <rPr>
        <sz val="11"/>
        <rFont val="Calibri"/>
        <family val="2"/>
      </rPr>
      <t>/(AM</t>
    </r>
    <r>
      <rPr>
        <vertAlign val="subscript"/>
        <sz val="11"/>
        <rFont val="Calibri"/>
        <family val="2"/>
      </rPr>
      <t>N</t>
    </r>
    <r>
      <rPr>
        <sz val="11"/>
        <rFont val="Calibri"/>
        <family val="2"/>
      </rPr>
      <t>*1000))*[H</t>
    </r>
    <r>
      <rPr>
        <vertAlign val="superscript"/>
        <sz val="11"/>
        <rFont val="Calibri"/>
        <family val="2"/>
      </rPr>
      <t>+</t>
    </r>
    <r>
      <rPr>
        <sz val="11"/>
        <rFont val="Calibri"/>
        <family val="2"/>
      </rPr>
      <t>]/([H</t>
    </r>
    <r>
      <rPr>
        <vertAlign val="superscript"/>
        <sz val="11"/>
        <rFont val="Calibri"/>
        <family val="2"/>
      </rPr>
      <t>+</t>
    </r>
    <r>
      <rPr>
        <sz val="11"/>
        <rFont val="Calibri"/>
        <family val="2"/>
      </rPr>
      <t>]+K</t>
    </r>
    <r>
      <rPr>
        <vertAlign val="subscript"/>
        <sz val="11"/>
        <rFont val="Calibri"/>
        <family val="2"/>
      </rPr>
      <t>NO2</t>
    </r>
    <r>
      <rPr>
        <sz val="11"/>
        <rFont val="Calibri"/>
        <family val="2"/>
      </rPr>
      <t>)</t>
    </r>
  </si>
  <si>
    <r>
      <t>(K</t>
    </r>
    <r>
      <rPr>
        <vertAlign val="subscript"/>
        <sz val="11"/>
        <rFont val="Calibri"/>
        <family val="2"/>
      </rPr>
      <t>NO2</t>
    </r>
    <r>
      <rPr>
        <sz val="11"/>
        <rFont val="Calibri"/>
        <family val="2"/>
      </rPr>
      <t>*S</t>
    </r>
    <r>
      <rPr>
        <vertAlign val="subscript"/>
        <sz val="11"/>
        <rFont val="Calibri"/>
        <family val="2"/>
      </rPr>
      <t>NO2</t>
    </r>
    <r>
      <rPr>
        <sz val="11"/>
        <rFont val="Calibri"/>
        <family val="2"/>
      </rPr>
      <t>/(AM</t>
    </r>
    <r>
      <rPr>
        <vertAlign val="subscript"/>
        <sz val="11"/>
        <rFont val="Calibri"/>
        <family val="2"/>
      </rPr>
      <t>N</t>
    </r>
    <r>
      <rPr>
        <sz val="11"/>
        <rFont val="Calibri"/>
        <family val="2"/>
      </rPr>
      <t>*1000))/([H</t>
    </r>
    <r>
      <rPr>
        <vertAlign val="superscript"/>
        <sz val="11"/>
        <rFont val="Calibri"/>
        <family val="2"/>
      </rPr>
      <t>+</t>
    </r>
    <r>
      <rPr>
        <sz val="11"/>
        <rFont val="Calibri"/>
        <family val="2"/>
      </rPr>
      <t>]+K</t>
    </r>
    <r>
      <rPr>
        <vertAlign val="subscript"/>
        <sz val="11"/>
        <rFont val="Calibri"/>
        <family val="2"/>
      </rPr>
      <t>NO2</t>
    </r>
    <r>
      <rPr>
        <sz val="11"/>
        <rFont val="Calibri"/>
        <family val="2"/>
      </rPr>
      <t>)</t>
    </r>
  </si>
  <si>
    <r>
      <t>(S</t>
    </r>
    <r>
      <rPr>
        <vertAlign val="subscript"/>
        <sz val="11"/>
        <rFont val="Calibri"/>
        <family val="2"/>
      </rPr>
      <t>NHx</t>
    </r>
    <r>
      <rPr>
        <sz val="11"/>
        <rFont val="Calibri"/>
        <family val="2"/>
      </rPr>
      <t>/(AM</t>
    </r>
    <r>
      <rPr>
        <vertAlign val="subscript"/>
        <sz val="11"/>
        <rFont val="Calibri"/>
        <family val="2"/>
      </rPr>
      <t>N</t>
    </r>
    <r>
      <rPr>
        <sz val="11"/>
        <rFont val="Calibri"/>
        <family val="2"/>
      </rPr>
      <t>*1000))*K</t>
    </r>
    <r>
      <rPr>
        <vertAlign val="subscript"/>
        <sz val="11"/>
        <rFont val="Calibri"/>
        <family val="2"/>
      </rPr>
      <t>NH3</t>
    </r>
    <r>
      <rPr>
        <sz val="11"/>
        <rFont val="Calibri"/>
        <family val="2"/>
      </rPr>
      <t>/([H</t>
    </r>
    <r>
      <rPr>
        <vertAlign val="superscript"/>
        <sz val="11"/>
        <rFont val="Calibri"/>
        <family val="2"/>
      </rPr>
      <t>+</t>
    </r>
    <r>
      <rPr>
        <sz val="11"/>
        <rFont val="Calibri"/>
        <family val="2"/>
      </rPr>
      <t>]+K</t>
    </r>
    <r>
      <rPr>
        <vertAlign val="subscript"/>
        <sz val="11"/>
        <rFont val="Calibri"/>
        <family val="2"/>
      </rPr>
      <t>NH3</t>
    </r>
    <r>
      <rPr>
        <sz val="11"/>
        <rFont val="Calibri"/>
        <family val="2"/>
      </rPr>
      <t>)</t>
    </r>
  </si>
  <si>
    <r>
      <t>(S</t>
    </r>
    <r>
      <rPr>
        <vertAlign val="subscript"/>
        <sz val="11"/>
        <rFont val="Calibri"/>
        <family val="2"/>
      </rPr>
      <t>NHx</t>
    </r>
    <r>
      <rPr>
        <sz val="11"/>
        <rFont val="Calibri"/>
        <family val="2"/>
      </rPr>
      <t>/(AM</t>
    </r>
    <r>
      <rPr>
        <vertAlign val="subscript"/>
        <sz val="11"/>
        <rFont val="Calibri"/>
        <family val="2"/>
      </rPr>
      <t>N</t>
    </r>
    <r>
      <rPr>
        <sz val="11"/>
        <rFont val="Calibri"/>
        <family val="2"/>
      </rPr>
      <t>*1000))*[H</t>
    </r>
    <r>
      <rPr>
        <vertAlign val="superscript"/>
        <sz val="11"/>
        <rFont val="Calibri"/>
        <family val="2"/>
      </rPr>
      <t>+</t>
    </r>
    <r>
      <rPr>
        <sz val="11"/>
        <rFont val="Calibri"/>
        <family val="2"/>
      </rPr>
      <t>]/([H</t>
    </r>
    <r>
      <rPr>
        <vertAlign val="superscript"/>
        <sz val="11"/>
        <rFont val="Calibri"/>
        <family val="2"/>
      </rPr>
      <t>+</t>
    </r>
    <r>
      <rPr>
        <sz val="11"/>
        <rFont val="Calibri"/>
        <family val="2"/>
      </rPr>
      <t>]+K</t>
    </r>
    <r>
      <rPr>
        <vertAlign val="subscript"/>
        <sz val="11"/>
        <rFont val="Calibri"/>
        <family val="2"/>
      </rPr>
      <t>NH3</t>
    </r>
    <r>
      <rPr>
        <sz val="11"/>
        <rFont val="Calibri"/>
        <family val="2"/>
      </rPr>
      <t>)</t>
    </r>
  </si>
  <si>
    <r>
      <t>[H</t>
    </r>
    <r>
      <rPr>
        <vertAlign val="superscript"/>
        <sz val="11"/>
        <rFont val="Calibri"/>
        <family val="2"/>
      </rPr>
      <t>+</t>
    </r>
    <r>
      <rPr>
        <sz val="11"/>
        <rFont val="Calibri"/>
        <family val="2"/>
      </rPr>
      <t>]*K</t>
    </r>
    <r>
      <rPr>
        <vertAlign val="subscript"/>
        <sz val="11"/>
        <rFont val="Calibri"/>
        <family val="2"/>
      </rPr>
      <t>C1</t>
    </r>
    <r>
      <rPr>
        <sz val="11"/>
        <rFont val="Calibri"/>
        <family val="2"/>
      </rPr>
      <t>*S</t>
    </r>
    <r>
      <rPr>
        <vertAlign val="subscript"/>
        <sz val="11"/>
        <rFont val="Calibri"/>
        <family val="2"/>
      </rPr>
      <t>CO2</t>
    </r>
    <r>
      <rPr>
        <sz val="11"/>
        <rFont val="Calibri"/>
        <family val="2"/>
      </rPr>
      <t>/(AM</t>
    </r>
    <r>
      <rPr>
        <vertAlign val="subscript"/>
        <sz val="11"/>
        <rFont val="Calibri"/>
        <family val="2"/>
      </rPr>
      <t>C</t>
    </r>
    <r>
      <rPr>
        <sz val="11"/>
        <rFont val="Calibri"/>
        <family val="2"/>
      </rPr>
      <t>*1000)/([H</t>
    </r>
    <r>
      <rPr>
        <vertAlign val="superscript"/>
        <sz val="11"/>
        <rFont val="Calibri"/>
        <family val="2"/>
      </rPr>
      <t>+</t>
    </r>
    <r>
      <rPr>
        <sz val="11"/>
        <rFont val="Calibri"/>
        <family val="2"/>
      </rPr>
      <t>]^2+[H</t>
    </r>
    <r>
      <rPr>
        <vertAlign val="superscript"/>
        <sz val="11"/>
        <rFont val="Calibri"/>
        <family val="2"/>
      </rPr>
      <t>+</t>
    </r>
    <r>
      <rPr>
        <sz val="11"/>
        <rFont val="Calibri"/>
        <family val="2"/>
      </rPr>
      <t>]*K</t>
    </r>
    <r>
      <rPr>
        <vertAlign val="subscript"/>
        <sz val="11"/>
        <rFont val="Calibri"/>
        <family val="2"/>
      </rPr>
      <t>C1</t>
    </r>
    <r>
      <rPr>
        <sz val="11"/>
        <rFont val="Calibri"/>
        <family val="2"/>
      </rPr>
      <t>+K</t>
    </r>
    <r>
      <rPr>
        <vertAlign val="subscript"/>
        <sz val="11"/>
        <rFont val="Calibri"/>
        <family val="2"/>
      </rPr>
      <t>C1</t>
    </r>
    <r>
      <rPr>
        <sz val="11"/>
        <rFont val="Calibri"/>
        <family val="2"/>
      </rPr>
      <t>*K</t>
    </r>
    <r>
      <rPr>
        <vertAlign val="subscript"/>
        <sz val="11"/>
        <rFont val="Calibri"/>
        <family val="2"/>
      </rPr>
      <t>C2</t>
    </r>
    <r>
      <rPr>
        <sz val="11"/>
        <rFont val="Calibri"/>
        <family val="2"/>
      </rPr>
      <t>)</t>
    </r>
  </si>
  <si>
    <r>
      <t>K</t>
    </r>
    <r>
      <rPr>
        <vertAlign val="subscript"/>
        <sz val="11"/>
        <rFont val="Calibri"/>
        <family val="2"/>
      </rPr>
      <t>C2</t>
    </r>
    <r>
      <rPr>
        <sz val="11"/>
        <rFont val="Calibri"/>
        <family val="2"/>
      </rPr>
      <t>*K</t>
    </r>
    <r>
      <rPr>
        <vertAlign val="subscript"/>
        <sz val="11"/>
        <rFont val="Calibri"/>
        <family val="2"/>
      </rPr>
      <t>C1</t>
    </r>
    <r>
      <rPr>
        <sz val="11"/>
        <rFont val="Calibri"/>
        <family val="2"/>
      </rPr>
      <t>*S</t>
    </r>
    <r>
      <rPr>
        <vertAlign val="subscript"/>
        <sz val="11"/>
        <rFont val="Calibri"/>
        <family val="2"/>
      </rPr>
      <t>CO2</t>
    </r>
    <r>
      <rPr>
        <sz val="11"/>
        <rFont val="Calibri"/>
        <family val="2"/>
      </rPr>
      <t>/(AM</t>
    </r>
    <r>
      <rPr>
        <vertAlign val="subscript"/>
        <sz val="11"/>
        <rFont val="Calibri"/>
        <family val="2"/>
      </rPr>
      <t>C</t>
    </r>
    <r>
      <rPr>
        <sz val="11"/>
        <rFont val="Calibri"/>
        <family val="2"/>
      </rPr>
      <t>*1000)/([H</t>
    </r>
    <r>
      <rPr>
        <vertAlign val="superscript"/>
        <sz val="11"/>
        <rFont val="Calibri"/>
        <family val="2"/>
      </rPr>
      <t>+</t>
    </r>
    <r>
      <rPr>
        <sz val="11"/>
        <rFont val="Calibri"/>
        <family val="2"/>
      </rPr>
      <t>]^2+[H</t>
    </r>
    <r>
      <rPr>
        <vertAlign val="superscript"/>
        <sz val="11"/>
        <rFont val="Calibri"/>
        <family val="2"/>
      </rPr>
      <t>+</t>
    </r>
    <r>
      <rPr>
        <sz val="11"/>
        <rFont val="Calibri"/>
        <family val="2"/>
      </rPr>
      <t>]*K</t>
    </r>
    <r>
      <rPr>
        <vertAlign val="subscript"/>
        <sz val="11"/>
        <rFont val="Calibri"/>
        <family val="2"/>
      </rPr>
      <t>C1</t>
    </r>
    <r>
      <rPr>
        <sz val="11"/>
        <rFont val="Calibri"/>
        <family val="2"/>
      </rPr>
      <t>+K</t>
    </r>
    <r>
      <rPr>
        <vertAlign val="subscript"/>
        <sz val="11"/>
        <rFont val="Calibri"/>
        <family val="2"/>
      </rPr>
      <t>C1</t>
    </r>
    <r>
      <rPr>
        <sz val="11"/>
        <rFont val="Calibri"/>
        <family val="2"/>
      </rPr>
      <t>*K</t>
    </r>
    <r>
      <rPr>
        <vertAlign val="subscript"/>
        <sz val="11"/>
        <rFont val="Calibri"/>
        <family val="2"/>
      </rPr>
      <t>C2</t>
    </r>
    <r>
      <rPr>
        <sz val="11"/>
        <rFont val="Calibri"/>
        <family val="2"/>
      </rPr>
      <t>)</t>
    </r>
  </si>
  <si>
    <r>
      <t>diss</t>
    </r>
    <r>
      <rPr>
        <vertAlign val="subscript"/>
        <sz val="11"/>
        <rFont val="Calibri"/>
        <family val="2"/>
      </rPr>
      <t>NH3</t>
    </r>
  </si>
  <si>
    <r>
      <t>-AM</t>
    </r>
    <r>
      <rPr>
        <vertAlign val="subscript"/>
        <sz val="11"/>
        <rFont val="Calibri"/>
        <family val="2"/>
      </rPr>
      <t>C</t>
    </r>
    <r>
      <rPr>
        <sz val="11"/>
        <rFont val="Calibri"/>
        <family val="2"/>
      </rPr>
      <t>/MM</t>
    </r>
    <r>
      <rPr>
        <vertAlign val="subscript"/>
        <sz val="11"/>
        <rFont val="Calibri"/>
        <family val="2"/>
      </rPr>
      <t>CaCO3</t>
    </r>
  </si>
  <si>
    <r>
      <t>AM</t>
    </r>
    <r>
      <rPr>
        <vertAlign val="subscript"/>
        <sz val="11"/>
        <rFont val="Calibri"/>
        <family val="2"/>
        <scheme val="minor"/>
      </rPr>
      <t>C</t>
    </r>
    <r>
      <rPr>
        <sz val="11"/>
        <rFont val="Calibri"/>
        <family val="2"/>
        <scheme val="minor"/>
      </rPr>
      <t>/MM</t>
    </r>
    <r>
      <rPr>
        <vertAlign val="subscript"/>
        <sz val="11"/>
        <rFont val="Calibri"/>
        <family val="2"/>
        <scheme val="minor"/>
      </rPr>
      <t>CaCO3</t>
    </r>
  </si>
  <si>
    <r>
      <t>i</t>
    </r>
    <r>
      <rPr>
        <vertAlign val="subscript"/>
        <sz val="11"/>
        <rFont val="Calibri"/>
        <family val="2"/>
      </rPr>
      <t>INORG</t>
    </r>
    <r>
      <rPr>
        <sz val="11"/>
        <color indexed="8"/>
        <rFont val="Calibri"/>
        <family val="2"/>
      </rPr>
      <t/>
    </r>
  </si>
  <si>
    <r>
      <t>-i</t>
    </r>
    <r>
      <rPr>
        <vertAlign val="subscript"/>
        <sz val="11"/>
        <rFont val="Calibri"/>
        <family val="2"/>
      </rPr>
      <t>INORG</t>
    </r>
    <r>
      <rPr>
        <sz val="11"/>
        <color indexed="8"/>
        <rFont val="Calibri"/>
        <family val="2"/>
      </rPr>
      <t/>
    </r>
  </si>
  <si>
    <r>
      <t>i</t>
    </r>
    <r>
      <rPr>
        <vertAlign val="subscript"/>
        <sz val="11"/>
        <rFont val="Calibri"/>
        <family val="2"/>
        <scheme val="minor"/>
      </rPr>
      <t>INORG</t>
    </r>
  </si>
  <si>
    <t>Fermentation growth rate of OHOs</t>
  </si>
  <si>
    <t>Decay rate of OHOs</t>
  </si>
  <si>
    <t>Reduction factor for anoxic growth of OHOs</t>
  </si>
  <si>
    <r>
      <t>Half-saturation of O</t>
    </r>
    <r>
      <rPr>
        <vertAlign val="subscript"/>
        <sz val="11"/>
        <color rgb="FF000000"/>
        <rFont val="Calibri"/>
        <family val="2"/>
        <scheme val="minor"/>
      </rPr>
      <t>2</t>
    </r>
    <r>
      <rPr>
        <sz val="11"/>
        <color rgb="FF000000"/>
        <rFont val="Calibri"/>
        <family val="2"/>
        <charset val="238"/>
        <scheme val="minor"/>
      </rPr>
      <t xml:space="preserve"> for OHOs (AS)</t>
    </r>
  </si>
  <si>
    <t>Half-saturation of VFA for OHOs (AS)</t>
  </si>
  <si>
    <t>Half-saturation of methanol for OHOs (AS)</t>
  </si>
  <si>
    <r>
      <t>Half-saturation of NO</t>
    </r>
    <r>
      <rPr>
        <vertAlign val="subscript"/>
        <sz val="11"/>
        <color rgb="FF000000"/>
        <rFont val="Calibri"/>
        <family val="2"/>
        <scheme val="minor"/>
      </rPr>
      <t>3</t>
    </r>
    <r>
      <rPr>
        <sz val="11"/>
        <color rgb="FF000000"/>
        <rFont val="Calibri"/>
        <family val="2"/>
        <charset val="238"/>
        <scheme val="minor"/>
      </rPr>
      <t xml:space="preserve"> for OHOs (AS)</t>
    </r>
  </si>
  <si>
    <r>
      <t>Half-saturation of NO</t>
    </r>
    <r>
      <rPr>
        <vertAlign val="subscript"/>
        <sz val="11"/>
        <color rgb="FF000000"/>
        <rFont val="Calibri"/>
        <family val="2"/>
        <scheme val="minor"/>
      </rPr>
      <t>2</t>
    </r>
    <r>
      <rPr>
        <sz val="11"/>
        <color rgb="FF000000"/>
        <rFont val="Calibri"/>
        <family val="2"/>
        <charset val="238"/>
        <scheme val="minor"/>
      </rPr>
      <t xml:space="preserve"> for OHOs (AS)</t>
    </r>
  </si>
  <si>
    <t>Maximum specific growth rate of MEOLOs</t>
  </si>
  <si>
    <t>Decay rate of MEOLOs</t>
  </si>
  <si>
    <t xml:space="preserve">Rate of methanol degradation by MEOLOs under anaerobic conditions </t>
  </si>
  <si>
    <t>Half-saturation of methanol for MEOLOs (AS)</t>
  </si>
  <si>
    <r>
      <t>Half-saturation of NO</t>
    </r>
    <r>
      <rPr>
        <vertAlign val="subscript"/>
        <sz val="11"/>
        <color rgb="FF000000"/>
        <rFont val="Calibri"/>
        <family val="2"/>
        <scheme val="minor"/>
      </rPr>
      <t>3</t>
    </r>
    <r>
      <rPr>
        <sz val="11"/>
        <color rgb="FF000000"/>
        <rFont val="Calibri"/>
        <family val="2"/>
        <charset val="238"/>
        <scheme val="minor"/>
      </rPr>
      <t xml:space="preserve"> for MEOLOs (AS)</t>
    </r>
  </si>
  <si>
    <r>
      <t>Half-saturation of NO</t>
    </r>
    <r>
      <rPr>
        <vertAlign val="subscript"/>
        <sz val="11"/>
        <color rgb="FF000000"/>
        <rFont val="Calibri"/>
        <family val="2"/>
        <scheme val="minor"/>
      </rPr>
      <t>2</t>
    </r>
    <r>
      <rPr>
        <sz val="11"/>
        <color rgb="FF000000"/>
        <rFont val="Calibri"/>
        <family val="2"/>
        <charset val="238"/>
        <scheme val="minor"/>
      </rPr>
      <t xml:space="preserve"> for MEOLOs (AS)</t>
    </r>
  </si>
  <si>
    <t>Fermentation growth rate of PAOs</t>
  </si>
  <si>
    <t>Maximum specific growth rate of PAOs under P limited</t>
  </si>
  <si>
    <t>Rate of PAOs maintenance under anaerobic conditions (PP cleavage)</t>
  </si>
  <si>
    <t>Rate of VFA storage into PHA for PAOs</t>
  </si>
  <si>
    <t>Reduction factor for aerobic maintenance of PAOs on PP</t>
  </si>
  <si>
    <t>Reduction factor for anoxic maintenance of PAOs on PP</t>
  </si>
  <si>
    <r>
      <t>Half-saturation of PO</t>
    </r>
    <r>
      <rPr>
        <vertAlign val="subscript"/>
        <sz val="11"/>
        <color rgb="FF000000"/>
        <rFont val="Calibri"/>
        <family val="2"/>
        <scheme val="minor"/>
      </rPr>
      <t>4</t>
    </r>
    <r>
      <rPr>
        <sz val="11"/>
        <color rgb="FF000000"/>
        <rFont val="Calibri"/>
        <family val="2"/>
        <charset val="238"/>
        <scheme val="minor"/>
      </rPr>
      <t xml:space="preserve"> for PAOs (AS)</t>
    </r>
  </si>
  <si>
    <t>Half-saturation of PHA for PAOs</t>
  </si>
  <si>
    <r>
      <t>µ</t>
    </r>
    <r>
      <rPr>
        <vertAlign val="subscript"/>
        <sz val="11"/>
        <rFont val="Calibri"/>
        <family val="2"/>
        <scheme val="minor"/>
      </rPr>
      <t>FERM,PAO</t>
    </r>
  </si>
  <si>
    <r>
      <t>Ki</t>
    </r>
    <r>
      <rPr>
        <vertAlign val="subscript"/>
        <sz val="11"/>
        <rFont val="Calibri"/>
        <family val="2"/>
        <scheme val="minor"/>
      </rPr>
      <t>PO4,lim,AS</t>
    </r>
  </si>
  <si>
    <r>
      <t>Logsat</t>
    </r>
    <r>
      <rPr>
        <vertAlign val="subscript"/>
        <sz val="11"/>
        <rFont val="Calibri"/>
        <family val="2"/>
        <scheme val="minor"/>
      </rPr>
      <t>ORP,PAO,Half</t>
    </r>
  </si>
  <si>
    <t>Logistic half-saturation of ORP switching in fermentation of PAO</t>
  </si>
  <si>
    <r>
      <t>Logsat</t>
    </r>
    <r>
      <rPr>
        <vertAlign val="subscript"/>
        <sz val="11"/>
        <rFont val="Calibri"/>
        <family val="2"/>
        <scheme val="minor"/>
      </rPr>
      <t>ORP,PAO,Slope</t>
    </r>
  </si>
  <si>
    <t>Logistic slope of ORP switching in fermentation of PAO</t>
  </si>
  <si>
    <t>Half-saturation of Mg (counter-ion in PP storage) for PAOs (AS)</t>
  </si>
  <si>
    <t>Half-saturation of K (counter-ion in PP storage) for PAOs (AS)</t>
  </si>
  <si>
    <t>Half-saturation of Ca (counter-ion in PP storage) for PAOs (AS)</t>
  </si>
  <si>
    <r>
      <t>Half-inhibition of PO</t>
    </r>
    <r>
      <rPr>
        <vertAlign val="subscript"/>
        <sz val="11"/>
        <color rgb="FF000000"/>
        <rFont val="Calibri"/>
        <family val="2"/>
        <scheme val="minor"/>
      </rPr>
      <t>4</t>
    </r>
    <r>
      <rPr>
        <sz val="11"/>
        <color rgb="FF000000"/>
        <rFont val="Calibri"/>
        <family val="2"/>
        <charset val="238"/>
        <scheme val="minor"/>
      </rPr>
      <t xml:space="preserve"> for PAOs under PO4 limitation (AS)</t>
    </r>
  </si>
  <si>
    <t>Logistic slope of ORP switching of GAOs</t>
  </si>
  <si>
    <r>
      <t>Ki</t>
    </r>
    <r>
      <rPr>
        <vertAlign val="subscript"/>
        <sz val="11"/>
        <color indexed="8"/>
        <rFont val="Calibri"/>
        <family val="2"/>
        <scheme val="minor"/>
      </rPr>
      <t>HNO2,AOB,pH,AS</t>
    </r>
  </si>
  <si>
    <t>Decay rate of AOBs</t>
  </si>
  <si>
    <r>
      <t>Half-saturation of NH</t>
    </r>
    <r>
      <rPr>
        <vertAlign val="subscript"/>
        <sz val="11"/>
        <color rgb="FF000000"/>
        <rFont val="Calibri"/>
        <family val="2"/>
        <scheme val="minor"/>
      </rPr>
      <t>x</t>
    </r>
    <r>
      <rPr>
        <sz val="11"/>
        <color rgb="FF000000"/>
        <rFont val="Calibri"/>
        <family val="2"/>
        <charset val="238"/>
        <scheme val="minor"/>
      </rPr>
      <t xml:space="preserve"> for AOBs (AS)</t>
    </r>
  </si>
  <si>
    <t>Half-saturation of bicarbonate for AOBs (Sidestream)</t>
  </si>
  <si>
    <t>Half-saturation of bicarbonate for AOBs (AS)</t>
  </si>
  <si>
    <r>
      <t>Half-saturation of O</t>
    </r>
    <r>
      <rPr>
        <vertAlign val="subscript"/>
        <sz val="11"/>
        <color rgb="FF000000"/>
        <rFont val="Calibri"/>
        <family val="2"/>
        <scheme val="minor"/>
      </rPr>
      <t>2</t>
    </r>
    <r>
      <rPr>
        <sz val="11"/>
        <color rgb="FF000000"/>
        <rFont val="Calibri"/>
        <family val="2"/>
        <charset val="238"/>
        <scheme val="minor"/>
      </rPr>
      <t xml:space="preserve"> for AOBs (Sidestream)</t>
    </r>
  </si>
  <si>
    <r>
      <t>Half-saturation of O</t>
    </r>
    <r>
      <rPr>
        <vertAlign val="subscript"/>
        <sz val="11"/>
        <color rgb="FF000000"/>
        <rFont val="Calibri"/>
        <family val="2"/>
        <scheme val="minor"/>
      </rPr>
      <t>2</t>
    </r>
    <r>
      <rPr>
        <sz val="11"/>
        <color rgb="FF000000"/>
        <rFont val="Calibri"/>
        <family val="2"/>
        <charset val="238"/>
        <scheme val="minor"/>
      </rPr>
      <t xml:space="preserve"> for AOBs (AS)</t>
    </r>
  </si>
  <si>
    <r>
      <t>Half-saturation of NO</t>
    </r>
    <r>
      <rPr>
        <vertAlign val="subscript"/>
        <sz val="11"/>
        <color rgb="FF000000"/>
        <rFont val="Calibri"/>
        <family val="2"/>
        <scheme val="minor"/>
      </rPr>
      <t>x</t>
    </r>
    <r>
      <rPr>
        <sz val="11"/>
        <color rgb="FF000000"/>
        <rFont val="Calibri"/>
        <family val="2"/>
        <charset val="238"/>
        <scheme val="minor"/>
      </rPr>
      <t xml:space="preserve"> (anoxic conditions) for AOBs (AS)</t>
    </r>
  </si>
  <si>
    <t>Half-inhibition of nitrous acid for AOBs (AS)</t>
  </si>
  <si>
    <r>
      <t>Ki</t>
    </r>
    <r>
      <rPr>
        <vertAlign val="subscript"/>
        <sz val="11"/>
        <color indexed="8"/>
        <rFont val="Calibri"/>
        <family val="2"/>
        <scheme val="minor"/>
      </rPr>
      <t>NH3,NOB,pH,AS</t>
    </r>
  </si>
  <si>
    <t>Decay rate of NOBs</t>
  </si>
  <si>
    <r>
      <t>Half-saturation of NO</t>
    </r>
    <r>
      <rPr>
        <vertAlign val="subscript"/>
        <sz val="11"/>
        <color rgb="FF000000"/>
        <rFont val="Calibri"/>
        <family val="2"/>
        <scheme val="minor"/>
      </rPr>
      <t>2</t>
    </r>
    <r>
      <rPr>
        <sz val="11"/>
        <color rgb="FF000000"/>
        <rFont val="Calibri"/>
        <family val="2"/>
        <charset val="238"/>
        <scheme val="minor"/>
      </rPr>
      <t xml:space="preserve"> for NOBs (AS)</t>
    </r>
  </si>
  <si>
    <t>Half-saturation of bicarbonate for NOBs (AS)</t>
  </si>
  <si>
    <r>
      <t>Half-saturation of O</t>
    </r>
    <r>
      <rPr>
        <vertAlign val="subscript"/>
        <sz val="11"/>
        <color rgb="FF000000"/>
        <rFont val="Calibri"/>
        <family val="2"/>
        <scheme val="minor"/>
      </rPr>
      <t>2</t>
    </r>
    <r>
      <rPr>
        <sz val="11"/>
        <color rgb="FF000000"/>
        <rFont val="Calibri"/>
        <family val="2"/>
        <charset val="238"/>
        <scheme val="minor"/>
      </rPr>
      <t xml:space="preserve"> for NOBs (Sidestream)</t>
    </r>
  </si>
  <si>
    <r>
      <t>Half-saturation of O</t>
    </r>
    <r>
      <rPr>
        <vertAlign val="subscript"/>
        <sz val="11"/>
        <color rgb="FF000000"/>
        <rFont val="Calibri"/>
        <family val="2"/>
        <scheme val="minor"/>
      </rPr>
      <t>2</t>
    </r>
    <r>
      <rPr>
        <sz val="11"/>
        <color rgb="FF000000"/>
        <rFont val="Calibri"/>
        <family val="2"/>
        <charset val="238"/>
        <scheme val="minor"/>
      </rPr>
      <t xml:space="preserve"> for NOBs (AS)</t>
    </r>
  </si>
  <si>
    <r>
      <t>Half-saturation of NO</t>
    </r>
    <r>
      <rPr>
        <vertAlign val="subscript"/>
        <sz val="11"/>
        <color rgb="FF000000"/>
        <rFont val="Calibri"/>
        <family val="2"/>
        <scheme val="minor"/>
      </rPr>
      <t>x</t>
    </r>
    <r>
      <rPr>
        <sz val="11"/>
        <color rgb="FF000000"/>
        <rFont val="Calibri"/>
        <family val="2"/>
        <charset val="238"/>
        <scheme val="minor"/>
      </rPr>
      <t xml:space="preserve"> (anoxic conditions) for NOBs (AS)</t>
    </r>
  </si>
  <si>
    <r>
      <t>Half-inhibition of NH</t>
    </r>
    <r>
      <rPr>
        <vertAlign val="subscript"/>
        <sz val="11"/>
        <color rgb="FF000000"/>
        <rFont val="Calibri"/>
        <family val="2"/>
        <scheme val="minor"/>
      </rPr>
      <t>3</t>
    </r>
    <r>
      <rPr>
        <sz val="11"/>
        <color rgb="FF000000"/>
        <rFont val="Calibri"/>
        <family val="2"/>
        <charset val="238"/>
        <scheme val="minor"/>
      </rPr>
      <t xml:space="preserve"> for NOBs (AS)</t>
    </r>
  </si>
  <si>
    <r>
      <t>Ki</t>
    </r>
    <r>
      <rPr>
        <vertAlign val="subscript"/>
        <sz val="11"/>
        <color indexed="8"/>
        <rFont val="Calibri"/>
        <family val="2"/>
        <scheme val="minor"/>
      </rPr>
      <t>HNO2,AMX,pH,AS</t>
    </r>
  </si>
  <si>
    <t>Maximum specific growth rate of AMX</t>
  </si>
  <si>
    <t>Decay rate of AMXs</t>
  </si>
  <si>
    <r>
      <t>Half-saturation of NH</t>
    </r>
    <r>
      <rPr>
        <vertAlign val="subscript"/>
        <sz val="11"/>
        <color rgb="FF000000"/>
        <rFont val="Calibri"/>
        <family val="2"/>
        <scheme val="minor"/>
      </rPr>
      <t>x</t>
    </r>
    <r>
      <rPr>
        <sz val="11"/>
        <color rgb="FF000000"/>
        <rFont val="Calibri"/>
        <family val="2"/>
        <charset val="238"/>
        <scheme val="minor"/>
      </rPr>
      <t xml:space="preserve"> for AMX</t>
    </r>
  </si>
  <si>
    <r>
      <t>Half-saturation of N</t>
    </r>
    <r>
      <rPr>
        <vertAlign val="subscript"/>
        <sz val="11"/>
        <color rgb="FF000000"/>
        <rFont val="Calibri"/>
        <family val="2"/>
        <scheme val="minor"/>
      </rPr>
      <t>O2</t>
    </r>
    <r>
      <rPr>
        <sz val="11"/>
        <color rgb="FF000000"/>
        <rFont val="Calibri"/>
        <family val="2"/>
        <charset val="238"/>
        <scheme val="minor"/>
      </rPr>
      <t xml:space="preserve"> for AMX</t>
    </r>
  </si>
  <si>
    <t>Half-saturation of bicarbonate for AMX</t>
  </si>
  <si>
    <r>
      <t>Half-saturation of NO</t>
    </r>
    <r>
      <rPr>
        <vertAlign val="subscript"/>
        <sz val="11"/>
        <color rgb="FF000000"/>
        <rFont val="Calibri"/>
        <family val="2"/>
        <scheme val="minor"/>
      </rPr>
      <t>x</t>
    </r>
    <r>
      <rPr>
        <sz val="11"/>
        <color rgb="FF000000"/>
        <rFont val="Calibri"/>
        <family val="2"/>
        <charset val="238"/>
        <scheme val="minor"/>
      </rPr>
      <t xml:space="preserve"> for AMX</t>
    </r>
  </si>
  <si>
    <t>Half-inhibition of nitrous acid for AMX</t>
  </si>
  <si>
    <r>
      <t>Ki</t>
    </r>
    <r>
      <rPr>
        <vertAlign val="subscript"/>
        <sz val="11"/>
        <rFont val="Calibri"/>
        <family val="2"/>
        <scheme val="minor"/>
      </rPr>
      <t>VFA,AMETO,AS</t>
    </r>
  </si>
  <si>
    <t>Decay rate of AMETOs</t>
  </si>
  <si>
    <t>Half-saturation of VFA for AMETOs (AS)</t>
  </si>
  <si>
    <t>Haldane inhibition of VFA for AMETOs (AS)</t>
  </si>
  <si>
    <r>
      <t>Half-saturation of NO</t>
    </r>
    <r>
      <rPr>
        <vertAlign val="subscript"/>
        <sz val="11"/>
        <color rgb="FF000000"/>
        <rFont val="Calibri"/>
        <family val="2"/>
        <scheme val="minor"/>
      </rPr>
      <t>x</t>
    </r>
    <r>
      <rPr>
        <sz val="11"/>
        <color rgb="FF000000"/>
        <rFont val="Calibri"/>
        <family val="2"/>
        <charset val="238"/>
        <scheme val="minor"/>
      </rPr>
      <t xml:space="preserve"> for AMETOs (AS)</t>
    </r>
  </si>
  <si>
    <t>pH inhibition low value for AMETOs</t>
  </si>
  <si>
    <t>pH inhibition high value for AMETOs</t>
  </si>
  <si>
    <t>Decay rate of HMETOs</t>
  </si>
  <si>
    <r>
      <t>Half-saturation of H</t>
    </r>
    <r>
      <rPr>
        <vertAlign val="subscript"/>
        <sz val="11"/>
        <color rgb="FF000000"/>
        <rFont val="Calibri"/>
        <family val="2"/>
        <scheme val="minor"/>
      </rPr>
      <t>2</t>
    </r>
    <r>
      <rPr>
        <sz val="11"/>
        <color rgb="FF000000"/>
        <rFont val="Calibri"/>
        <family val="2"/>
        <charset val="238"/>
        <scheme val="minor"/>
      </rPr>
      <t xml:space="preserve"> for HMETOs (AS)</t>
    </r>
  </si>
  <si>
    <r>
      <t>Half-saturation of NO</t>
    </r>
    <r>
      <rPr>
        <vertAlign val="subscript"/>
        <sz val="11"/>
        <color rgb="FF000000"/>
        <rFont val="Calibri"/>
        <family val="2"/>
        <scheme val="minor"/>
      </rPr>
      <t>x</t>
    </r>
    <r>
      <rPr>
        <sz val="11"/>
        <color rgb="FF000000"/>
        <rFont val="Calibri"/>
        <family val="2"/>
        <charset val="238"/>
        <scheme val="minor"/>
      </rPr>
      <t xml:space="preserve"> for HMETOs (AS)</t>
    </r>
  </si>
  <si>
    <t>pH inhibition low value for HMETOs</t>
  </si>
  <si>
    <t>pH inhibition high value for HMETOs</t>
  </si>
  <si>
    <r>
      <t>Rate of CaCO</t>
    </r>
    <r>
      <rPr>
        <vertAlign val="subscript"/>
        <sz val="11"/>
        <color rgb="FF000000"/>
        <rFont val="Calibri"/>
        <family val="2"/>
        <scheme val="minor"/>
      </rPr>
      <t>3</t>
    </r>
    <r>
      <rPr>
        <sz val="11"/>
        <color rgb="FF000000"/>
        <rFont val="Calibri"/>
        <family val="2"/>
        <charset val="238"/>
        <scheme val="minor"/>
      </rPr>
      <t xml:space="preserve"> precipitation</t>
    </r>
  </si>
  <si>
    <r>
      <t>Rate of CaCO</t>
    </r>
    <r>
      <rPr>
        <vertAlign val="subscript"/>
        <sz val="11"/>
        <color rgb="FF000000"/>
        <rFont val="Calibri"/>
        <family val="2"/>
        <scheme val="minor"/>
      </rPr>
      <t>3</t>
    </r>
    <r>
      <rPr>
        <sz val="11"/>
        <color rgb="FF000000"/>
        <rFont val="Calibri"/>
        <family val="2"/>
        <charset val="238"/>
        <scheme val="minor"/>
      </rPr>
      <t xml:space="preserve"> dissolution</t>
    </r>
  </si>
  <si>
    <t>Rate of struvite precipitation</t>
  </si>
  <si>
    <t>Rate of struvite dissolution</t>
  </si>
  <si>
    <t>Rate of ACP precipitation</t>
  </si>
  <si>
    <t>Rate of ACP dissolution</t>
  </si>
  <si>
    <t>Rate of vivianite precipitation</t>
  </si>
  <si>
    <t>Rate of vivianite dissolution</t>
  </si>
  <si>
    <t>Half-saturation of struvite redissolution</t>
  </si>
  <si>
    <t>Half-saturation of ACP redissolution</t>
  </si>
  <si>
    <r>
      <t>Half-saturation of CaCO</t>
    </r>
    <r>
      <rPr>
        <vertAlign val="subscript"/>
        <sz val="11"/>
        <color rgb="FF000000"/>
        <rFont val="Calibri"/>
        <family val="2"/>
        <scheme val="minor"/>
      </rPr>
      <t>3</t>
    </r>
    <r>
      <rPr>
        <sz val="11"/>
        <color rgb="FF000000"/>
        <rFont val="Calibri"/>
        <family val="2"/>
        <charset val="238"/>
        <scheme val="minor"/>
      </rPr>
      <t xml:space="preserve"> redissolution</t>
    </r>
  </si>
  <si>
    <t>Half-saturation of vivianite redissolution</t>
  </si>
  <si>
    <r>
      <t>q</t>
    </r>
    <r>
      <rPr>
        <vertAlign val="subscript"/>
        <sz val="11"/>
        <color indexed="8"/>
        <rFont val="Calibri"/>
        <family val="2"/>
        <scheme val="minor"/>
      </rPr>
      <t>Fe2,OX</t>
    </r>
  </si>
  <si>
    <r>
      <t>Rate of X</t>
    </r>
    <r>
      <rPr>
        <vertAlign val="subscript"/>
        <sz val="11"/>
        <color rgb="FF000000"/>
        <rFont val="Calibri"/>
        <family val="2"/>
        <scheme val="minor"/>
      </rPr>
      <t>HFO,H</t>
    </r>
    <r>
      <rPr>
        <sz val="11"/>
        <color rgb="FF000000"/>
        <rFont val="Calibri"/>
        <family val="2"/>
        <charset val="238"/>
        <scheme val="minor"/>
      </rPr>
      <t xml:space="preserve"> aging</t>
    </r>
  </si>
  <si>
    <r>
      <t>Rate of X</t>
    </r>
    <r>
      <rPr>
        <vertAlign val="subscript"/>
        <sz val="11"/>
        <color rgb="FF000000"/>
        <rFont val="Calibri"/>
        <family val="2"/>
        <scheme val="minor"/>
      </rPr>
      <t>HFO,L</t>
    </r>
    <r>
      <rPr>
        <sz val="11"/>
        <color rgb="FF000000"/>
        <rFont val="Calibri"/>
        <family val="2"/>
        <charset val="238"/>
        <scheme val="minor"/>
      </rPr>
      <t xml:space="preserve"> aging</t>
    </r>
  </si>
  <si>
    <t>Rate of P binding and coprecipitation on XHFO,H</t>
  </si>
  <si>
    <t>Rate of P binding on XHFO,L</t>
  </si>
  <si>
    <t>Rate of HFO reduction with organics</t>
  </si>
  <si>
    <r>
      <t>Rate of Fe</t>
    </r>
    <r>
      <rPr>
        <vertAlign val="subscript"/>
        <sz val="11"/>
        <color rgb="FF000000"/>
        <rFont val="Calibri"/>
        <family val="2"/>
        <scheme val="minor"/>
      </rPr>
      <t>2</t>
    </r>
    <r>
      <rPr>
        <sz val="11"/>
        <color rgb="FF000000"/>
        <rFont val="Calibri"/>
        <family val="2"/>
        <charset val="238"/>
        <scheme val="minor"/>
      </rPr>
      <t xml:space="preserve"> oxidation</t>
    </r>
  </si>
  <si>
    <r>
      <t>Half-inhibition of PO</t>
    </r>
    <r>
      <rPr>
        <vertAlign val="subscript"/>
        <sz val="11"/>
        <color rgb="FF000000"/>
        <rFont val="Calibri"/>
        <family val="2"/>
        <scheme val="minor"/>
      </rPr>
      <t>4</t>
    </r>
    <r>
      <rPr>
        <sz val="11"/>
        <color rgb="FF000000"/>
        <rFont val="Calibri"/>
        <family val="2"/>
        <charset val="238"/>
        <scheme val="minor"/>
      </rPr>
      <t xml:space="preserve"> in HFO redissolution</t>
    </r>
  </si>
  <si>
    <r>
      <t>Half-saturation of PO</t>
    </r>
    <r>
      <rPr>
        <vertAlign val="subscript"/>
        <sz val="11"/>
        <color rgb="FF000000"/>
        <rFont val="Calibri"/>
        <family val="2"/>
        <scheme val="minor"/>
      </rPr>
      <t>4</t>
    </r>
    <r>
      <rPr>
        <sz val="11"/>
        <color rgb="FF000000"/>
        <rFont val="Calibri"/>
        <family val="2"/>
        <charset val="238"/>
        <scheme val="minor"/>
      </rPr>
      <t xml:space="preserve"> in binding on HFO</t>
    </r>
  </si>
  <si>
    <r>
      <t>Half-saturation of NH</t>
    </r>
    <r>
      <rPr>
        <vertAlign val="subscript"/>
        <sz val="11"/>
        <color rgb="FF000000"/>
        <rFont val="Calibri"/>
        <family val="2"/>
        <scheme val="minor"/>
      </rPr>
      <t>x</t>
    </r>
    <r>
      <rPr>
        <sz val="11"/>
        <color rgb="FF000000"/>
        <rFont val="Calibri"/>
        <family val="2"/>
        <charset val="238"/>
        <scheme val="minor"/>
      </rPr>
      <t xml:space="preserve"> as nutrient for biomasses (AS)</t>
    </r>
  </si>
  <si>
    <r>
      <t>Half-saturation of PO</t>
    </r>
    <r>
      <rPr>
        <vertAlign val="subscript"/>
        <sz val="11"/>
        <color rgb="FF000000"/>
        <rFont val="Calibri"/>
        <family val="2"/>
        <scheme val="minor"/>
      </rPr>
      <t>4</t>
    </r>
    <r>
      <rPr>
        <sz val="11"/>
        <color rgb="FF000000"/>
        <rFont val="Calibri"/>
        <family val="2"/>
        <charset val="238"/>
        <scheme val="minor"/>
      </rPr>
      <t xml:space="preserve"> as nutrient for biomasses (AS)</t>
    </r>
  </si>
  <si>
    <r>
      <t>Half-saturation of CO</t>
    </r>
    <r>
      <rPr>
        <vertAlign val="subscript"/>
        <sz val="11"/>
        <color rgb="FF000000"/>
        <rFont val="Calibri"/>
        <family val="2"/>
        <scheme val="minor"/>
      </rPr>
      <t>2</t>
    </r>
    <r>
      <rPr>
        <sz val="11"/>
        <color rgb="FF000000"/>
        <rFont val="Calibri"/>
        <family val="2"/>
        <charset val="238"/>
        <scheme val="minor"/>
      </rPr>
      <t xml:space="preserve"> for biomasses (except NITOs)</t>
    </r>
  </si>
  <si>
    <t>Half-saturation of strong cations (as Na+)</t>
  </si>
  <si>
    <t>Half-saturation of strong anions (as Cl-)</t>
  </si>
  <si>
    <t>Reduction factor for anoxic decay</t>
  </si>
  <si>
    <t>Reduction factor for anaerobic decay</t>
  </si>
  <si>
    <t>Reduction factor for anoxic hydrolysis</t>
  </si>
  <si>
    <t>Reduction factor for anaerobic hydrolysis</t>
  </si>
  <si>
    <t>Toxicity factor of anaerobes under anoxic conditions</t>
  </si>
  <si>
    <t>Toxicity factor of anaerobes under aerobic conditions</t>
  </si>
  <si>
    <t>Toxicity factor of aerobes under anaerobic conditions (maximum)</t>
  </si>
  <si>
    <t>pH inhibition low value</t>
  </si>
  <si>
    <t>pH inhibition high value</t>
  </si>
  <si>
    <r>
      <t>Ki</t>
    </r>
    <r>
      <rPr>
        <vertAlign val="subscript"/>
        <sz val="11"/>
        <color indexed="8"/>
        <rFont val="Calibri"/>
        <family val="2"/>
        <scheme val="minor"/>
      </rPr>
      <t>NHx,ASSIM,AS</t>
    </r>
  </si>
  <si>
    <t>Rate of flocculation</t>
  </si>
  <si>
    <t>Half-saturation of particulates in hydrolysis (AS)</t>
  </si>
  <si>
    <t>Rate of ammonification</t>
  </si>
  <si>
    <t>Rate of soluble biodegradable organic P conversion</t>
  </si>
  <si>
    <t>Rate of endogenous decay products conversion</t>
  </si>
  <si>
    <t>Rate of assimilative nutrient production</t>
  </si>
  <si>
    <r>
      <t>Half-saturation of NO</t>
    </r>
    <r>
      <rPr>
        <vertAlign val="subscript"/>
        <sz val="11"/>
        <color rgb="FF000000"/>
        <rFont val="Calibri"/>
        <family val="2"/>
        <scheme val="minor"/>
      </rPr>
      <t>2</t>
    </r>
    <r>
      <rPr>
        <sz val="11"/>
        <color rgb="FF000000"/>
        <rFont val="Calibri"/>
        <family val="2"/>
        <charset val="238"/>
        <scheme val="minor"/>
      </rPr>
      <t xml:space="preserve"> in NO</t>
    </r>
    <r>
      <rPr>
        <vertAlign val="subscript"/>
        <sz val="11"/>
        <color rgb="FF000000"/>
        <rFont val="Calibri"/>
        <family val="2"/>
        <scheme val="minor"/>
      </rPr>
      <t>2</t>
    </r>
    <r>
      <rPr>
        <sz val="11"/>
        <color rgb="FF000000"/>
        <rFont val="Calibri"/>
        <family val="2"/>
        <charset val="238"/>
        <scheme val="minor"/>
      </rPr>
      <t xml:space="preserve"> assimilative reduction (AS)</t>
    </r>
  </si>
  <si>
    <r>
      <t>Half-saturation of NO</t>
    </r>
    <r>
      <rPr>
        <vertAlign val="subscript"/>
        <sz val="11"/>
        <color rgb="FF000000"/>
        <rFont val="Calibri"/>
        <family val="2"/>
        <scheme val="minor"/>
      </rPr>
      <t>3</t>
    </r>
    <r>
      <rPr>
        <sz val="11"/>
        <color rgb="FF000000"/>
        <rFont val="Calibri"/>
        <family val="2"/>
        <charset val="238"/>
        <scheme val="minor"/>
      </rPr>
      <t xml:space="preserve"> in NO</t>
    </r>
    <r>
      <rPr>
        <vertAlign val="subscript"/>
        <sz val="11"/>
        <color rgb="FF000000"/>
        <rFont val="Calibri"/>
        <family val="2"/>
        <scheme val="minor"/>
      </rPr>
      <t>3</t>
    </r>
    <r>
      <rPr>
        <sz val="11"/>
        <color rgb="FF000000"/>
        <rFont val="Calibri"/>
        <family val="2"/>
        <charset val="238"/>
        <scheme val="minor"/>
      </rPr>
      <t xml:space="preserve"> assimilative reduction (AS)</t>
    </r>
  </si>
  <si>
    <r>
      <t>θ</t>
    </r>
    <r>
      <rPr>
        <vertAlign val="subscript"/>
        <sz val="11"/>
        <color indexed="8"/>
        <rFont val="Calibri"/>
        <family val="2"/>
        <scheme val="minor"/>
      </rPr>
      <t>FERM,PAO</t>
    </r>
  </si>
  <si>
    <t>Arrhenius coefficient for fermentation (PAO)</t>
  </si>
  <si>
    <t>Diffusion factor for half-saturation coefficients</t>
  </si>
  <si>
    <t>Yield of OHOs on VFA under aerobic conditions</t>
  </si>
  <si>
    <t>Yield of OHOs on VFA under anoxic conditions</t>
  </si>
  <si>
    <t>Yield of H2 production in fermentation with high VFA concentration (OHO)</t>
  </si>
  <si>
    <t>Yield of H2 production in fermentation with low VFA concentration (OHO)</t>
  </si>
  <si>
    <t>Yield of OHOs on methanol under aerobic conditions</t>
  </si>
  <si>
    <t>Yield of MEOLOs on methanol</t>
  </si>
  <si>
    <t>Ratio of P released per VFA stored</t>
  </si>
  <si>
    <t>Yield of AMETOs on VFA</t>
  </si>
  <si>
    <r>
      <t>Yield of HMETOs on H</t>
    </r>
    <r>
      <rPr>
        <vertAlign val="subscript"/>
        <sz val="11"/>
        <color rgb="FF000000"/>
        <rFont val="Calibri"/>
        <family val="2"/>
        <scheme val="minor"/>
      </rPr>
      <t>2</t>
    </r>
  </si>
  <si>
    <r>
      <t>Yield of AOBs on NH</t>
    </r>
    <r>
      <rPr>
        <vertAlign val="subscript"/>
        <sz val="11"/>
        <color rgb="FF000000"/>
        <rFont val="Calibri"/>
        <family val="2"/>
        <scheme val="minor"/>
      </rPr>
      <t>x</t>
    </r>
  </si>
  <si>
    <r>
      <t>Yield of NOBs on NO</t>
    </r>
    <r>
      <rPr>
        <vertAlign val="subscript"/>
        <sz val="11"/>
        <color rgb="FF000000"/>
        <rFont val="Calibri"/>
        <family val="2"/>
        <scheme val="minor"/>
      </rPr>
      <t>2</t>
    </r>
  </si>
  <si>
    <r>
      <t>Yield of AMX on NO</t>
    </r>
    <r>
      <rPr>
        <vertAlign val="subscript"/>
        <sz val="11"/>
        <color rgb="FF000000"/>
        <rFont val="Calibri"/>
        <family val="2"/>
        <scheme val="minor"/>
      </rPr>
      <t>2</t>
    </r>
  </si>
  <si>
    <r>
      <t>Yield of AMX on NO</t>
    </r>
    <r>
      <rPr>
        <vertAlign val="subscript"/>
        <sz val="11"/>
        <color rgb="FF000000"/>
        <rFont val="Calibri"/>
        <family val="2"/>
        <scheme val="minor"/>
      </rPr>
      <t>3</t>
    </r>
  </si>
  <si>
    <r>
      <t>i</t>
    </r>
    <r>
      <rPr>
        <vertAlign val="subscript"/>
        <sz val="11"/>
        <rFont val="Calibri"/>
        <family val="2"/>
        <scheme val="minor"/>
      </rPr>
      <t>CV,XB</t>
    </r>
  </si>
  <si>
    <r>
      <t>i</t>
    </r>
    <r>
      <rPr>
        <vertAlign val="subscript"/>
        <sz val="11"/>
        <rFont val="Calibri"/>
        <family val="2"/>
        <scheme val="minor"/>
      </rPr>
      <t>CV,XU</t>
    </r>
  </si>
  <si>
    <r>
      <t>i</t>
    </r>
    <r>
      <rPr>
        <vertAlign val="subscript"/>
        <sz val="11"/>
        <rFont val="Calibri"/>
        <family val="2"/>
        <scheme val="minor"/>
      </rPr>
      <t>CV,XE</t>
    </r>
  </si>
  <si>
    <t>Fraction of endogenous products produced in biomass decay</t>
  </si>
  <si>
    <t>N content of colloidal biodegradable substrate</t>
  </si>
  <si>
    <t>N content of colloidal unbiodegradable organics</t>
  </si>
  <si>
    <t>N content of soluble unbiodegradable organics</t>
  </si>
  <si>
    <t>N content of struvite</t>
  </si>
  <si>
    <t>P content of colloidal biodegradable substrate</t>
  </si>
  <si>
    <t>P content of colloidal unbiodegradable organics</t>
  </si>
  <si>
    <t>P content of soluble unbiodegradable organics</t>
  </si>
  <si>
    <t>P content of struvite</t>
  </si>
  <si>
    <t>P content of ACP</t>
  </si>
  <si>
    <t>P content of vivianite</t>
  </si>
  <si>
    <t>COD of biomass in volatile solids</t>
  </si>
  <si>
    <t>COD of biodegradable substrate in volatile solids</t>
  </si>
  <si>
    <t>COD of particulate unbiodegradable organics in volatile solids</t>
  </si>
  <si>
    <t>COD of VFA in volatile solids</t>
  </si>
  <si>
    <t>COD of readily biodegradable substrate in volatile solids</t>
  </si>
  <si>
    <t>COD of soluble unbiodegradable organics in volatile solids</t>
  </si>
  <si>
    <t>COD of colloidal biodegradable substrate in volatile solids</t>
  </si>
  <si>
    <t>COD of colloidal unbiodegradable organics in volatile solids</t>
  </si>
  <si>
    <t>COD of PHA in volatile solids</t>
  </si>
  <si>
    <t>COD of endogenous products in volatile solids</t>
  </si>
  <si>
    <t>Inorganic carbon content of biomass</t>
  </si>
  <si>
    <t>Inorganic carbon content of methanol</t>
  </si>
  <si>
    <t>Inorganic carbon content of CH4</t>
  </si>
  <si>
    <t>Inorganic carbon content of VFA</t>
  </si>
  <si>
    <t>Inorganic carbon content of PHA</t>
  </si>
  <si>
    <t>Inorganic content of biomass</t>
  </si>
  <si>
    <t>Calcium content of PP</t>
  </si>
  <si>
    <t>Magnesium content of PP</t>
  </si>
  <si>
    <t>Potassium content of PP</t>
  </si>
  <si>
    <t>Fraction of Na in NaCl</t>
  </si>
  <si>
    <r>
      <t>X</t>
    </r>
    <r>
      <rPr>
        <vertAlign val="subscript"/>
        <sz val="11"/>
        <rFont val="Calibri"/>
        <family val="2"/>
        <scheme val="minor"/>
      </rPr>
      <t>U</t>
    </r>
    <r>
      <rPr>
        <sz val="11"/>
        <rFont val="Calibri"/>
        <family val="2"/>
        <scheme val="minor"/>
      </rPr>
      <t>/i</t>
    </r>
    <r>
      <rPr>
        <vertAlign val="subscript"/>
        <sz val="11"/>
        <rFont val="Calibri"/>
        <family val="2"/>
        <scheme val="minor"/>
      </rPr>
      <t>CV,XU</t>
    </r>
    <r>
      <rPr>
        <sz val="11"/>
        <rFont val="Calibri"/>
        <family val="2"/>
        <scheme val="minor"/>
      </rPr>
      <t>+</t>
    </r>
    <r>
      <rPr>
        <sz val="11"/>
        <rFont val="Calibri"/>
        <family val="2"/>
        <scheme val="minor"/>
      </rPr>
      <t>S</t>
    </r>
    <r>
      <rPr>
        <vertAlign val="subscript"/>
        <sz val="11"/>
        <rFont val="Calibri"/>
        <family val="2"/>
        <scheme val="minor"/>
      </rPr>
      <t>U</t>
    </r>
    <r>
      <rPr>
        <sz val="11"/>
        <rFont val="Calibri"/>
        <family val="2"/>
        <scheme val="minor"/>
      </rPr>
      <t>/i</t>
    </r>
    <r>
      <rPr>
        <vertAlign val="subscript"/>
        <sz val="11"/>
        <rFont val="Calibri"/>
        <family val="2"/>
        <scheme val="minor"/>
      </rPr>
      <t>CV,SU</t>
    </r>
    <r>
      <rPr>
        <sz val="11"/>
        <rFont val="Calibri"/>
        <family val="2"/>
        <scheme val="minor"/>
      </rPr>
      <t>+C</t>
    </r>
    <r>
      <rPr>
        <vertAlign val="subscript"/>
        <sz val="11"/>
        <rFont val="Calibri"/>
        <family val="2"/>
        <scheme val="minor"/>
      </rPr>
      <t>U</t>
    </r>
    <r>
      <rPr>
        <sz val="11"/>
        <rFont val="Calibri"/>
        <family val="2"/>
        <scheme val="minor"/>
      </rPr>
      <t>/i</t>
    </r>
    <r>
      <rPr>
        <vertAlign val="subscript"/>
        <sz val="11"/>
        <rFont val="Calibri"/>
        <family val="2"/>
        <scheme val="minor"/>
      </rPr>
      <t>CV,CU</t>
    </r>
  </si>
  <si>
    <r>
      <t>ratio</t>
    </r>
    <r>
      <rPr>
        <vertAlign val="subscript"/>
        <sz val="11"/>
        <rFont val="Calibri"/>
        <family val="2"/>
        <scheme val="minor"/>
      </rPr>
      <t>VSS,TSS</t>
    </r>
  </si>
  <si>
    <r>
      <t>T</t>
    </r>
    <r>
      <rPr>
        <vertAlign val="subscript"/>
        <sz val="11"/>
        <rFont val="Calibri"/>
        <family val="2"/>
        <scheme val="minor"/>
      </rPr>
      <t>COD</t>
    </r>
    <r>
      <rPr>
        <sz val="11"/>
        <rFont val="Calibri"/>
        <family val="2"/>
        <scheme val="minor"/>
      </rPr>
      <t xml:space="preserve"> + S</t>
    </r>
    <r>
      <rPr>
        <vertAlign val="subscript"/>
        <sz val="11"/>
        <rFont val="Calibri"/>
        <family val="2"/>
        <scheme val="minor"/>
      </rPr>
      <t>H2</t>
    </r>
    <r>
      <rPr>
        <sz val="11"/>
        <rFont val="Calibri"/>
        <family val="2"/>
        <scheme val="minor"/>
      </rPr>
      <t xml:space="preserve"> + S</t>
    </r>
    <r>
      <rPr>
        <vertAlign val="subscript"/>
        <sz val="11"/>
        <rFont val="Calibri"/>
        <family val="2"/>
        <scheme val="minor"/>
      </rPr>
      <t>CH4</t>
    </r>
    <r>
      <rPr>
        <sz val="11"/>
        <rFont val="Calibri"/>
        <family val="2"/>
        <scheme val="minor"/>
      </rPr>
      <t xml:space="preserve">  + EEQ</t>
    </r>
    <r>
      <rPr>
        <vertAlign val="subscript"/>
        <sz val="11"/>
        <rFont val="Calibri"/>
        <family val="2"/>
        <scheme val="minor"/>
      </rPr>
      <t>Fe2</t>
    </r>
    <r>
      <rPr>
        <sz val="11"/>
        <rFont val="Calibri"/>
        <family val="2"/>
        <scheme val="minor"/>
      </rPr>
      <t>*S</t>
    </r>
    <r>
      <rPr>
        <vertAlign val="subscript"/>
        <sz val="11"/>
        <rFont val="Calibri"/>
        <family val="2"/>
        <scheme val="minor"/>
      </rPr>
      <t>Fe2</t>
    </r>
    <r>
      <rPr>
        <sz val="11"/>
        <rFont val="Calibri"/>
        <family val="2"/>
        <scheme val="minor"/>
      </rPr>
      <t xml:space="preserve"> + (3*AM</t>
    </r>
    <r>
      <rPr>
        <vertAlign val="subscript"/>
        <sz val="11"/>
        <rFont val="Calibri"/>
        <family val="2"/>
        <scheme val="minor"/>
      </rPr>
      <t>Fe</t>
    </r>
    <r>
      <rPr>
        <sz val="11"/>
        <rFont val="Calibri"/>
        <family val="2"/>
        <scheme val="minor"/>
      </rPr>
      <t>/MM</t>
    </r>
    <r>
      <rPr>
        <vertAlign val="subscript"/>
        <sz val="11"/>
        <rFont val="Calibri"/>
        <family val="2"/>
        <scheme val="minor"/>
      </rPr>
      <t>Vivi</t>
    </r>
    <r>
      <rPr>
        <sz val="11"/>
        <rFont val="Calibri"/>
        <family val="2"/>
        <scheme val="minor"/>
      </rPr>
      <t>*EEQ</t>
    </r>
    <r>
      <rPr>
        <vertAlign val="subscript"/>
        <sz val="11"/>
        <rFont val="Calibri"/>
        <family val="2"/>
        <scheme val="minor"/>
      </rPr>
      <t>Fe2</t>
    </r>
    <r>
      <rPr>
        <sz val="11"/>
        <rFont val="Calibri"/>
        <family val="2"/>
        <scheme val="minor"/>
      </rPr>
      <t>)*X</t>
    </r>
    <r>
      <rPr>
        <vertAlign val="subscript"/>
        <sz val="11"/>
        <rFont val="Calibri"/>
        <family val="2"/>
        <scheme val="minor"/>
      </rPr>
      <t>Vivi</t>
    </r>
    <r>
      <rPr>
        <sz val="11"/>
        <rFont val="Calibri"/>
        <family val="2"/>
        <scheme val="minor"/>
      </rPr>
      <t xml:space="preserve"> - EEQ</t>
    </r>
    <r>
      <rPr>
        <vertAlign val="subscript"/>
        <sz val="11"/>
        <rFont val="Calibri"/>
        <family val="2"/>
        <scheme val="minor"/>
      </rPr>
      <t>NO3</t>
    </r>
    <r>
      <rPr>
        <sz val="11"/>
        <rFont val="Calibri"/>
        <family val="2"/>
        <scheme val="minor"/>
      </rPr>
      <t>*S</t>
    </r>
    <r>
      <rPr>
        <vertAlign val="subscript"/>
        <sz val="11"/>
        <rFont val="Calibri"/>
        <family val="2"/>
        <scheme val="minor"/>
      </rPr>
      <t>NO3</t>
    </r>
    <r>
      <rPr>
        <sz val="11"/>
        <rFont val="Calibri"/>
        <family val="2"/>
        <scheme val="minor"/>
      </rPr>
      <t xml:space="preserve"> - EEQ</t>
    </r>
    <r>
      <rPr>
        <vertAlign val="subscript"/>
        <sz val="11"/>
        <rFont val="Calibri"/>
        <family val="2"/>
        <scheme val="minor"/>
      </rPr>
      <t>NO2</t>
    </r>
    <r>
      <rPr>
        <sz val="11"/>
        <rFont val="Calibri"/>
        <family val="2"/>
        <scheme val="minor"/>
      </rPr>
      <t>*S</t>
    </r>
    <r>
      <rPr>
        <vertAlign val="subscript"/>
        <sz val="11"/>
        <rFont val="Calibri"/>
        <family val="2"/>
        <scheme val="minor"/>
      </rPr>
      <t>NO2</t>
    </r>
    <r>
      <rPr>
        <sz val="11"/>
        <rFont val="Calibri"/>
        <family val="2"/>
        <scheme val="minor"/>
      </rPr>
      <t xml:space="preserve"> - EEQ</t>
    </r>
    <r>
      <rPr>
        <vertAlign val="subscript"/>
        <sz val="11"/>
        <rFont val="Calibri"/>
        <family val="2"/>
        <scheme val="minor"/>
      </rPr>
      <t>N2</t>
    </r>
    <r>
      <rPr>
        <sz val="11"/>
        <rFont val="Calibri"/>
        <family val="2"/>
        <scheme val="minor"/>
      </rPr>
      <t>*S</t>
    </r>
    <r>
      <rPr>
        <vertAlign val="subscript"/>
        <sz val="11"/>
        <rFont val="Calibri"/>
        <family val="2"/>
        <scheme val="minor"/>
      </rPr>
      <t>N2</t>
    </r>
    <r>
      <rPr>
        <sz val="11"/>
        <rFont val="Calibri"/>
        <family val="2"/>
        <scheme val="minor"/>
      </rPr>
      <t xml:space="preserve"> - S</t>
    </r>
    <r>
      <rPr>
        <vertAlign val="subscript"/>
        <sz val="11"/>
        <rFont val="Calibri"/>
        <family val="2"/>
        <scheme val="minor"/>
      </rPr>
      <t>O2</t>
    </r>
  </si>
  <si>
    <r>
      <t>Correction factor for mass transfer of N</t>
    </r>
    <r>
      <rPr>
        <vertAlign val="subscript"/>
        <sz val="11"/>
        <color rgb="FF000000"/>
        <rFont val="Calibri"/>
        <family val="2"/>
        <scheme val="minor"/>
      </rPr>
      <t>2</t>
    </r>
  </si>
  <si>
    <r>
      <t>Correction factor for mass transfer of CO</t>
    </r>
    <r>
      <rPr>
        <vertAlign val="subscript"/>
        <sz val="11"/>
        <color rgb="FF000000"/>
        <rFont val="Calibri"/>
        <family val="2"/>
        <scheme val="minor"/>
      </rPr>
      <t>2</t>
    </r>
  </si>
  <si>
    <r>
      <t>Correction factor for mass transfer of CH</t>
    </r>
    <r>
      <rPr>
        <vertAlign val="subscript"/>
        <sz val="11"/>
        <color rgb="FF000000"/>
        <rFont val="Calibri"/>
        <family val="2"/>
        <scheme val="minor"/>
      </rPr>
      <t>4</t>
    </r>
  </si>
  <si>
    <r>
      <t>Correction factor for mass transfer of H</t>
    </r>
    <r>
      <rPr>
        <vertAlign val="subscript"/>
        <sz val="11"/>
        <color rgb="FF000000"/>
        <rFont val="Calibri"/>
        <family val="2"/>
        <scheme val="minor"/>
      </rPr>
      <t>2</t>
    </r>
  </si>
  <si>
    <r>
      <t>Correction factor for mass transfer of NH</t>
    </r>
    <r>
      <rPr>
        <vertAlign val="subscript"/>
        <sz val="11"/>
        <color rgb="FF000000"/>
        <rFont val="Calibri"/>
        <family val="2"/>
        <scheme val="minor"/>
      </rPr>
      <t>3</t>
    </r>
  </si>
  <si>
    <t>COD of particulates</t>
  </si>
  <si>
    <t>Volatile suspended solids of biomasses</t>
  </si>
  <si>
    <t>Volatile ultimately degradable solids</t>
  </si>
  <si>
    <t>Total inorganic suspended solids (ISS)</t>
  </si>
  <si>
    <t>Total suspended solids (TSS)</t>
  </si>
  <si>
    <t>Filtered ultimate biochemical oxygen demand</t>
  </si>
  <si>
    <t>Filtered biochemical oxygen demand (5 days)</t>
  </si>
  <si>
    <t>Filtered chemical oxygen demand</t>
  </si>
  <si>
    <r>
      <t>Nitrate and nitrite (NO</t>
    </r>
    <r>
      <rPr>
        <vertAlign val="subscript"/>
        <sz val="11"/>
        <color rgb="FF000000"/>
        <rFont val="Calibri"/>
        <family val="2"/>
        <scheme val="minor"/>
      </rPr>
      <t>x</t>
    </r>
    <r>
      <rPr>
        <sz val="11"/>
        <color rgb="FF000000"/>
        <rFont val="Calibri"/>
        <family val="2"/>
        <charset val="238"/>
        <scheme val="minor"/>
      </rPr>
      <t>)</t>
    </r>
  </si>
  <si>
    <t>Total phosphorus in HFOs</t>
  </si>
  <si>
    <t>Rate expression of struvite precipitation (driving force)</t>
  </si>
  <si>
    <r>
      <t>If(PrecipDrivingForce</t>
    </r>
    <r>
      <rPr>
        <vertAlign val="subscript"/>
        <sz val="11"/>
        <color theme="1"/>
        <rFont val="Calibri"/>
        <family val="2"/>
        <scheme val="minor"/>
      </rPr>
      <t>STR</t>
    </r>
    <r>
      <rPr>
        <sz val="11"/>
        <color theme="1"/>
        <rFont val="Calibri"/>
        <family val="2"/>
        <scheme val="minor"/>
      </rPr>
      <t>&gt;0;q</t>
    </r>
    <r>
      <rPr>
        <vertAlign val="subscript"/>
        <sz val="11"/>
        <color theme="1"/>
        <rFont val="Calibri"/>
        <family val="2"/>
        <scheme val="minor"/>
      </rPr>
      <t>STR,PREC</t>
    </r>
    <r>
      <rPr>
        <sz val="11"/>
        <color theme="1"/>
        <rFont val="Calibri"/>
        <family val="2"/>
        <scheme val="minor"/>
      </rPr>
      <t>;q</t>
    </r>
    <r>
      <rPr>
        <vertAlign val="subscript"/>
        <sz val="11"/>
        <color theme="1"/>
        <rFont val="Calibri"/>
        <family val="2"/>
        <scheme val="minor"/>
      </rPr>
      <t>STR,DISS</t>
    </r>
    <r>
      <rPr>
        <sz val="11"/>
        <color theme="1"/>
        <rFont val="Calibri"/>
        <family val="2"/>
        <scheme val="minor"/>
      </rPr>
      <t>*Msat</t>
    </r>
    <r>
      <rPr>
        <vertAlign val="subscript"/>
        <sz val="11"/>
        <color theme="1"/>
        <rFont val="Calibri"/>
        <family val="2"/>
        <scheme val="minor"/>
      </rPr>
      <t>XSTR,KSTR,DISS</t>
    </r>
    <r>
      <rPr>
        <sz val="11"/>
        <color theme="1"/>
        <rFont val="Calibri"/>
        <family val="2"/>
        <scheme val="minor"/>
      </rPr>
      <t>)</t>
    </r>
  </si>
  <si>
    <t>Rate expression of ACP precipitation (driving force)</t>
  </si>
  <si>
    <r>
      <t>If(PrecipDrivingForce</t>
    </r>
    <r>
      <rPr>
        <vertAlign val="subscript"/>
        <sz val="11"/>
        <color theme="1"/>
        <rFont val="Calibri"/>
        <family val="2"/>
        <scheme val="minor"/>
      </rPr>
      <t>ACP</t>
    </r>
    <r>
      <rPr>
        <sz val="11"/>
        <color theme="1"/>
        <rFont val="Calibri"/>
        <family val="2"/>
        <scheme val="minor"/>
      </rPr>
      <t>&gt;0;q</t>
    </r>
    <r>
      <rPr>
        <vertAlign val="subscript"/>
        <sz val="11"/>
        <color theme="1"/>
        <rFont val="Calibri"/>
        <family val="2"/>
        <scheme val="minor"/>
      </rPr>
      <t>ACP,PREC</t>
    </r>
    <r>
      <rPr>
        <sz val="11"/>
        <color theme="1"/>
        <rFont val="Calibri"/>
        <family val="2"/>
        <scheme val="minor"/>
      </rPr>
      <t>;-q</t>
    </r>
    <r>
      <rPr>
        <vertAlign val="subscript"/>
        <sz val="11"/>
        <color theme="1"/>
        <rFont val="Calibri"/>
        <family val="2"/>
        <scheme val="minor"/>
      </rPr>
      <t>ACP,DISS</t>
    </r>
    <r>
      <rPr>
        <sz val="11"/>
        <color theme="1"/>
        <rFont val="Calibri"/>
        <family val="2"/>
        <scheme val="minor"/>
      </rPr>
      <t>*Msat</t>
    </r>
    <r>
      <rPr>
        <vertAlign val="subscript"/>
        <sz val="11"/>
        <color theme="1"/>
        <rFont val="Calibri"/>
        <family val="2"/>
        <scheme val="minor"/>
      </rPr>
      <t>XACP,KACP,DISS</t>
    </r>
    <r>
      <rPr>
        <sz val="11"/>
        <color theme="1"/>
        <rFont val="Calibri"/>
        <family val="2"/>
        <scheme val="minor"/>
      </rPr>
      <t>)</t>
    </r>
  </si>
  <si>
    <r>
      <t>Rate expression of CaCO</t>
    </r>
    <r>
      <rPr>
        <vertAlign val="subscript"/>
        <sz val="11"/>
        <color rgb="FF000000"/>
        <rFont val="Calibri"/>
        <family val="2"/>
        <scheme val="minor"/>
      </rPr>
      <t>3</t>
    </r>
    <r>
      <rPr>
        <sz val="11"/>
        <color rgb="FF000000"/>
        <rFont val="Calibri"/>
        <family val="2"/>
        <charset val="238"/>
        <scheme val="minor"/>
      </rPr>
      <t xml:space="preserve"> precipitation (driving force)</t>
    </r>
  </si>
  <si>
    <r>
      <t>If(PrecipDrivingForce</t>
    </r>
    <r>
      <rPr>
        <vertAlign val="subscript"/>
        <sz val="11"/>
        <color theme="1"/>
        <rFont val="Calibri"/>
        <family val="2"/>
        <scheme val="minor"/>
      </rPr>
      <t>CaCO3</t>
    </r>
    <r>
      <rPr>
        <sz val="11"/>
        <color theme="1"/>
        <rFont val="Calibri"/>
        <family val="2"/>
        <scheme val="minor"/>
      </rPr>
      <t>&gt;0;q</t>
    </r>
    <r>
      <rPr>
        <vertAlign val="subscript"/>
        <sz val="11"/>
        <color theme="1"/>
        <rFont val="Calibri"/>
        <family val="2"/>
        <scheme val="minor"/>
      </rPr>
      <t>CaCO3,PREC</t>
    </r>
    <r>
      <rPr>
        <sz val="11"/>
        <color theme="1"/>
        <rFont val="Calibri"/>
        <family val="2"/>
        <scheme val="minor"/>
      </rPr>
      <t>;-q</t>
    </r>
    <r>
      <rPr>
        <vertAlign val="subscript"/>
        <sz val="11"/>
        <color theme="1"/>
        <rFont val="Calibri"/>
        <family val="2"/>
        <scheme val="minor"/>
      </rPr>
      <t>CaCO3,DISS</t>
    </r>
    <r>
      <rPr>
        <sz val="11"/>
        <color theme="1"/>
        <rFont val="Calibri"/>
        <family val="2"/>
        <scheme val="minor"/>
      </rPr>
      <t>*Msat</t>
    </r>
    <r>
      <rPr>
        <vertAlign val="subscript"/>
        <sz val="11"/>
        <color theme="1"/>
        <rFont val="Calibri"/>
        <family val="2"/>
        <scheme val="minor"/>
      </rPr>
      <t>XCaCO3,KCaCO3,DISS</t>
    </r>
    <r>
      <rPr>
        <sz val="11"/>
        <color theme="1"/>
        <rFont val="Calibri"/>
        <family val="2"/>
        <scheme val="minor"/>
      </rPr>
      <t>)</t>
    </r>
  </si>
  <si>
    <t>Rate expression of vivianite precipitation (driving force)</t>
  </si>
  <si>
    <r>
      <t>If(PrecipDrivingForce</t>
    </r>
    <r>
      <rPr>
        <vertAlign val="subscript"/>
        <sz val="11"/>
        <color theme="1"/>
        <rFont val="Calibri"/>
        <family val="2"/>
        <scheme val="minor"/>
      </rPr>
      <t>Vivi</t>
    </r>
    <r>
      <rPr>
        <sz val="11"/>
        <color theme="1"/>
        <rFont val="Calibri"/>
        <family val="2"/>
        <scheme val="minor"/>
      </rPr>
      <t>&gt;0;q</t>
    </r>
    <r>
      <rPr>
        <vertAlign val="subscript"/>
        <sz val="11"/>
        <color theme="1"/>
        <rFont val="Calibri"/>
        <family val="2"/>
        <scheme val="minor"/>
      </rPr>
      <t>Vivi,PREC</t>
    </r>
    <r>
      <rPr>
        <sz val="11"/>
        <color theme="1"/>
        <rFont val="Calibri"/>
        <family val="2"/>
        <scheme val="minor"/>
      </rPr>
      <t>;-q</t>
    </r>
    <r>
      <rPr>
        <vertAlign val="subscript"/>
        <sz val="11"/>
        <color theme="1"/>
        <rFont val="Calibri"/>
        <family val="2"/>
        <scheme val="minor"/>
      </rPr>
      <t>Vivi,DISS</t>
    </r>
    <r>
      <rPr>
        <sz val="11"/>
        <color theme="1"/>
        <rFont val="Calibri"/>
        <family val="2"/>
        <scheme val="minor"/>
      </rPr>
      <t>*Msat</t>
    </r>
    <r>
      <rPr>
        <vertAlign val="subscript"/>
        <sz val="11"/>
        <color theme="1"/>
        <rFont val="Calibri"/>
        <family val="2"/>
        <scheme val="minor"/>
      </rPr>
      <t>XVivi,KVivi,DISS</t>
    </r>
    <r>
      <rPr>
        <sz val="11"/>
        <color theme="1"/>
        <rFont val="Calibri"/>
        <family val="2"/>
        <scheme val="minor"/>
      </rPr>
      <t>)</t>
    </r>
  </si>
  <si>
    <t>N3UR</t>
  </si>
  <si>
    <t>N2UR</t>
  </si>
  <si>
    <t>Carbonaceous oxygen uptake rate (COUR)</t>
  </si>
  <si>
    <t>Nitrification oxygen uptake rate (NOUR)</t>
  </si>
  <si>
    <t>Toxicity factor of aerobes under anaerobic conditions (in digester)</t>
  </si>
  <si>
    <t>Toxicity factor of aerobes under anaerobic conditions (not in digester)</t>
  </si>
  <si>
    <r>
      <t>Half-saturation of NH</t>
    </r>
    <r>
      <rPr>
        <vertAlign val="subscript"/>
        <sz val="11"/>
        <color rgb="FF000000"/>
        <rFont val="Calibri"/>
        <family val="2"/>
        <scheme val="minor"/>
      </rPr>
      <t>x</t>
    </r>
    <r>
      <rPr>
        <sz val="11"/>
        <color rgb="FF000000"/>
        <rFont val="Calibri"/>
        <family val="2"/>
        <charset val="238"/>
        <scheme val="minor"/>
      </rPr>
      <t xml:space="preserve"> for AOBs</t>
    </r>
  </si>
  <si>
    <t>Half-saturation of bicarbonate for AOBs</t>
  </si>
  <si>
    <r>
      <t>Half-saturation of O</t>
    </r>
    <r>
      <rPr>
        <vertAlign val="subscript"/>
        <sz val="11"/>
        <color rgb="FF000000"/>
        <rFont val="Calibri"/>
        <family val="2"/>
        <scheme val="minor"/>
      </rPr>
      <t>2</t>
    </r>
    <r>
      <rPr>
        <sz val="11"/>
        <color rgb="FF000000"/>
        <rFont val="Calibri"/>
        <family val="2"/>
        <charset val="238"/>
        <scheme val="minor"/>
      </rPr>
      <t xml:space="preserve"> for AOBs</t>
    </r>
  </si>
  <si>
    <r>
      <t>Half-saturation of NO</t>
    </r>
    <r>
      <rPr>
        <vertAlign val="subscript"/>
        <sz val="11"/>
        <color rgb="FF000000"/>
        <rFont val="Calibri"/>
        <family val="2"/>
        <scheme val="minor"/>
      </rPr>
      <t>x</t>
    </r>
    <r>
      <rPr>
        <sz val="11"/>
        <color rgb="FF000000"/>
        <rFont val="Calibri"/>
        <family val="2"/>
        <charset val="238"/>
        <scheme val="minor"/>
      </rPr>
      <t xml:space="preserve"> (anoxic conditions) for AOBs</t>
    </r>
  </si>
  <si>
    <t>Half-inhibition of nitrous acid for AOBs</t>
  </si>
  <si>
    <r>
      <t>Ki</t>
    </r>
    <r>
      <rPr>
        <vertAlign val="subscript"/>
        <sz val="11"/>
        <rFont val="Calibri"/>
        <family val="2"/>
        <scheme val="minor"/>
      </rPr>
      <t>HNO2,AOB,pH</t>
    </r>
  </si>
  <si>
    <r>
      <t>Ki</t>
    </r>
    <r>
      <rPr>
        <vertAlign val="subscript"/>
        <sz val="11"/>
        <rFont val="Calibri"/>
        <family val="2"/>
      </rPr>
      <t>HNO2,AOB,pH,AS</t>
    </r>
  </si>
  <si>
    <r>
      <t>Ki</t>
    </r>
    <r>
      <rPr>
        <vertAlign val="subscript"/>
        <sz val="11"/>
        <rFont val="Calibri"/>
        <family val="2"/>
        <scheme val="minor"/>
      </rPr>
      <t>NH3,NOB,pH</t>
    </r>
  </si>
  <si>
    <r>
      <t>Half-inhibition of NH</t>
    </r>
    <r>
      <rPr>
        <vertAlign val="subscript"/>
        <sz val="11"/>
        <color rgb="FF000000"/>
        <rFont val="Calibri"/>
        <family val="2"/>
        <scheme val="minor"/>
      </rPr>
      <t>3</t>
    </r>
    <r>
      <rPr>
        <sz val="11"/>
        <color rgb="FF000000"/>
        <rFont val="Calibri"/>
        <family val="2"/>
        <charset val="238"/>
        <scheme val="minor"/>
      </rPr>
      <t xml:space="preserve"> for NOBs</t>
    </r>
  </si>
  <si>
    <r>
      <t>Ki</t>
    </r>
    <r>
      <rPr>
        <vertAlign val="subscript"/>
        <sz val="11"/>
        <rFont val="Calibri"/>
        <family val="2"/>
      </rPr>
      <t>NH3,NOB,pH,AS</t>
    </r>
  </si>
  <si>
    <r>
      <t>Half-saturation of NO</t>
    </r>
    <r>
      <rPr>
        <vertAlign val="subscript"/>
        <sz val="11"/>
        <color rgb="FF000000"/>
        <rFont val="Calibri"/>
        <family val="2"/>
        <scheme val="minor"/>
      </rPr>
      <t>2</t>
    </r>
    <r>
      <rPr>
        <sz val="11"/>
        <color rgb="FF000000"/>
        <rFont val="Calibri"/>
        <family val="2"/>
        <charset val="238"/>
        <scheme val="minor"/>
      </rPr>
      <t xml:space="preserve"> for NOBs</t>
    </r>
  </si>
  <si>
    <t>Half-saturation of bicarbonate for NOBs</t>
  </si>
  <si>
    <r>
      <t>Half-saturation of O</t>
    </r>
    <r>
      <rPr>
        <vertAlign val="subscript"/>
        <sz val="11"/>
        <color rgb="FF000000"/>
        <rFont val="Calibri"/>
        <family val="2"/>
        <scheme val="minor"/>
      </rPr>
      <t>2</t>
    </r>
    <r>
      <rPr>
        <sz val="11"/>
        <color rgb="FF000000"/>
        <rFont val="Calibri"/>
        <family val="2"/>
        <charset val="238"/>
        <scheme val="minor"/>
      </rPr>
      <t xml:space="preserve"> for NOBs</t>
    </r>
  </si>
  <si>
    <r>
      <t>Half-saturation of NO</t>
    </r>
    <r>
      <rPr>
        <vertAlign val="subscript"/>
        <sz val="11"/>
        <color rgb="FF000000"/>
        <rFont val="Calibri"/>
        <family val="2"/>
        <scheme val="minor"/>
      </rPr>
      <t>x</t>
    </r>
    <r>
      <rPr>
        <sz val="11"/>
        <color rgb="FF000000"/>
        <rFont val="Calibri"/>
        <family val="2"/>
        <charset val="238"/>
        <scheme val="minor"/>
      </rPr>
      <t xml:space="preserve"> (anoxic conditions) for NOBs</t>
    </r>
  </si>
  <si>
    <t>Half-saturations for nitrite oxidizers (NOB)</t>
  </si>
  <si>
    <t>Half-saturations for anammox organisms (AMX)</t>
  </si>
  <si>
    <t>Half-saturations for ordinary heterotrophic organisms (OHO)</t>
  </si>
  <si>
    <t>Half-saturations for anoxic methanol utilizers (MEOLO)</t>
  </si>
  <si>
    <t>Half-saturation of VFA for OHOs</t>
  </si>
  <si>
    <r>
      <t>Half-saturation of O</t>
    </r>
    <r>
      <rPr>
        <vertAlign val="subscript"/>
        <sz val="11"/>
        <color rgb="FF000000"/>
        <rFont val="Calibri"/>
        <family val="2"/>
        <scheme val="minor"/>
      </rPr>
      <t>2</t>
    </r>
    <r>
      <rPr>
        <sz val="11"/>
        <color rgb="FF000000"/>
        <rFont val="Calibri"/>
        <family val="2"/>
        <charset val="238"/>
        <scheme val="minor"/>
      </rPr>
      <t xml:space="preserve"> for OHOs</t>
    </r>
  </si>
  <si>
    <t>Half-saturation of methanol for OHOs</t>
  </si>
  <si>
    <r>
      <t>Half-saturation of NO</t>
    </r>
    <r>
      <rPr>
        <vertAlign val="subscript"/>
        <sz val="11"/>
        <color rgb="FF000000"/>
        <rFont val="Calibri"/>
        <family val="2"/>
        <scheme val="minor"/>
      </rPr>
      <t>2</t>
    </r>
    <r>
      <rPr>
        <sz val="11"/>
        <color rgb="FF000000"/>
        <rFont val="Calibri"/>
        <family val="2"/>
        <charset val="238"/>
        <scheme val="minor"/>
      </rPr>
      <t xml:space="preserve"> for OHOs</t>
    </r>
  </si>
  <si>
    <r>
      <t>Half-saturation of NO</t>
    </r>
    <r>
      <rPr>
        <vertAlign val="subscript"/>
        <sz val="11"/>
        <color rgb="FF000000"/>
        <rFont val="Calibri"/>
        <family val="2"/>
        <scheme val="minor"/>
      </rPr>
      <t>3</t>
    </r>
    <r>
      <rPr>
        <sz val="11"/>
        <color rgb="FF000000"/>
        <rFont val="Calibri"/>
        <family val="2"/>
        <charset val="238"/>
        <scheme val="minor"/>
      </rPr>
      <t xml:space="preserve"> for OHOs</t>
    </r>
  </si>
  <si>
    <t>Half-saturation of VFA in fermentation of OHOs (AS)</t>
  </si>
  <si>
    <t>Half-saturation of VFA in fermentation of OHOs</t>
  </si>
  <si>
    <t>Half-saturation of methanol for MEOLOs</t>
  </si>
  <si>
    <r>
      <t>Half-saturation of NO</t>
    </r>
    <r>
      <rPr>
        <vertAlign val="subscript"/>
        <sz val="11"/>
        <color rgb="FF000000"/>
        <rFont val="Calibri"/>
        <family val="2"/>
        <scheme val="minor"/>
      </rPr>
      <t>2</t>
    </r>
    <r>
      <rPr>
        <sz val="11"/>
        <color rgb="FF000000"/>
        <rFont val="Calibri"/>
        <family val="2"/>
        <charset val="238"/>
        <scheme val="minor"/>
      </rPr>
      <t xml:space="preserve"> for MEOLOs</t>
    </r>
  </si>
  <si>
    <r>
      <t>Half-saturation of NO</t>
    </r>
    <r>
      <rPr>
        <vertAlign val="subscript"/>
        <sz val="11"/>
        <color rgb="FF000000"/>
        <rFont val="Calibri"/>
        <family val="2"/>
        <scheme val="minor"/>
      </rPr>
      <t>3</t>
    </r>
    <r>
      <rPr>
        <sz val="11"/>
        <color rgb="FF000000"/>
        <rFont val="Calibri"/>
        <family val="2"/>
        <charset val="238"/>
        <scheme val="minor"/>
      </rPr>
      <t xml:space="preserve"> for MEOLOs</t>
    </r>
  </si>
  <si>
    <t>Half-saturation of PP for PAOs</t>
  </si>
  <si>
    <r>
      <t>Half-saturation of PO</t>
    </r>
    <r>
      <rPr>
        <vertAlign val="subscript"/>
        <sz val="11"/>
        <color rgb="FF000000"/>
        <rFont val="Calibri"/>
        <family val="2"/>
        <scheme val="minor"/>
      </rPr>
      <t>4</t>
    </r>
    <r>
      <rPr>
        <sz val="11"/>
        <color rgb="FF000000"/>
        <rFont val="Calibri"/>
        <family val="2"/>
        <charset val="238"/>
        <scheme val="minor"/>
      </rPr>
      <t xml:space="preserve"> for PAOs</t>
    </r>
  </si>
  <si>
    <t>Half-saturation of Mg (counter-ion in PP storage) for PAOs</t>
  </si>
  <si>
    <t>Half-saturation of K (counter-ion in PP storage) for PAOs</t>
  </si>
  <si>
    <t>Half-saturation of Ca (counter-ion in PP storage) for PAOs</t>
  </si>
  <si>
    <r>
      <t>Half-inhibition of PO</t>
    </r>
    <r>
      <rPr>
        <vertAlign val="subscript"/>
        <sz val="11"/>
        <color rgb="FF000000"/>
        <rFont val="Calibri"/>
        <family val="2"/>
        <scheme val="minor"/>
      </rPr>
      <t>4</t>
    </r>
    <r>
      <rPr>
        <sz val="11"/>
        <color rgb="FF000000"/>
        <rFont val="Calibri"/>
        <family val="2"/>
        <charset val="238"/>
        <scheme val="minor"/>
      </rPr>
      <t xml:space="preserve"> for PP use as nutrient for PAOs</t>
    </r>
  </si>
  <si>
    <r>
      <t>Ki</t>
    </r>
    <r>
      <rPr>
        <vertAlign val="subscript"/>
        <sz val="11"/>
        <rFont val="Calibri"/>
        <family val="2"/>
        <scheme val="minor"/>
      </rPr>
      <t>PP,PAO,max</t>
    </r>
  </si>
  <si>
    <r>
      <t>Ki</t>
    </r>
    <r>
      <rPr>
        <vertAlign val="subscript"/>
        <sz val="11"/>
        <rFont val="Calibri"/>
        <family val="2"/>
        <scheme val="minor"/>
      </rPr>
      <t>PHA,PAO,max</t>
    </r>
  </si>
  <si>
    <r>
      <t>Ki</t>
    </r>
    <r>
      <rPr>
        <vertAlign val="subscript"/>
        <sz val="11"/>
        <rFont val="Calibri"/>
        <family val="2"/>
        <scheme val="minor"/>
      </rPr>
      <t>PO4,lim</t>
    </r>
  </si>
  <si>
    <t>Half-saturations for acidoclastic methanogens (AMETO)</t>
  </si>
  <si>
    <t>Half-saturations for hydrogenotrophic methanogens (HMETO)</t>
  </si>
  <si>
    <t>Half-saturation of VFA for AMETOs</t>
  </si>
  <si>
    <t>Haldane inhibition of VFA for AMETOs</t>
  </si>
  <si>
    <r>
      <t>Half-saturation of NO</t>
    </r>
    <r>
      <rPr>
        <vertAlign val="subscript"/>
        <sz val="11"/>
        <color rgb="FF000000"/>
        <rFont val="Calibri"/>
        <family val="2"/>
        <scheme val="minor"/>
      </rPr>
      <t>x</t>
    </r>
    <r>
      <rPr>
        <sz val="11"/>
        <color rgb="FF000000"/>
        <rFont val="Calibri"/>
        <family val="2"/>
        <charset val="238"/>
        <scheme val="minor"/>
      </rPr>
      <t xml:space="preserve"> for AMETOs</t>
    </r>
  </si>
  <si>
    <r>
      <t>Ki</t>
    </r>
    <r>
      <rPr>
        <vertAlign val="subscript"/>
        <sz val="11"/>
        <rFont val="Calibri"/>
        <family val="2"/>
        <scheme val="minor"/>
      </rPr>
      <t>VFA,AMETO</t>
    </r>
  </si>
  <si>
    <r>
      <t>Half-saturation of H</t>
    </r>
    <r>
      <rPr>
        <vertAlign val="subscript"/>
        <sz val="11"/>
        <color rgb="FF000000"/>
        <rFont val="Calibri"/>
        <family val="2"/>
        <scheme val="minor"/>
      </rPr>
      <t>2</t>
    </r>
    <r>
      <rPr>
        <sz val="11"/>
        <color rgb="FF000000"/>
        <rFont val="Calibri"/>
        <family val="2"/>
        <charset val="238"/>
        <scheme val="minor"/>
      </rPr>
      <t xml:space="preserve"> for HMETOs</t>
    </r>
  </si>
  <si>
    <r>
      <t>Half-saturation of NO</t>
    </r>
    <r>
      <rPr>
        <vertAlign val="subscript"/>
        <sz val="11"/>
        <color rgb="FF000000"/>
        <rFont val="Calibri"/>
        <family val="2"/>
        <scheme val="minor"/>
      </rPr>
      <t>x</t>
    </r>
    <r>
      <rPr>
        <sz val="11"/>
        <color rgb="FF000000"/>
        <rFont val="Calibri"/>
        <family val="2"/>
        <charset val="238"/>
        <scheme val="minor"/>
      </rPr>
      <t xml:space="preserve"> for HMETOs</t>
    </r>
  </si>
  <si>
    <r>
      <t>Ki</t>
    </r>
    <r>
      <rPr>
        <vertAlign val="subscript"/>
        <sz val="11"/>
        <rFont val="Calibri"/>
        <family val="2"/>
        <scheme val="minor"/>
      </rPr>
      <t>NHx,ASSIM</t>
    </r>
  </si>
  <si>
    <r>
      <t>Ki</t>
    </r>
    <r>
      <rPr>
        <vertAlign val="subscript"/>
        <sz val="11"/>
        <rFont val="Calibri"/>
        <family val="2"/>
        <scheme val="minor"/>
      </rPr>
      <t>NHx,ASSIM,AS</t>
    </r>
  </si>
  <si>
    <t>Half-saturation of NHx as nutrient for biomasses</t>
  </si>
  <si>
    <r>
      <t>Half-saturation of PO</t>
    </r>
    <r>
      <rPr>
        <vertAlign val="subscript"/>
        <sz val="11"/>
        <color rgb="FF000000"/>
        <rFont val="Calibri"/>
        <family val="2"/>
        <scheme val="minor"/>
      </rPr>
      <t>4</t>
    </r>
    <r>
      <rPr>
        <sz val="11"/>
        <color rgb="FF000000"/>
        <rFont val="Calibri"/>
        <family val="2"/>
        <charset val="238"/>
        <scheme val="minor"/>
      </rPr>
      <t xml:space="preserve"> as nutrient for biomasses</t>
    </r>
  </si>
  <si>
    <t>Half-saturation of particulates in hydrolysis</t>
  </si>
  <si>
    <r>
      <t>Half-saturation of NO</t>
    </r>
    <r>
      <rPr>
        <vertAlign val="subscript"/>
        <sz val="11"/>
        <color rgb="FF000000"/>
        <rFont val="Calibri"/>
        <family val="2"/>
        <scheme val="minor"/>
      </rPr>
      <t>2</t>
    </r>
    <r>
      <rPr>
        <sz val="11"/>
        <color rgb="FF000000"/>
        <rFont val="Calibri"/>
        <family val="2"/>
        <charset val="238"/>
        <scheme val="minor"/>
      </rPr>
      <t xml:space="preserve"> in NO</t>
    </r>
    <r>
      <rPr>
        <vertAlign val="subscript"/>
        <sz val="11"/>
        <color rgb="FF000000"/>
        <rFont val="Calibri"/>
        <family val="2"/>
        <scheme val="minor"/>
      </rPr>
      <t>2</t>
    </r>
    <r>
      <rPr>
        <sz val="11"/>
        <color rgb="FF000000"/>
        <rFont val="Calibri"/>
        <family val="2"/>
        <charset val="238"/>
        <scheme val="minor"/>
      </rPr>
      <t xml:space="preserve"> assimilative reduction</t>
    </r>
  </si>
  <si>
    <r>
      <t>Half-saturation of NO</t>
    </r>
    <r>
      <rPr>
        <vertAlign val="subscript"/>
        <sz val="11"/>
        <color rgb="FF000000"/>
        <rFont val="Calibri"/>
        <family val="2"/>
        <scheme val="minor"/>
      </rPr>
      <t>3</t>
    </r>
    <r>
      <rPr>
        <sz val="11"/>
        <color rgb="FF000000"/>
        <rFont val="Calibri"/>
        <family val="2"/>
        <charset val="238"/>
        <scheme val="minor"/>
      </rPr>
      <t xml:space="preserve"> in NO</t>
    </r>
    <r>
      <rPr>
        <vertAlign val="subscript"/>
        <sz val="11"/>
        <color rgb="FF000000"/>
        <rFont val="Calibri"/>
        <family val="2"/>
        <scheme val="minor"/>
      </rPr>
      <t>3</t>
    </r>
    <r>
      <rPr>
        <sz val="11"/>
        <color rgb="FF000000"/>
        <rFont val="Calibri"/>
        <family val="2"/>
        <charset val="238"/>
        <scheme val="minor"/>
      </rPr>
      <t xml:space="preserve"> assimilative reduction</t>
    </r>
  </si>
  <si>
    <t>pH inhibition (Bell shaped)</t>
  </si>
  <si>
    <t>pH inhibition (Bell shaped) (AMETO)</t>
  </si>
  <si>
    <t>pH inhibition (Bell shaped) (HMETO)</t>
  </si>
  <si>
    <t>Inhibition term for nitrous acid (AOB)</t>
  </si>
  <si>
    <t>Logistic saturation term for bicarbonate (AOB)</t>
  </si>
  <si>
    <r>
      <t>Inhibition term for NH</t>
    </r>
    <r>
      <rPr>
        <vertAlign val="subscript"/>
        <sz val="11"/>
        <color rgb="FF000000"/>
        <rFont val="Calibri"/>
        <family val="2"/>
        <scheme val="minor"/>
      </rPr>
      <t>3</t>
    </r>
    <r>
      <rPr>
        <sz val="11"/>
        <color rgb="FF000000"/>
        <rFont val="Calibri"/>
        <family val="2"/>
        <charset val="238"/>
        <scheme val="minor"/>
      </rPr>
      <t xml:space="preserve"> (NOB)</t>
    </r>
  </si>
  <si>
    <t>Logistic saturation term for bicarbonate (NOB)</t>
  </si>
  <si>
    <t>Logistic saturation term for bicarbonate (AMX)</t>
  </si>
  <si>
    <t>Inhibition term for nitrous acid (AMX)</t>
  </si>
  <si>
    <r>
      <t>Minh([HNO</t>
    </r>
    <r>
      <rPr>
        <vertAlign val="subscript"/>
        <sz val="11"/>
        <rFont val="Calibri"/>
        <family val="2"/>
      </rPr>
      <t>2</t>
    </r>
    <r>
      <rPr>
        <sz val="11"/>
        <rFont val="Calibri"/>
        <family val="2"/>
      </rPr>
      <t>]; Ki</t>
    </r>
    <r>
      <rPr>
        <vertAlign val="subscript"/>
        <sz val="11"/>
        <rFont val="Calibri"/>
        <family val="2"/>
      </rPr>
      <t>HNO2,AMX,pH</t>
    </r>
    <r>
      <rPr>
        <sz val="11"/>
        <rFont val="Calibri"/>
        <family val="2"/>
      </rPr>
      <t>)</t>
    </r>
  </si>
  <si>
    <r>
      <t>Minh([NH</t>
    </r>
    <r>
      <rPr>
        <vertAlign val="subscript"/>
        <sz val="11"/>
        <rFont val="Calibri"/>
        <family val="2"/>
        <scheme val="minor"/>
      </rPr>
      <t>3</t>
    </r>
    <r>
      <rPr>
        <sz val="11"/>
        <rFont val="Calibri"/>
        <family val="2"/>
        <scheme val="minor"/>
      </rPr>
      <t>];Ki</t>
    </r>
    <r>
      <rPr>
        <vertAlign val="subscript"/>
        <sz val="11"/>
        <rFont val="Calibri"/>
        <family val="2"/>
        <scheme val="minor"/>
      </rPr>
      <t>NH3,NOB,pH</t>
    </r>
    <r>
      <rPr>
        <sz val="11"/>
        <rFont val="Calibri"/>
        <family val="2"/>
        <scheme val="minor"/>
      </rPr>
      <t>)</t>
    </r>
  </si>
  <si>
    <r>
      <t>Minh([HNO</t>
    </r>
    <r>
      <rPr>
        <vertAlign val="subscript"/>
        <sz val="11"/>
        <rFont val="Calibri"/>
        <family val="2"/>
        <scheme val="minor"/>
      </rPr>
      <t>2</t>
    </r>
    <r>
      <rPr>
        <sz val="11"/>
        <rFont val="Calibri"/>
        <family val="2"/>
        <scheme val="minor"/>
      </rPr>
      <t>]; Ki</t>
    </r>
    <r>
      <rPr>
        <vertAlign val="subscript"/>
        <sz val="11"/>
        <rFont val="Calibri"/>
        <family val="2"/>
        <scheme val="minor"/>
      </rPr>
      <t>HNO2,AOB,pH</t>
    </r>
    <r>
      <rPr>
        <sz val="11"/>
        <rFont val="Calibri"/>
        <family val="2"/>
        <scheme val="minor"/>
      </rPr>
      <t>)</t>
    </r>
  </si>
  <si>
    <r>
      <t>Loginh</t>
    </r>
    <r>
      <rPr>
        <vertAlign val="subscript"/>
        <sz val="11"/>
        <rFont val="Calibri"/>
        <family val="2"/>
      </rPr>
      <t>ORP,PAO</t>
    </r>
  </si>
  <si>
    <t>ORP switch of fermentation by PAOs</t>
  </si>
  <si>
    <r>
      <t>Saturation term for strong anion (as Cl</t>
    </r>
    <r>
      <rPr>
        <vertAlign val="superscript"/>
        <sz val="11"/>
        <color rgb="FF000000"/>
        <rFont val="Calibri"/>
        <family val="2"/>
        <scheme val="minor"/>
      </rPr>
      <t>-</t>
    </r>
    <r>
      <rPr>
        <sz val="11"/>
        <color rgb="FF000000"/>
        <rFont val="Calibri"/>
        <family val="2"/>
        <charset val="238"/>
        <scheme val="minor"/>
      </rPr>
      <t>)</t>
    </r>
  </si>
  <si>
    <r>
      <t>Saturation term for strong cation (as Na</t>
    </r>
    <r>
      <rPr>
        <vertAlign val="superscript"/>
        <sz val="11"/>
        <color rgb="FF000000"/>
        <rFont val="Calibri"/>
        <family val="2"/>
        <scheme val="minor"/>
      </rPr>
      <t>+</t>
    </r>
    <r>
      <rPr>
        <sz val="11"/>
        <color rgb="FF000000"/>
        <rFont val="Calibri"/>
        <family val="2"/>
        <charset val="238"/>
        <scheme val="minor"/>
      </rPr>
      <t>)</t>
    </r>
  </si>
  <si>
    <t>Saturation term for inorganic carbon (BIO except NITO)</t>
  </si>
  <si>
    <r>
      <t>Saturation term for NH</t>
    </r>
    <r>
      <rPr>
        <vertAlign val="subscript"/>
        <sz val="11"/>
        <color rgb="FF000000"/>
        <rFont val="Calibri"/>
        <family val="2"/>
        <scheme val="minor"/>
      </rPr>
      <t>x</t>
    </r>
    <r>
      <rPr>
        <sz val="11"/>
        <color rgb="FF000000"/>
        <rFont val="Calibri"/>
        <family val="2"/>
        <charset val="238"/>
        <scheme val="minor"/>
      </rPr>
      <t xml:space="preserve"> (biomass)</t>
    </r>
  </si>
  <si>
    <r>
      <t>Saturation term for PO</t>
    </r>
    <r>
      <rPr>
        <vertAlign val="subscript"/>
        <sz val="11"/>
        <color rgb="FF000000"/>
        <rFont val="Calibri"/>
        <family val="2"/>
        <scheme val="minor"/>
      </rPr>
      <t>4</t>
    </r>
    <r>
      <rPr>
        <sz val="11"/>
        <color rgb="FF000000"/>
        <rFont val="Calibri"/>
        <family val="2"/>
        <charset val="238"/>
        <scheme val="minor"/>
      </rPr>
      <t xml:space="preserve"> (biomass)</t>
    </r>
  </si>
  <si>
    <r>
      <t>Inhibition term for O</t>
    </r>
    <r>
      <rPr>
        <vertAlign val="subscript"/>
        <sz val="11"/>
        <color rgb="FF000000"/>
        <rFont val="Calibri"/>
        <family val="2"/>
        <scheme val="minor"/>
      </rPr>
      <t>2</t>
    </r>
    <r>
      <rPr>
        <sz val="11"/>
        <color rgb="FF000000"/>
        <rFont val="Calibri"/>
        <family val="2"/>
        <charset val="238"/>
        <scheme val="minor"/>
      </rPr>
      <t xml:space="preserve"> (OHO)</t>
    </r>
  </si>
  <si>
    <t>Inhibition term for VFA</t>
  </si>
  <si>
    <t>Saturation term for methanol (OHO)</t>
  </si>
  <si>
    <r>
      <t>Saturation term for O</t>
    </r>
    <r>
      <rPr>
        <vertAlign val="subscript"/>
        <sz val="11"/>
        <color rgb="FF000000"/>
        <rFont val="Calibri"/>
        <family val="2"/>
        <scheme val="minor"/>
      </rPr>
      <t>2</t>
    </r>
    <r>
      <rPr>
        <sz val="11"/>
        <color rgb="FF000000"/>
        <rFont val="Calibri"/>
        <family val="2"/>
        <charset val="238"/>
        <scheme val="minor"/>
      </rPr>
      <t xml:space="preserve"> (OHO)</t>
    </r>
  </si>
  <si>
    <t>Saturation term for VFA</t>
  </si>
  <si>
    <r>
      <t>Inhibition term for O</t>
    </r>
    <r>
      <rPr>
        <vertAlign val="subscript"/>
        <sz val="11"/>
        <color rgb="FF000000"/>
        <rFont val="Calibri"/>
        <family val="2"/>
        <scheme val="minor"/>
      </rPr>
      <t>2</t>
    </r>
    <r>
      <rPr>
        <sz val="11"/>
        <color rgb="FF000000"/>
        <rFont val="Calibri"/>
        <family val="2"/>
        <charset val="238"/>
        <scheme val="minor"/>
      </rPr>
      <t xml:space="preserve"> (MEOLO)</t>
    </r>
  </si>
  <si>
    <t>Saturation term for methanol (MEOLO)</t>
  </si>
  <si>
    <r>
      <t>Saturation term for O</t>
    </r>
    <r>
      <rPr>
        <vertAlign val="subscript"/>
        <sz val="11"/>
        <color rgb="FF000000"/>
        <rFont val="Calibri"/>
        <family val="2"/>
        <scheme val="minor"/>
      </rPr>
      <t>2</t>
    </r>
    <r>
      <rPr>
        <sz val="11"/>
        <color rgb="FF000000"/>
        <rFont val="Calibri"/>
        <family val="2"/>
        <charset val="238"/>
        <scheme val="minor"/>
      </rPr>
      <t xml:space="preserve"> (MEOLO)</t>
    </r>
  </si>
  <si>
    <r>
      <t>Saturation term for NO</t>
    </r>
    <r>
      <rPr>
        <vertAlign val="subscript"/>
        <sz val="11"/>
        <color rgb="FF000000"/>
        <rFont val="Calibri"/>
        <family val="2"/>
        <scheme val="minor"/>
      </rPr>
      <t>3</t>
    </r>
    <r>
      <rPr>
        <sz val="11"/>
        <color rgb="FF000000"/>
        <rFont val="Calibri"/>
        <family val="2"/>
        <charset val="238"/>
        <scheme val="minor"/>
      </rPr>
      <t xml:space="preserve"> (OHO)</t>
    </r>
  </si>
  <si>
    <r>
      <t>Saturation term for NO</t>
    </r>
    <r>
      <rPr>
        <vertAlign val="subscript"/>
        <sz val="11"/>
        <color rgb="FF000000"/>
        <rFont val="Calibri"/>
        <family val="2"/>
        <scheme val="minor"/>
      </rPr>
      <t>2</t>
    </r>
    <r>
      <rPr>
        <sz val="11"/>
        <color rgb="FF000000"/>
        <rFont val="Calibri"/>
        <family val="2"/>
        <charset val="238"/>
        <scheme val="minor"/>
      </rPr>
      <t xml:space="preserve"> (OHO)</t>
    </r>
  </si>
  <si>
    <r>
      <t>Inhibition term for NO</t>
    </r>
    <r>
      <rPr>
        <vertAlign val="subscript"/>
        <sz val="11"/>
        <color rgb="FF000000"/>
        <rFont val="Calibri"/>
        <family val="2"/>
        <scheme val="minor"/>
      </rPr>
      <t>2</t>
    </r>
    <r>
      <rPr>
        <sz val="11"/>
        <color rgb="FF000000"/>
        <rFont val="Calibri"/>
        <family val="2"/>
        <charset val="238"/>
        <scheme val="minor"/>
      </rPr>
      <t xml:space="preserve"> (MEOLO)</t>
    </r>
  </si>
  <si>
    <r>
      <t>Inhibition term for NO</t>
    </r>
    <r>
      <rPr>
        <vertAlign val="subscript"/>
        <sz val="11"/>
        <color rgb="FF000000"/>
        <rFont val="Calibri"/>
        <family val="2"/>
        <scheme val="minor"/>
      </rPr>
      <t>3</t>
    </r>
    <r>
      <rPr>
        <sz val="11"/>
        <color rgb="FF000000"/>
        <rFont val="Calibri"/>
        <family val="2"/>
        <charset val="238"/>
        <scheme val="minor"/>
      </rPr>
      <t xml:space="preserve"> (MEOLO)</t>
    </r>
  </si>
  <si>
    <r>
      <t>Saturation term for NO</t>
    </r>
    <r>
      <rPr>
        <vertAlign val="subscript"/>
        <sz val="11"/>
        <color rgb="FF000000"/>
        <rFont val="Calibri"/>
        <family val="2"/>
        <scheme val="minor"/>
      </rPr>
      <t>2</t>
    </r>
    <r>
      <rPr>
        <sz val="11"/>
        <color rgb="FF000000"/>
        <rFont val="Calibri"/>
        <family val="2"/>
        <charset val="238"/>
        <scheme val="minor"/>
      </rPr>
      <t xml:space="preserve"> (MEOLO)</t>
    </r>
  </si>
  <si>
    <r>
      <t>Saturation term for NO</t>
    </r>
    <r>
      <rPr>
        <vertAlign val="subscript"/>
        <sz val="11"/>
        <color rgb="FF000000"/>
        <rFont val="Calibri"/>
        <family val="2"/>
        <scheme val="minor"/>
      </rPr>
      <t>3</t>
    </r>
    <r>
      <rPr>
        <sz val="11"/>
        <color rgb="FF000000"/>
        <rFont val="Calibri"/>
        <family val="2"/>
        <charset val="238"/>
        <scheme val="minor"/>
      </rPr>
      <t xml:space="preserve"> (MEOLO)</t>
    </r>
  </si>
  <si>
    <r>
      <t>Inhibition term for NO</t>
    </r>
    <r>
      <rPr>
        <vertAlign val="subscript"/>
        <sz val="11"/>
        <color rgb="FF000000"/>
        <rFont val="Calibri"/>
        <family val="2"/>
        <scheme val="minor"/>
      </rPr>
      <t>x</t>
    </r>
    <r>
      <rPr>
        <sz val="11"/>
        <color rgb="FF000000"/>
        <rFont val="Calibri"/>
        <family val="2"/>
        <charset val="238"/>
        <scheme val="minor"/>
      </rPr>
      <t xml:space="preserve"> (anoxic condition) (AOB)</t>
    </r>
  </si>
  <si>
    <r>
      <t>Inhibition term for O</t>
    </r>
    <r>
      <rPr>
        <vertAlign val="subscript"/>
        <sz val="11"/>
        <color rgb="FF000000"/>
        <rFont val="Calibri"/>
        <family val="2"/>
        <scheme val="minor"/>
      </rPr>
      <t>2</t>
    </r>
    <r>
      <rPr>
        <sz val="11"/>
        <color rgb="FF000000"/>
        <rFont val="Calibri"/>
        <family val="2"/>
        <charset val="238"/>
        <scheme val="minor"/>
      </rPr>
      <t xml:space="preserve"> (AOB)</t>
    </r>
  </si>
  <si>
    <r>
      <t>Saturation term for NH</t>
    </r>
    <r>
      <rPr>
        <vertAlign val="subscript"/>
        <sz val="11"/>
        <color rgb="FF000000"/>
        <rFont val="Calibri"/>
        <family val="2"/>
        <scheme val="minor"/>
      </rPr>
      <t>x</t>
    </r>
    <r>
      <rPr>
        <sz val="11"/>
        <color rgb="FF000000"/>
        <rFont val="Calibri"/>
        <family val="2"/>
        <charset val="238"/>
        <scheme val="minor"/>
      </rPr>
      <t xml:space="preserve"> (AOB)</t>
    </r>
  </si>
  <si>
    <r>
      <t>Saturation term for NO</t>
    </r>
    <r>
      <rPr>
        <vertAlign val="subscript"/>
        <sz val="11"/>
        <color rgb="FF000000"/>
        <rFont val="Calibri"/>
        <family val="2"/>
        <scheme val="minor"/>
      </rPr>
      <t>x</t>
    </r>
    <r>
      <rPr>
        <sz val="11"/>
        <color rgb="FF000000"/>
        <rFont val="Calibri"/>
        <family val="2"/>
        <charset val="238"/>
        <scheme val="minor"/>
      </rPr>
      <t xml:space="preserve"> (anoxic condition) (AOB)</t>
    </r>
  </si>
  <si>
    <r>
      <t>Saturation term for O</t>
    </r>
    <r>
      <rPr>
        <vertAlign val="subscript"/>
        <sz val="11"/>
        <color rgb="FF000000"/>
        <rFont val="Calibri"/>
        <family val="2"/>
        <scheme val="minor"/>
      </rPr>
      <t>2</t>
    </r>
    <r>
      <rPr>
        <sz val="11"/>
        <color rgb="FF000000"/>
        <rFont val="Calibri"/>
        <family val="2"/>
        <charset val="238"/>
        <scheme val="minor"/>
      </rPr>
      <t xml:space="preserve"> (AOB)</t>
    </r>
  </si>
  <si>
    <r>
      <t>Inhibition term for NO</t>
    </r>
    <r>
      <rPr>
        <vertAlign val="subscript"/>
        <sz val="11"/>
        <color rgb="FF000000"/>
        <rFont val="Calibri"/>
        <family val="2"/>
        <scheme val="minor"/>
      </rPr>
      <t>x</t>
    </r>
    <r>
      <rPr>
        <sz val="11"/>
        <color rgb="FF000000"/>
        <rFont val="Calibri"/>
        <family val="2"/>
        <charset val="238"/>
        <scheme val="minor"/>
      </rPr>
      <t xml:space="preserve"> (anoxic condition) (NOB)</t>
    </r>
  </si>
  <si>
    <r>
      <t>Inhibition term for O</t>
    </r>
    <r>
      <rPr>
        <vertAlign val="subscript"/>
        <sz val="11"/>
        <color rgb="FF000000"/>
        <rFont val="Calibri"/>
        <family val="2"/>
        <scheme val="minor"/>
      </rPr>
      <t>2</t>
    </r>
    <r>
      <rPr>
        <sz val="11"/>
        <color rgb="FF000000"/>
        <rFont val="Calibri"/>
        <family val="2"/>
        <charset val="238"/>
        <scheme val="minor"/>
      </rPr>
      <t xml:space="preserve"> (NOB)</t>
    </r>
  </si>
  <si>
    <r>
      <t>Saturation term for NO</t>
    </r>
    <r>
      <rPr>
        <vertAlign val="subscript"/>
        <sz val="11"/>
        <color rgb="FF000000"/>
        <rFont val="Calibri"/>
        <family val="2"/>
        <scheme val="minor"/>
      </rPr>
      <t>2</t>
    </r>
    <r>
      <rPr>
        <sz val="11"/>
        <color rgb="FF000000"/>
        <rFont val="Calibri"/>
        <family val="2"/>
        <charset val="238"/>
        <scheme val="minor"/>
      </rPr>
      <t xml:space="preserve"> (NOB)</t>
    </r>
  </si>
  <si>
    <r>
      <t>Saturation term for NO</t>
    </r>
    <r>
      <rPr>
        <vertAlign val="subscript"/>
        <sz val="11"/>
        <color rgb="FF000000"/>
        <rFont val="Calibri"/>
        <family val="2"/>
        <scheme val="minor"/>
      </rPr>
      <t>x</t>
    </r>
    <r>
      <rPr>
        <sz val="11"/>
        <color rgb="FF000000"/>
        <rFont val="Calibri"/>
        <family val="2"/>
        <charset val="238"/>
        <scheme val="minor"/>
      </rPr>
      <t xml:space="preserve"> (anoxic condition) (NOB )</t>
    </r>
  </si>
  <si>
    <r>
      <t>Saturation term for O</t>
    </r>
    <r>
      <rPr>
        <vertAlign val="subscript"/>
        <sz val="11"/>
        <color rgb="FF000000"/>
        <rFont val="Calibri"/>
        <family val="2"/>
        <scheme val="minor"/>
      </rPr>
      <t>2</t>
    </r>
    <r>
      <rPr>
        <sz val="11"/>
        <color rgb="FF000000"/>
        <rFont val="Calibri"/>
        <family val="2"/>
        <charset val="238"/>
        <scheme val="minor"/>
      </rPr>
      <t xml:space="preserve"> (NOB)</t>
    </r>
  </si>
  <si>
    <r>
      <t>Inhibition term for NO</t>
    </r>
    <r>
      <rPr>
        <vertAlign val="subscript"/>
        <sz val="11"/>
        <color rgb="FF000000"/>
        <rFont val="Calibri"/>
        <family val="2"/>
        <scheme val="minor"/>
      </rPr>
      <t>x</t>
    </r>
    <r>
      <rPr>
        <sz val="11"/>
        <color rgb="FF000000"/>
        <rFont val="Calibri"/>
        <family val="2"/>
        <charset val="238"/>
        <scheme val="minor"/>
      </rPr>
      <t xml:space="preserve"> (anoxic condition) (AMX)</t>
    </r>
  </si>
  <si>
    <r>
      <t>Inhibition term for O</t>
    </r>
    <r>
      <rPr>
        <vertAlign val="subscript"/>
        <sz val="11"/>
        <color rgb="FF000000"/>
        <rFont val="Calibri"/>
        <family val="2"/>
        <scheme val="minor"/>
      </rPr>
      <t>2</t>
    </r>
    <r>
      <rPr>
        <sz val="11"/>
        <color rgb="FF000000"/>
        <rFont val="Calibri"/>
        <family val="2"/>
        <charset val="238"/>
        <scheme val="minor"/>
      </rPr>
      <t xml:space="preserve"> (AMX)</t>
    </r>
  </si>
  <si>
    <r>
      <t>Saturation term for NH</t>
    </r>
    <r>
      <rPr>
        <vertAlign val="subscript"/>
        <sz val="11"/>
        <color rgb="FF000000"/>
        <rFont val="Calibri"/>
        <family val="2"/>
        <scheme val="minor"/>
      </rPr>
      <t>x</t>
    </r>
    <r>
      <rPr>
        <sz val="11"/>
        <color rgb="FF000000"/>
        <rFont val="Calibri"/>
        <family val="2"/>
        <charset val="238"/>
        <scheme val="minor"/>
      </rPr>
      <t xml:space="preserve"> (AMX)</t>
    </r>
  </si>
  <si>
    <r>
      <t>Saturation term for NO</t>
    </r>
    <r>
      <rPr>
        <vertAlign val="subscript"/>
        <sz val="11"/>
        <color rgb="FF000000"/>
        <rFont val="Calibri"/>
        <family val="2"/>
        <scheme val="minor"/>
      </rPr>
      <t>2</t>
    </r>
    <r>
      <rPr>
        <sz val="11"/>
        <color rgb="FF000000"/>
        <rFont val="Calibri"/>
        <family val="2"/>
        <charset val="238"/>
        <scheme val="minor"/>
      </rPr>
      <t xml:space="preserve"> (AMX)</t>
    </r>
  </si>
  <si>
    <r>
      <t>Saturation term for NO</t>
    </r>
    <r>
      <rPr>
        <vertAlign val="subscript"/>
        <sz val="11"/>
        <color rgb="FF000000"/>
        <rFont val="Calibri"/>
        <family val="2"/>
        <scheme val="minor"/>
      </rPr>
      <t>x</t>
    </r>
    <r>
      <rPr>
        <sz val="11"/>
        <color rgb="FF000000"/>
        <rFont val="Calibri"/>
        <family val="2"/>
        <charset val="238"/>
        <scheme val="minor"/>
      </rPr>
      <t xml:space="preserve"> (anoxic condition) (AMX)</t>
    </r>
  </si>
  <si>
    <r>
      <t>Saturation term for O</t>
    </r>
    <r>
      <rPr>
        <vertAlign val="subscript"/>
        <sz val="11"/>
        <color rgb="FF000000"/>
        <rFont val="Calibri"/>
        <family val="2"/>
        <scheme val="minor"/>
      </rPr>
      <t>2</t>
    </r>
    <r>
      <rPr>
        <sz val="11"/>
        <color rgb="FF000000"/>
        <rFont val="Calibri"/>
        <family val="2"/>
        <charset val="238"/>
        <scheme val="minor"/>
      </rPr>
      <t xml:space="preserve"> (AMX)</t>
    </r>
  </si>
  <si>
    <r>
      <t>Minh</t>
    </r>
    <r>
      <rPr>
        <vertAlign val="subscript"/>
        <sz val="11"/>
        <rFont val="Calibri"/>
        <family val="2"/>
        <scheme val="minor"/>
      </rPr>
      <t>SPO4,KiPO4,lim</t>
    </r>
  </si>
  <si>
    <t>Inhibition term for PO4 (PAO)</t>
  </si>
  <si>
    <r>
      <t>Minh(S</t>
    </r>
    <r>
      <rPr>
        <vertAlign val="subscript"/>
        <sz val="11"/>
        <rFont val="Calibri"/>
        <family val="2"/>
        <scheme val="minor"/>
      </rPr>
      <t>PO4</t>
    </r>
    <r>
      <rPr>
        <sz val="11"/>
        <rFont val="Calibri"/>
        <family val="2"/>
        <scheme val="minor"/>
      </rPr>
      <t>;Ki</t>
    </r>
    <r>
      <rPr>
        <vertAlign val="subscript"/>
        <sz val="11"/>
        <rFont val="Calibri"/>
        <family val="2"/>
        <scheme val="minor"/>
      </rPr>
      <t>PO4,lim</t>
    </r>
    <r>
      <rPr>
        <sz val="11"/>
        <rFont val="Calibri"/>
        <family val="2"/>
        <scheme val="minor"/>
      </rPr>
      <t>)</t>
    </r>
  </si>
  <si>
    <t>Saturation term for Ca as counter ion for PP (PAO)</t>
  </si>
  <si>
    <t>Saturation term for K as counter ion for PP (PAO)</t>
  </si>
  <si>
    <t>Saturation term for Mg as counter ion for PP (PAO)</t>
  </si>
  <si>
    <r>
      <t>Saturation term for PO</t>
    </r>
    <r>
      <rPr>
        <vertAlign val="subscript"/>
        <sz val="11"/>
        <color rgb="FF000000"/>
        <rFont val="Calibri"/>
        <family val="2"/>
        <scheme val="minor"/>
      </rPr>
      <t>4</t>
    </r>
    <r>
      <rPr>
        <sz val="11"/>
        <color rgb="FF000000"/>
        <rFont val="Calibri"/>
        <family val="2"/>
        <charset val="238"/>
        <scheme val="minor"/>
      </rPr>
      <t xml:space="preserve"> (PAO)</t>
    </r>
  </si>
  <si>
    <t>Saturation term for PP as nutrient (PAO)</t>
  </si>
  <si>
    <r>
      <t>Inhibition term for NO</t>
    </r>
    <r>
      <rPr>
        <vertAlign val="subscript"/>
        <sz val="11"/>
        <color rgb="FF000000"/>
        <rFont val="Calibri"/>
        <family val="2"/>
        <scheme val="minor"/>
      </rPr>
      <t>x</t>
    </r>
    <r>
      <rPr>
        <sz val="11"/>
        <color rgb="FF000000"/>
        <rFont val="Calibri"/>
        <family val="2"/>
        <charset val="238"/>
        <scheme val="minor"/>
      </rPr>
      <t xml:space="preserve"> (AMETO)</t>
    </r>
  </si>
  <si>
    <r>
      <t>Inhibition term for O</t>
    </r>
    <r>
      <rPr>
        <vertAlign val="subscript"/>
        <sz val="11"/>
        <color rgb="FF000000"/>
        <rFont val="Calibri"/>
        <family val="2"/>
        <scheme val="minor"/>
      </rPr>
      <t>2</t>
    </r>
    <r>
      <rPr>
        <sz val="11"/>
        <color rgb="FF000000"/>
        <rFont val="Calibri"/>
        <family val="2"/>
        <charset val="238"/>
        <scheme val="minor"/>
      </rPr>
      <t xml:space="preserve"> (AMETO)</t>
    </r>
  </si>
  <si>
    <r>
      <t>Saturation term for NO</t>
    </r>
    <r>
      <rPr>
        <vertAlign val="subscript"/>
        <sz val="11"/>
        <color rgb="FF000000"/>
        <rFont val="Calibri"/>
        <family val="2"/>
        <scheme val="minor"/>
      </rPr>
      <t>x</t>
    </r>
    <r>
      <rPr>
        <sz val="11"/>
        <color rgb="FF000000"/>
        <rFont val="Calibri"/>
        <family val="2"/>
        <charset val="238"/>
        <scheme val="minor"/>
      </rPr>
      <t xml:space="preserve"> (AMETO)</t>
    </r>
  </si>
  <si>
    <r>
      <t>Saturation term for O</t>
    </r>
    <r>
      <rPr>
        <vertAlign val="subscript"/>
        <sz val="11"/>
        <color rgb="FF000000"/>
        <rFont val="Calibri"/>
        <family val="2"/>
        <scheme val="minor"/>
      </rPr>
      <t>2</t>
    </r>
    <r>
      <rPr>
        <sz val="11"/>
        <color rgb="FF000000"/>
        <rFont val="Calibri"/>
        <family val="2"/>
        <charset val="238"/>
        <scheme val="minor"/>
      </rPr>
      <t xml:space="preserve"> (AMETO)</t>
    </r>
  </si>
  <si>
    <t>Haldane term for VFA (AMETO)</t>
  </si>
  <si>
    <r>
      <t>Inhibition term for NO</t>
    </r>
    <r>
      <rPr>
        <vertAlign val="subscript"/>
        <sz val="11"/>
        <color rgb="FF000000"/>
        <rFont val="Calibri"/>
        <family val="2"/>
        <scheme val="minor"/>
      </rPr>
      <t>x</t>
    </r>
    <r>
      <rPr>
        <sz val="11"/>
        <color rgb="FF000000"/>
        <rFont val="Calibri"/>
        <family val="2"/>
        <charset val="238"/>
        <scheme val="minor"/>
      </rPr>
      <t xml:space="preserve"> (HMETO)</t>
    </r>
  </si>
  <si>
    <r>
      <t>Inhibition term for O</t>
    </r>
    <r>
      <rPr>
        <vertAlign val="subscript"/>
        <sz val="11"/>
        <color rgb="FF000000"/>
        <rFont val="Calibri"/>
        <family val="2"/>
        <scheme val="minor"/>
      </rPr>
      <t>2</t>
    </r>
    <r>
      <rPr>
        <sz val="11"/>
        <color rgb="FF000000"/>
        <rFont val="Calibri"/>
        <family val="2"/>
        <charset val="238"/>
        <scheme val="minor"/>
      </rPr>
      <t xml:space="preserve"> (HMETO)</t>
    </r>
  </si>
  <si>
    <r>
      <t>Saturation term for H</t>
    </r>
    <r>
      <rPr>
        <vertAlign val="subscript"/>
        <sz val="11"/>
        <color rgb="FF000000"/>
        <rFont val="Calibri"/>
        <family val="2"/>
        <scheme val="minor"/>
      </rPr>
      <t>2</t>
    </r>
    <r>
      <rPr>
        <sz val="11"/>
        <color rgb="FF000000"/>
        <rFont val="Calibri"/>
        <family val="2"/>
        <charset val="238"/>
        <scheme val="minor"/>
      </rPr>
      <t xml:space="preserve"> (HMETO)</t>
    </r>
  </si>
  <si>
    <r>
      <t>Saturation term for NO</t>
    </r>
    <r>
      <rPr>
        <vertAlign val="subscript"/>
        <sz val="11"/>
        <color rgb="FF000000"/>
        <rFont val="Calibri"/>
        <family val="2"/>
        <scheme val="minor"/>
      </rPr>
      <t>x</t>
    </r>
    <r>
      <rPr>
        <sz val="11"/>
        <color rgb="FF000000"/>
        <rFont val="Calibri"/>
        <family val="2"/>
        <charset val="238"/>
        <scheme val="minor"/>
      </rPr>
      <t xml:space="preserve"> (HMETO)</t>
    </r>
  </si>
  <si>
    <r>
      <t>Saturation term for O</t>
    </r>
    <r>
      <rPr>
        <vertAlign val="subscript"/>
        <sz val="11"/>
        <color rgb="FF000000"/>
        <rFont val="Calibri"/>
        <family val="2"/>
        <scheme val="minor"/>
      </rPr>
      <t>2</t>
    </r>
    <r>
      <rPr>
        <sz val="11"/>
        <color rgb="FF000000"/>
        <rFont val="Calibri"/>
        <family val="2"/>
        <charset val="238"/>
        <scheme val="minor"/>
      </rPr>
      <t xml:space="preserve"> (HMETO)</t>
    </r>
  </si>
  <si>
    <r>
      <t>Hsat(S</t>
    </r>
    <r>
      <rPr>
        <vertAlign val="subscript"/>
        <sz val="11"/>
        <rFont val="Calibri"/>
        <family val="2"/>
        <scheme val="minor"/>
      </rPr>
      <t>VFA</t>
    </r>
    <r>
      <rPr>
        <sz val="11"/>
        <rFont val="Calibri"/>
        <family val="2"/>
        <scheme val="minor"/>
      </rPr>
      <t>;K</t>
    </r>
    <r>
      <rPr>
        <vertAlign val="subscript"/>
        <sz val="11"/>
        <rFont val="Calibri"/>
        <family val="2"/>
        <scheme val="minor"/>
      </rPr>
      <t>VFA,AMETO</t>
    </r>
    <r>
      <rPr>
        <sz val="11"/>
        <rFont val="Calibri"/>
        <family val="2"/>
        <scheme val="minor"/>
      </rPr>
      <t>;Ki</t>
    </r>
    <r>
      <rPr>
        <vertAlign val="subscript"/>
        <sz val="11"/>
        <rFont val="Calibri"/>
        <family val="2"/>
        <scheme val="minor"/>
      </rPr>
      <t>VFA,AMETO</t>
    </r>
    <r>
      <rPr>
        <sz val="11"/>
        <rFont val="Calibri"/>
        <family val="2"/>
        <scheme val="minor"/>
      </rPr>
      <t>)</t>
    </r>
  </si>
  <si>
    <r>
      <t>Minh</t>
    </r>
    <r>
      <rPr>
        <vertAlign val="subscript"/>
        <sz val="11"/>
        <rFont val="Calibri"/>
        <family val="2"/>
        <scheme val="minor"/>
      </rPr>
      <t>SNHx,KiNHx,ASSIM</t>
    </r>
  </si>
  <si>
    <r>
      <t>Minh(S</t>
    </r>
    <r>
      <rPr>
        <vertAlign val="subscript"/>
        <sz val="11"/>
        <rFont val="Calibri"/>
        <family val="2"/>
        <scheme val="minor"/>
      </rPr>
      <t>NHx</t>
    </r>
    <r>
      <rPr>
        <sz val="11"/>
        <rFont val="Calibri"/>
        <family val="2"/>
        <scheme val="minor"/>
      </rPr>
      <t>;Ki</t>
    </r>
    <r>
      <rPr>
        <vertAlign val="subscript"/>
        <sz val="11"/>
        <rFont val="Calibri"/>
        <family val="2"/>
        <scheme val="minor"/>
      </rPr>
      <t>NHx,ASSIM</t>
    </r>
    <r>
      <rPr>
        <sz val="11"/>
        <rFont val="Calibri"/>
        <family val="2"/>
        <scheme val="minor"/>
      </rPr>
      <t>)</t>
    </r>
  </si>
  <si>
    <t>Saturation term for slowly biodegradable substrate (hydrolysis)</t>
  </si>
  <si>
    <t>Saturation term for anaerobic endogenous decay products (hydrolysis)</t>
  </si>
  <si>
    <r>
      <t>Saturation term for NO</t>
    </r>
    <r>
      <rPr>
        <vertAlign val="subscript"/>
        <sz val="11"/>
        <color rgb="FF000000"/>
        <rFont val="Calibri"/>
        <family val="2"/>
        <scheme val="minor"/>
      </rPr>
      <t>2</t>
    </r>
    <r>
      <rPr>
        <sz val="11"/>
        <color rgb="FF000000"/>
        <rFont val="Calibri"/>
        <family val="2"/>
        <charset val="238"/>
        <scheme val="minor"/>
      </rPr>
      <t xml:space="preserve"> (assimilative reduction)</t>
    </r>
  </si>
  <si>
    <r>
      <t>Saturation term for NO</t>
    </r>
    <r>
      <rPr>
        <vertAlign val="subscript"/>
        <sz val="11"/>
        <color rgb="FF000000"/>
        <rFont val="Calibri"/>
        <family val="2"/>
        <scheme val="minor"/>
      </rPr>
      <t>3</t>
    </r>
    <r>
      <rPr>
        <sz val="11"/>
        <color rgb="FF000000"/>
        <rFont val="Calibri"/>
        <family val="2"/>
        <charset val="238"/>
        <scheme val="minor"/>
      </rPr>
      <t xml:space="preserve"> (assimilative reduction)</t>
    </r>
  </si>
  <si>
    <r>
      <t>Inhibition term for NO</t>
    </r>
    <r>
      <rPr>
        <vertAlign val="subscript"/>
        <sz val="11"/>
        <color rgb="FF000000"/>
        <rFont val="Calibri"/>
        <family val="2"/>
        <scheme val="minor"/>
      </rPr>
      <t>2</t>
    </r>
    <r>
      <rPr>
        <sz val="11"/>
        <color rgb="FF000000"/>
        <rFont val="Calibri"/>
        <family val="2"/>
        <charset val="238"/>
        <scheme val="minor"/>
      </rPr>
      <t xml:space="preserve"> (assimilative reduction)</t>
    </r>
  </si>
  <si>
    <r>
      <t>Inhibition term for PO</t>
    </r>
    <r>
      <rPr>
        <vertAlign val="subscript"/>
        <sz val="11"/>
        <color rgb="FF000000"/>
        <rFont val="Calibri"/>
        <family val="2"/>
        <scheme val="minor"/>
      </rPr>
      <t>4</t>
    </r>
    <r>
      <rPr>
        <sz val="11"/>
        <color rgb="FF000000"/>
        <rFont val="Calibri"/>
        <family val="2"/>
        <charset val="238"/>
        <scheme val="minor"/>
      </rPr>
      <t xml:space="preserve"> in redissolution of HFO</t>
    </r>
  </si>
  <si>
    <r>
      <t>Saturation term for PO</t>
    </r>
    <r>
      <rPr>
        <vertAlign val="subscript"/>
        <sz val="11"/>
        <color rgb="FF000000"/>
        <rFont val="Calibri"/>
        <family val="2"/>
        <scheme val="minor"/>
      </rPr>
      <t>4</t>
    </r>
    <r>
      <rPr>
        <sz val="11"/>
        <color rgb="FF000000"/>
        <rFont val="Calibri"/>
        <family val="2"/>
        <charset val="238"/>
        <scheme val="minor"/>
      </rPr>
      <t xml:space="preserve"> binding on HFO</t>
    </r>
  </si>
  <si>
    <r>
      <t>Msat</t>
    </r>
    <r>
      <rPr>
        <vertAlign val="subscript"/>
        <sz val="11"/>
        <rFont val="Calibri"/>
        <family val="2"/>
        <scheme val="minor"/>
      </rPr>
      <t>XACP,KACP,DISS</t>
    </r>
  </si>
  <si>
    <t>Saturation term for ACP dissolution</t>
  </si>
  <si>
    <r>
      <t>Msat(X</t>
    </r>
    <r>
      <rPr>
        <vertAlign val="subscript"/>
        <sz val="11"/>
        <rFont val="Calibri"/>
        <family val="2"/>
        <scheme val="minor"/>
      </rPr>
      <t>ACP</t>
    </r>
    <r>
      <rPr>
        <sz val="11"/>
        <rFont val="Calibri"/>
        <family val="2"/>
        <scheme val="minor"/>
      </rPr>
      <t>;K</t>
    </r>
    <r>
      <rPr>
        <vertAlign val="subscript"/>
        <sz val="11"/>
        <rFont val="Calibri"/>
        <family val="2"/>
        <scheme val="minor"/>
      </rPr>
      <t>ACP,DISS</t>
    </r>
    <r>
      <rPr>
        <sz val="11"/>
        <rFont val="Calibri"/>
        <family val="2"/>
        <scheme val="minor"/>
      </rPr>
      <t>)</t>
    </r>
  </si>
  <si>
    <r>
      <t>Msat</t>
    </r>
    <r>
      <rPr>
        <vertAlign val="subscript"/>
        <sz val="11"/>
        <rFont val="Calibri"/>
        <family val="2"/>
        <scheme val="minor"/>
      </rPr>
      <t>XCaCO3,KCaCO3,DISS</t>
    </r>
  </si>
  <si>
    <t>Saturation term for calcium carbonate dissolution</t>
  </si>
  <si>
    <r>
      <t>Msat(X</t>
    </r>
    <r>
      <rPr>
        <vertAlign val="subscript"/>
        <sz val="11"/>
        <rFont val="Calibri"/>
        <family val="2"/>
        <scheme val="minor"/>
      </rPr>
      <t>CaCO3</t>
    </r>
    <r>
      <rPr>
        <sz val="11"/>
        <rFont val="Calibri"/>
        <family val="2"/>
        <scheme val="minor"/>
      </rPr>
      <t>;K</t>
    </r>
    <r>
      <rPr>
        <vertAlign val="subscript"/>
        <sz val="11"/>
        <rFont val="Calibri"/>
        <family val="2"/>
        <scheme val="minor"/>
      </rPr>
      <t>CaCO3,DISS</t>
    </r>
    <r>
      <rPr>
        <sz val="11"/>
        <rFont val="Calibri"/>
        <family val="2"/>
        <scheme val="minor"/>
      </rPr>
      <t>)</t>
    </r>
  </si>
  <si>
    <r>
      <t>Msat</t>
    </r>
    <r>
      <rPr>
        <vertAlign val="subscript"/>
        <sz val="11"/>
        <rFont val="Calibri"/>
        <family val="2"/>
        <scheme val="minor"/>
      </rPr>
      <t>XSTR,KSTR,DISS</t>
    </r>
  </si>
  <si>
    <t>Saturation term for struvite dissolution</t>
  </si>
  <si>
    <r>
      <t>Msat(X</t>
    </r>
    <r>
      <rPr>
        <vertAlign val="subscript"/>
        <sz val="11"/>
        <rFont val="Calibri"/>
        <family val="2"/>
        <scheme val="minor"/>
      </rPr>
      <t>STR</t>
    </r>
    <r>
      <rPr>
        <sz val="11"/>
        <rFont val="Calibri"/>
        <family val="2"/>
        <scheme val="minor"/>
      </rPr>
      <t>;K</t>
    </r>
    <r>
      <rPr>
        <vertAlign val="subscript"/>
        <sz val="11"/>
        <rFont val="Calibri"/>
        <family val="2"/>
        <scheme val="minor"/>
      </rPr>
      <t>STR,DISS</t>
    </r>
    <r>
      <rPr>
        <sz val="11"/>
        <rFont val="Calibri"/>
        <family val="2"/>
        <scheme val="minor"/>
      </rPr>
      <t>)</t>
    </r>
  </si>
  <si>
    <r>
      <t>Msat</t>
    </r>
    <r>
      <rPr>
        <vertAlign val="subscript"/>
        <sz val="11"/>
        <rFont val="Calibri"/>
        <family val="2"/>
        <scheme val="minor"/>
      </rPr>
      <t>XVivi,KVivi,DISS</t>
    </r>
  </si>
  <si>
    <t>Saturation term for vivianite dissolution</t>
  </si>
  <si>
    <r>
      <t>Msat(X</t>
    </r>
    <r>
      <rPr>
        <vertAlign val="subscript"/>
        <sz val="11"/>
        <rFont val="Calibri"/>
        <family val="2"/>
        <scheme val="minor"/>
      </rPr>
      <t>Vivi</t>
    </r>
    <r>
      <rPr>
        <sz val="11"/>
        <rFont val="Calibri"/>
        <family val="2"/>
        <scheme val="minor"/>
      </rPr>
      <t>;K</t>
    </r>
    <r>
      <rPr>
        <vertAlign val="subscript"/>
        <sz val="11"/>
        <rFont val="Calibri"/>
        <family val="2"/>
        <scheme val="minor"/>
      </rPr>
      <t>Vivi,DISS</t>
    </r>
    <r>
      <rPr>
        <sz val="11"/>
        <rFont val="Calibri"/>
        <family val="2"/>
        <scheme val="minor"/>
      </rPr>
      <t>)</t>
    </r>
  </si>
  <si>
    <r>
      <t>µ</t>
    </r>
    <r>
      <rPr>
        <vertAlign val="subscript"/>
        <sz val="11"/>
        <color indexed="8"/>
        <rFont val="Calibri"/>
        <family val="2"/>
        <scheme val="minor"/>
      </rPr>
      <t>FERM,PAO,T</t>
    </r>
  </si>
  <si>
    <t>Fermentation growth rate of PAOs (temperature corrected)</t>
  </si>
  <si>
    <r>
      <t>µ</t>
    </r>
    <r>
      <rPr>
        <vertAlign val="subscript"/>
        <sz val="11"/>
        <color indexed="8"/>
        <rFont val="Calibri"/>
        <family val="2"/>
        <scheme val="minor"/>
      </rPr>
      <t>FERM,PAO</t>
    </r>
    <r>
      <rPr>
        <sz val="11"/>
        <color indexed="8"/>
        <rFont val="Calibri"/>
        <family val="2"/>
        <scheme val="minor"/>
      </rPr>
      <t>*Arrh(θ</t>
    </r>
    <r>
      <rPr>
        <vertAlign val="subscript"/>
        <sz val="11"/>
        <color indexed="8"/>
        <rFont val="Calibri"/>
        <family val="2"/>
        <scheme val="minor"/>
      </rPr>
      <t>FERM,PAO</t>
    </r>
    <r>
      <rPr>
        <sz val="11"/>
        <color indexed="8"/>
        <rFont val="Calibri"/>
        <family val="2"/>
        <scheme val="minor"/>
      </rPr>
      <t>; T; T</t>
    </r>
    <r>
      <rPr>
        <vertAlign val="subscript"/>
        <sz val="11"/>
        <color indexed="8"/>
        <rFont val="Calibri"/>
        <family val="2"/>
        <scheme val="minor"/>
      </rPr>
      <t>base</t>
    </r>
    <r>
      <rPr>
        <sz val="11"/>
        <color indexed="8"/>
        <rFont val="Calibri"/>
        <family val="2"/>
        <scheme val="minor"/>
      </rPr>
      <t>)</t>
    </r>
  </si>
  <si>
    <t>Maximum specific growth rate of OHOs (temperature corrected)</t>
  </si>
  <si>
    <t>Fermentation growth rate of OHOs (temperature corrected)</t>
  </si>
  <si>
    <t>Decay rate of OHOs (temperature corrected)</t>
  </si>
  <si>
    <t>Maximum specific growth rate of MEOLOs (temperature corrected)</t>
  </si>
  <si>
    <t>Decay rate of MEOLOs (temperature corrected)</t>
  </si>
  <si>
    <t>Maximum specific growth rate of PAOs under P limited (temperature corrected)</t>
  </si>
  <si>
    <t>Rate of VFA storage into PHA for PAOs (temperature corrected)</t>
  </si>
  <si>
    <t>Rate of maintenance under anaerobic conditions (PP cleavage) of PAOs (temperature corrected)</t>
  </si>
  <si>
    <t>Maximum specific growth rate of AOBs (temperature corrected)</t>
  </si>
  <si>
    <t>Decay rate of AOBs (temperature corrected)</t>
  </si>
  <si>
    <t>Maximum specific growth rate of NOBs (temperature corrected)</t>
  </si>
  <si>
    <t>Decay rate of NOBs (temperature corrected)</t>
  </si>
  <si>
    <t>Maximum specific growth rate of AMXs (temperature corrected)</t>
  </si>
  <si>
    <t>Decay rate of AMXs (temperature corrected)</t>
  </si>
  <si>
    <t>Maximum specific growth rate of AMETOs (temperature corrected)</t>
  </si>
  <si>
    <t>Decay rate of AMETOs (temperature corrected)</t>
  </si>
  <si>
    <t>Maximum specific growth rate of HMETOs (temperature corrected)</t>
  </si>
  <si>
    <t>Decay rate of HMETOs (temperature corrected)</t>
  </si>
  <si>
    <t>Rate of flocculation (temperature corrected)</t>
  </si>
  <si>
    <t>Rate of hydrolysis (temperature corrected)</t>
  </si>
  <si>
    <t>Rate of ammonification (temperature corrected)</t>
  </si>
  <si>
    <t>Rate of soluble biodegradable organic P conversion (temperature corrected)</t>
  </si>
  <si>
    <t>Rate of endogenous decay products conversion (temperature corrected)</t>
  </si>
  <si>
    <t>Rate of assimilative nutrient reduction (temperature corrected)</t>
  </si>
  <si>
    <r>
      <t>Rate of Fe</t>
    </r>
    <r>
      <rPr>
        <vertAlign val="subscript"/>
        <sz val="11"/>
        <color rgb="FF000000"/>
        <rFont val="Calibri"/>
        <family val="2"/>
        <scheme val="minor"/>
      </rPr>
      <t>2</t>
    </r>
    <r>
      <rPr>
        <sz val="11"/>
        <color rgb="FF000000"/>
        <rFont val="Calibri"/>
        <family val="2"/>
        <charset val="238"/>
        <scheme val="minor"/>
      </rPr>
      <t xml:space="preserve"> oxidation (temperature corrected)</t>
    </r>
  </si>
  <si>
    <t>Rate of HFO reduction with organics (temperature corrected)</t>
  </si>
  <si>
    <r>
      <t>q</t>
    </r>
    <r>
      <rPr>
        <vertAlign val="subscript"/>
        <sz val="11"/>
        <color indexed="8"/>
        <rFont val="Calibri"/>
        <family val="2"/>
        <scheme val="minor"/>
      </rPr>
      <t>Fe2,OX,T</t>
    </r>
  </si>
  <si>
    <r>
      <t>q</t>
    </r>
    <r>
      <rPr>
        <vertAlign val="subscript"/>
        <sz val="11"/>
        <color indexed="8"/>
        <rFont val="Calibri"/>
        <family val="2"/>
        <scheme val="minor"/>
      </rPr>
      <t>Fe2,OX</t>
    </r>
    <r>
      <rPr>
        <sz val="11"/>
        <color indexed="8"/>
        <rFont val="Calibri"/>
        <family val="2"/>
        <scheme val="minor"/>
      </rPr>
      <t>*Arrh(θ</t>
    </r>
    <r>
      <rPr>
        <vertAlign val="subscript"/>
        <sz val="11"/>
        <color indexed="8"/>
        <rFont val="Calibri"/>
        <family val="2"/>
        <scheme val="minor"/>
      </rPr>
      <t>q,Fe2,OX</t>
    </r>
    <r>
      <rPr>
        <sz val="11"/>
        <color indexed="8"/>
        <rFont val="Calibri"/>
        <family val="2"/>
        <scheme val="minor"/>
      </rPr>
      <t>; T; T</t>
    </r>
    <r>
      <rPr>
        <vertAlign val="subscript"/>
        <sz val="11"/>
        <color indexed="8"/>
        <rFont val="Calibri"/>
        <family val="2"/>
        <scheme val="minor"/>
      </rPr>
      <t>base</t>
    </r>
    <r>
      <rPr>
        <sz val="11"/>
        <color indexed="8"/>
        <rFont val="Calibri"/>
        <family val="2"/>
        <scheme val="minor"/>
      </rPr>
      <t>)</t>
    </r>
  </si>
  <si>
    <r>
      <t>θ</t>
    </r>
    <r>
      <rPr>
        <vertAlign val="subscript"/>
        <sz val="11"/>
        <color indexed="8"/>
        <rFont val="Calibri"/>
        <family val="2"/>
        <scheme val="minor"/>
      </rPr>
      <t>q,Fe2,OX</t>
    </r>
  </si>
  <si>
    <t>Dissociation constant of water (temperature corrected)</t>
  </si>
  <si>
    <t>Dissociation constant of carbonate first step (temperature corrected)</t>
  </si>
  <si>
    <t>Dissociation constant of carbonate second step (temperature corrected)</t>
  </si>
  <si>
    <t>Dissociation constant of phosphate first step (temperature corrected)</t>
  </si>
  <si>
    <t>Dissociation constant of phosphate second step (temperature corrected)</t>
  </si>
  <si>
    <t>Dissociation constant of phosphate third step (temperature corrected)</t>
  </si>
  <si>
    <t>Dissociation constant of acetate (temperature corrected)</t>
  </si>
  <si>
    <t>Dissociation constant of ammonia (temperature corrected)</t>
  </si>
  <si>
    <t>Dissociation constant of water (activity corrected)</t>
  </si>
  <si>
    <t>Dissociation constant of carbonate first step (activity corrected)</t>
  </si>
  <si>
    <t>Dissociation constant of carbonate second step (activity corrected)</t>
  </si>
  <si>
    <t>Dissociation constant of phosphate first step (activity corrected)</t>
  </si>
  <si>
    <t>Dissociation constant of phosphate second step (activity corrected)</t>
  </si>
  <si>
    <t>Dissociation constant of phosphate third step (activity corrected)</t>
  </si>
  <si>
    <t>Dissociation constant of acetate (activity corrected)</t>
  </si>
  <si>
    <t>Dissociation constant of ammonia (activity corrected)</t>
  </si>
  <si>
    <t>Dissociation constant of nitrous acid (temperature corrected)</t>
  </si>
  <si>
    <r>
      <t>K</t>
    </r>
    <r>
      <rPr>
        <vertAlign val="subscript"/>
        <sz val="11"/>
        <rFont val="Calibri"/>
        <family val="2"/>
        <scheme val="minor"/>
      </rPr>
      <t>Ac</t>
    </r>
  </si>
  <si>
    <r>
      <t>K</t>
    </r>
    <r>
      <rPr>
        <vertAlign val="subscript"/>
        <sz val="11"/>
        <rFont val="Calibri"/>
        <family val="2"/>
        <scheme val="minor"/>
      </rPr>
      <t>Ac,T</t>
    </r>
    <r>
      <rPr>
        <sz val="11"/>
        <rFont val="Calibri"/>
        <family val="2"/>
        <scheme val="minor"/>
      </rPr>
      <t>/f</t>
    </r>
    <r>
      <rPr>
        <vertAlign val="subscript"/>
        <sz val="11"/>
        <rFont val="Calibri"/>
        <family val="2"/>
        <scheme val="minor"/>
      </rPr>
      <t>mono</t>
    </r>
    <r>
      <rPr>
        <sz val="11"/>
        <rFont val="Calibri"/>
        <family val="2"/>
        <scheme val="minor"/>
      </rPr>
      <t>^2</t>
    </r>
  </si>
  <si>
    <r>
      <t>K</t>
    </r>
    <r>
      <rPr>
        <vertAlign val="subscript"/>
        <sz val="11"/>
        <rFont val="Calibri"/>
        <family val="2"/>
        <scheme val="minor"/>
      </rPr>
      <t>NO2</t>
    </r>
  </si>
  <si>
    <r>
      <t>K</t>
    </r>
    <r>
      <rPr>
        <vertAlign val="subscript"/>
        <sz val="11"/>
        <rFont val="Calibri"/>
        <family val="2"/>
        <scheme val="minor"/>
      </rPr>
      <t>NO2,T</t>
    </r>
    <r>
      <rPr>
        <sz val="11"/>
        <rFont val="Calibri"/>
        <family val="2"/>
        <scheme val="minor"/>
      </rPr>
      <t>/f</t>
    </r>
    <r>
      <rPr>
        <vertAlign val="subscript"/>
        <sz val="11"/>
        <rFont val="Calibri"/>
        <family val="2"/>
        <scheme val="minor"/>
      </rPr>
      <t>mono</t>
    </r>
    <r>
      <rPr>
        <sz val="11"/>
        <rFont val="Calibri"/>
        <family val="2"/>
        <scheme val="minor"/>
      </rPr>
      <t>^2</t>
    </r>
  </si>
  <si>
    <r>
      <t>K</t>
    </r>
    <r>
      <rPr>
        <vertAlign val="subscript"/>
        <sz val="11"/>
        <rFont val="Calibri"/>
        <family val="2"/>
        <scheme val="minor"/>
      </rPr>
      <t>NH3</t>
    </r>
  </si>
  <si>
    <r>
      <t>K</t>
    </r>
    <r>
      <rPr>
        <vertAlign val="subscript"/>
        <sz val="11"/>
        <rFont val="Calibri"/>
        <family val="2"/>
        <scheme val="minor"/>
      </rPr>
      <t>NH3,T</t>
    </r>
  </si>
  <si>
    <t>r73</t>
  </si>
  <si>
    <t>r74</t>
  </si>
  <si>
    <r>
      <t>Ki</t>
    </r>
    <r>
      <rPr>
        <vertAlign val="subscript"/>
        <sz val="11"/>
        <rFont val="Calibri"/>
        <family val="2"/>
        <scheme val="minor"/>
      </rPr>
      <t>HNO2,AMX,pH</t>
    </r>
  </si>
  <si>
    <r>
      <t>Ki</t>
    </r>
    <r>
      <rPr>
        <vertAlign val="subscript"/>
        <sz val="11"/>
        <rFont val="Calibri"/>
        <family val="2"/>
      </rPr>
      <t>HNO2,AMX,pH,AS</t>
    </r>
  </si>
  <si>
    <r>
      <t>K</t>
    </r>
    <r>
      <rPr>
        <vertAlign val="subscript"/>
        <sz val="11"/>
        <color indexed="8"/>
        <rFont val="Calibri"/>
        <family val="2"/>
        <scheme val="minor"/>
      </rPr>
      <t>STR,DISS</t>
    </r>
  </si>
  <si>
    <r>
      <t>K</t>
    </r>
    <r>
      <rPr>
        <vertAlign val="subscript"/>
        <sz val="11"/>
        <color indexed="8"/>
        <rFont val="Calibri"/>
        <family val="2"/>
        <scheme val="minor"/>
      </rPr>
      <t>ACP,DISS</t>
    </r>
  </si>
  <si>
    <r>
      <t>K</t>
    </r>
    <r>
      <rPr>
        <vertAlign val="subscript"/>
        <sz val="11"/>
        <color indexed="8"/>
        <rFont val="Calibri"/>
        <family val="2"/>
        <scheme val="minor"/>
      </rPr>
      <t>CaCO3,DISS</t>
    </r>
  </si>
  <si>
    <r>
      <t>K</t>
    </r>
    <r>
      <rPr>
        <vertAlign val="subscript"/>
        <sz val="11"/>
        <color indexed="8"/>
        <rFont val="Calibri"/>
        <family val="2"/>
        <scheme val="minor"/>
      </rPr>
      <t>Vivi,DISS</t>
    </r>
  </si>
  <si>
    <r>
      <t>K</t>
    </r>
    <r>
      <rPr>
        <vertAlign val="subscript"/>
        <sz val="11"/>
        <rFont val="Calibri"/>
        <family val="2"/>
        <scheme val="minor"/>
      </rPr>
      <t>Ac,T</t>
    </r>
  </si>
  <si>
    <r>
      <t>K</t>
    </r>
    <r>
      <rPr>
        <vertAlign val="subscript"/>
        <sz val="11"/>
        <rFont val="Calibri"/>
        <family val="2"/>
      </rPr>
      <t>NO2,T</t>
    </r>
  </si>
  <si>
    <r>
      <t>S</t>
    </r>
    <r>
      <rPr>
        <vertAlign val="subscript"/>
        <sz val="11"/>
        <rFont val="Calibri"/>
        <family val="2"/>
        <scheme val="minor"/>
      </rPr>
      <t>VFA</t>
    </r>
    <r>
      <rPr>
        <sz val="11"/>
        <rFont val="Calibri"/>
        <family val="2"/>
        <scheme val="minor"/>
      </rPr>
      <t>/(4*AM</t>
    </r>
    <r>
      <rPr>
        <vertAlign val="subscript"/>
        <sz val="11"/>
        <rFont val="Calibri"/>
        <family val="2"/>
        <scheme val="minor"/>
      </rPr>
      <t>O</t>
    </r>
    <r>
      <rPr>
        <sz val="11"/>
        <rFont val="Calibri"/>
        <family val="2"/>
        <scheme val="minor"/>
      </rPr>
      <t>*1000)*K</t>
    </r>
    <r>
      <rPr>
        <vertAlign val="subscript"/>
        <sz val="11"/>
        <rFont val="Calibri"/>
        <family val="2"/>
        <scheme val="minor"/>
      </rPr>
      <t>Ac</t>
    </r>
    <r>
      <rPr>
        <sz val="11"/>
        <rFont val="Calibri"/>
        <family val="2"/>
        <scheme val="minor"/>
      </rPr>
      <t>/([H</t>
    </r>
    <r>
      <rPr>
        <vertAlign val="superscript"/>
        <sz val="11"/>
        <rFont val="Calibri"/>
        <family val="2"/>
        <scheme val="minor"/>
      </rPr>
      <t>+</t>
    </r>
    <r>
      <rPr>
        <sz val="11"/>
        <rFont val="Calibri"/>
        <family val="2"/>
        <scheme val="minor"/>
      </rPr>
      <t>]</t>
    </r>
    <r>
      <rPr>
        <vertAlign val="subscript"/>
        <sz val="11"/>
        <rFont val="Calibri"/>
        <family val="2"/>
        <scheme val="minor"/>
      </rPr>
      <t>eq</t>
    </r>
    <r>
      <rPr>
        <sz val="11"/>
        <rFont val="Calibri"/>
        <family val="2"/>
        <scheme val="minor"/>
      </rPr>
      <t xml:space="preserve"> + K</t>
    </r>
    <r>
      <rPr>
        <vertAlign val="subscript"/>
        <sz val="11"/>
        <rFont val="Calibri"/>
        <family val="2"/>
        <scheme val="minor"/>
      </rPr>
      <t>Ac</t>
    </r>
    <r>
      <rPr>
        <sz val="11"/>
        <rFont val="Calibri"/>
        <family val="2"/>
        <scheme val="minor"/>
      </rPr>
      <t>)</t>
    </r>
  </si>
  <si>
    <r>
      <t>K</t>
    </r>
    <r>
      <rPr>
        <vertAlign val="subscript"/>
        <sz val="11"/>
        <rFont val="Calibri"/>
        <family val="2"/>
        <scheme val="minor"/>
      </rPr>
      <t>NO2</t>
    </r>
    <r>
      <rPr>
        <sz val="11"/>
        <rFont val="Calibri"/>
        <family val="2"/>
        <scheme val="minor"/>
      </rPr>
      <t>*S</t>
    </r>
    <r>
      <rPr>
        <vertAlign val="subscript"/>
        <sz val="11"/>
        <rFont val="Calibri"/>
        <family val="2"/>
        <scheme val="minor"/>
      </rPr>
      <t>NO2</t>
    </r>
    <r>
      <rPr>
        <sz val="11"/>
        <rFont val="Calibri"/>
        <family val="2"/>
        <scheme val="minor"/>
      </rPr>
      <t>/(AM</t>
    </r>
    <r>
      <rPr>
        <vertAlign val="subscript"/>
        <sz val="11"/>
        <rFont val="Calibri"/>
        <family val="2"/>
        <scheme val="minor"/>
      </rPr>
      <t>N</t>
    </r>
    <r>
      <rPr>
        <sz val="11"/>
        <rFont val="Calibri"/>
        <family val="2"/>
        <scheme val="minor"/>
      </rPr>
      <t>*1000)/([H</t>
    </r>
    <r>
      <rPr>
        <vertAlign val="superscript"/>
        <sz val="11"/>
        <rFont val="Calibri"/>
        <family val="2"/>
        <scheme val="minor"/>
      </rPr>
      <t>+</t>
    </r>
    <r>
      <rPr>
        <sz val="11"/>
        <rFont val="Calibri"/>
        <family val="2"/>
        <scheme val="minor"/>
      </rPr>
      <t>]</t>
    </r>
    <r>
      <rPr>
        <vertAlign val="subscript"/>
        <sz val="11"/>
        <rFont val="Calibri"/>
        <family val="2"/>
        <scheme val="minor"/>
      </rPr>
      <t>eq</t>
    </r>
    <r>
      <rPr>
        <sz val="11"/>
        <rFont val="Calibri"/>
        <family val="2"/>
        <scheme val="minor"/>
      </rPr>
      <t>+K</t>
    </r>
    <r>
      <rPr>
        <vertAlign val="subscript"/>
        <sz val="11"/>
        <rFont val="Calibri"/>
        <family val="2"/>
        <scheme val="minor"/>
      </rPr>
      <t>NO2</t>
    </r>
    <r>
      <rPr>
        <sz val="11"/>
        <rFont val="Calibri"/>
        <family val="2"/>
        <scheme val="minor"/>
      </rPr>
      <t>)</t>
    </r>
  </si>
  <si>
    <r>
      <t>[H</t>
    </r>
    <r>
      <rPr>
        <vertAlign val="superscript"/>
        <sz val="11"/>
        <rFont val="Calibri"/>
        <family val="2"/>
      </rPr>
      <t>+</t>
    </r>
    <r>
      <rPr>
        <sz val="11"/>
        <rFont val="Calibri"/>
        <family val="2"/>
      </rPr>
      <t>]*S</t>
    </r>
    <r>
      <rPr>
        <vertAlign val="subscript"/>
        <sz val="11"/>
        <rFont val="Calibri"/>
        <family val="2"/>
      </rPr>
      <t>VFA</t>
    </r>
    <r>
      <rPr>
        <sz val="11"/>
        <rFont val="Calibri"/>
        <family val="2"/>
      </rPr>
      <t>/(4*AM</t>
    </r>
    <r>
      <rPr>
        <vertAlign val="subscript"/>
        <sz val="11"/>
        <rFont val="Calibri"/>
        <family val="2"/>
      </rPr>
      <t>O</t>
    </r>
    <r>
      <rPr>
        <sz val="11"/>
        <rFont val="Calibri"/>
        <family val="2"/>
      </rPr>
      <t>*1000)/([H</t>
    </r>
    <r>
      <rPr>
        <vertAlign val="superscript"/>
        <sz val="11"/>
        <rFont val="Calibri"/>
        <family val="2"/>
      </rPr>
      <t>+</t>
    </r>
    <r>
      <rPr>
        <sz val="11"/>
        <rFont val="Calibri"/>
        <family val="2"/>
      </rPr>
      <t>]+K</t>
    </r>
    <r>
      <rPr>
        <vertAlign val="subscript"/>
        <sz val="11"/>
        <rFont val="Calibri"/>
        <family val="2"/>
      </rPr>
      <t>Ac</t>
    </r>
    <r>
      <rPr>
        <sz val="11"/>
        <rFont val="Calibri"/>
        <family val="2"/>
      </rPr>
      <t>)</t>
    </r>
  </si>
  <si>
    <r>
      <t>S</t>
    </r>
    <r>
      <rPr>
        <vertAlign val="subscript"/>
        <sz val="11"/>
        <rFont val="Calibri"/>
        <family val="2"/>
      </rPr>
      <t>VFA</t>
    </r>
    <r>
      <rPr>
        <sz val="11"/>
        <rFont val="Calibri"/>
        <family val="2"/>
      </rPr>
      <t>/(4*AM</t>
    </r>
    <r>
      <rPr>
        <vertAlign val="subscript"/>
        <sz val="11"/>
        <rFont val="Calibri"/>
        <family val="2"/>
      </rPr>
      <t>O</t>
    </r>
    <r>
      <rPr>
        <sz val="11"/>
        <rFont val="Calibri"/>
        <family val="2"/>
      </rPr>
      <t>*1000)*K</t>
    </r>
    <r>
      <rPr>
        <vertAlign val="subscript"/>
        <sz val="11"/>
        <rFont val="Calibri"/>
        <family val="2"/>
      </rPr>
      <t>Ac</t>
    </r>
    <r>
      <rPr>
        <sz val="11"/>
        <rFont val="Calibri"/>
        <family val="2"/>
      </rPr>
      <t>/([H</t>
    </r>
    <r>
      <rPr>
        <vertAlign val="superscript"/>
        <sz val="11"/>
        <rFont val="Calibri"/>
        <family val="2"/>
      </rPr>
      <t>+</t>
    </r>
    <r>
      <rPr>
        <sz val="11"/>
        <rFont val="Calibri"/>
        <family val="2"/>
      </rPr>
      <t>]+K</t>
    </r>
    <r>
      <rPr>
        <vertAlign val="subscript"/>
        <sz val="11"/>
        <rFont val="Calibri"/>
        <family val="2"/>
      </rPr>
      <t>Ac</t>
    </r>
    <r>
      <rPr>
        <sz val="11"/>
        <rFont val="Calibri"/>
        <family val="2"/>
      </rPr>
      <t>)</t>
    </r>
  </si>
  <si>
    <r>
      <t>Inhibition term for NO</t>
    </r>
    <r>
      <rPr>
        <vertAlign val="subscript"/>
        <sz val="11"/>
        <color rgb="FF000000"/>
        <rFont val="Calibri"/>
        <family val="2"/>
        <scheme val="minor"/>
      </rPr>
      <t>2</t>
    </r>
    <r>
      <rPr>
        <sz val="11"/>
        <color rgb="FF000000"/>
        <rFont val="Calibri"/>
        <family val="2"/>
        <charset val="238"/>
        <scheme val="minor"/>
      </rPr>
      <t xml:space="preserve"> (OHO)</t>
    </r>
  </si>
  <si>
    <r>
      <t>Inhibition term for NO</t>
    </r>
    <r>
      <rPr>
        <vertAlign val="subscript"/>
        <sz val="11"/>
        <color rgb="FF000000"/>
        <rFont val="Calibri"/>
        <family val="2"/>
        <scheme val="minor"/>
      </rPr>
      <t>3</t>
    </r>
    <r>
      <rPr>
        <sz val="11"/>
        <color rgb="FF000000"/>
        <rFont val="Calibri"/>
        <family val="2"/>
        <charset val="238"/>
        <scheme val="minor"/>
      </rPr>
      <t xml:space="preserve"> (OHO)</t>
    </r>
  </si>
  <si>
    <r>
      <t>S</t>
    </r>
    <r>
      <rPr>
        <vertAlign val="subscript"/>
        <sz val="11"/>
        <rFont val="Calibri"/>
        <family val="2"/>
      </rPr>
      <t>B</t>
    </r>
    <r>
      <rPr>
        <sz val="11"/>
        <rFont val="Calibri"/>
        <family val="2"/>
      </rPr>
      <t xml:space="preserve"> fermentation with low VFA (OHO growth, anaerobic)</t>
    </r>
  </si>
  <si>
    <t>Aging of active HFO,H</t>
  </si>
  <si>
    <t>Aging of active HFO,L</t>
  </si>
  <si>
    <t>Fast binding of P on active HFO,H</t>
  </si>
  <si>
    <t>Slow binding of P on active HFO,L</t>
  </si>
  <si>
    <t>Volatile fatty acids (VFA)</t>
  </si>
  <si>
    <t>Methanol (MEOL)</t>
  </si>
  <si>
    <t>Ordinary heterotrophic organisms (OHO)</t>
  </si>
  <si>
    <t>Anoxic methanol utilizers (MEOLO)</t>
  </si>
  <si>
    <t>Aerobic ammonia oxidizers (AOB)</t>
  </si>
  <si>
    <t>Nitrite oxidizers (NOB)</t>
  </si>
  <si>
    <t>Anammox organisms (AMX)</t>
  </si>
  <si>
    <t>Acidoclastic methanogens (AMETO)</t>
  </si>
  <si>
    <t>Hydrogenotrophic methanogens (HMETO)</t>
  </si>
  <si>
    <r>
      <t>Total ammonia (NH</t>
    </r>
    <r>
      <rPr>
        <vertAlign val="subscript"/>
        <sz val="11"/>
        <color theme="1"/>
        <rFont val="Calibri"/>
        <family val="2"/>
        <scheme val="minor"/>
      </rPr>
      <t>x</t>
    </r>
    <r>
      <rPr>
        <sz val="11"/>
        <color indexed="8"/>
        <rFont val="Calibri"/>
        <family val="2"/>
      </rPr>
      <t>)</t>
    </r>
  </si>
  <si>
    <r>
      <t>Nitrite (NO</t>
    </r>
    <r>
      <rPr>
        <vertAlign val="subscript"/>
        <sz val="11"/>
        <color rgb="FF000000"/>
        <rFont val="Calibri"/>
        <family val="2"/>
        <scheme val="minor"/>
      </rPr>
      <t>2</t>
    </r>
    <r>
      <rPr>
        <sz val="11"/>
        <color rgb="FF000000"/>
        <rFont val="Calibri"/>
        <family val="2"/>
        <charset val="238"/>
        <scheme val="minor"/>
      </rPr>
      <t>)</t>
    </r>
  </si>
  <si>
    <r>
      <t>Nitrate (NO</t>
    </r>
    <r>
      <rPr>
        <vertAlign val="subscript"/>
        <sz val="11"/>
        <color rgb="FF000000"/>
        <rFont val="Calibri"/>
        <family val="2"/>
        <scheme val="minor"/>
      </rPr>
      <t>3</t>
    </r>
    <r>
      <rPr>
        <sz val="11"/>
        <color rgb="FF000000"/>
        <rFont val="Calibri"/>
        <family val="2"/>
        <charset val="238"/>
        <scheme val="minor"/>
      </rPr>
      <t>)</t>
    </r>
  </si>
  <si>
    <r>
      <t>Dissolved nitrogen (N</t>
    </r>
    <r>
      <rPr>
        <vertAlign val="subscript"/>
        <sz val="11"/>
        <color rgb="FF000000"/>
        <rFont val="Calibri"/>
        <family val="2"/>
        <scheme val="minor"/>
      </rPr>
      <t>2</t>
    </r>
    <r>
      <rPr>
        <sz val="11"/>
        <color rgb="FF000000"/>
        <rFont val="Calibri"/>
        <family val="2"/>
        <charset val="238"/>
        <scheme val="minor"/>
      </rPr>
      <t>)</t>
    </r>
  </si>
  <si>
    <r>
      <t>Particulate biodegradable organic N (from X</t>
    </r>
    <r>
      <rPr>
        <vertAlign val="subscript"/>
        <sz val="11"/>
        <color rgb="FF000000"/>
        <rFont val="Calibri"/>
        <family val="2"/>
        <scheme val="minor"/>
      </rPr>
      <t>B</t>
    </r>
    <r>
      <rPr>
        <sz val="11"/>
        <color rgb="FF000000"/>
        <rFont val="Calibri"/>
        <family val="2"/>
        <charset val="238"/>
        <scheme val="minor"/>
      </rPr>
      <t>)</t>
    </r>
  </si>
  <si>
    <r>
      <t>Orthophosphate (PO</t>
    </r>
    <r>
      <rPr>
        <vertAlign val="subscript"/>
        <sz val="11"/>
        <color rgb="FF000000"/>
        <rFont val="Calibri"/>
        <family val="2"/>
        <scheme val="minor"/>
      </rPr>
      <t>4</t>
    </r>
    <r>
      <rPr>
        <sz val="11"/>
        <color rgb="FF000000"/>
        <rFont val="Calibri"/>
        <family val="2"/>
        <charset val="238"/>
        <scheme val="minor"/>
      </rPr>
      <t>)</t>
    </r>
  </si>
  <si>
    <t>Stored polyphosphate (PP)</t>
  </si>
  <si>
    <t>Soluble biodegradable organic P (from SB)</t>
  </si>
  <si>
    <r>
      <t>Particulate biodegradable organic P (from X</t>
    </r>
    <r>
      <rPr>
        <vertAlign val="subscript"/>
        <sz val="11"/>
        <color rgb="FF000000"/>
        <rFont val="Calibri"/>
        <family val="2"/>
        <scheme val="minor"/>
      </rPr>
      <t>B</t>
    </r>
    <r>
      <rPr>
        <sz val="11"/>
        <color rgb="FF000000"/>
        <rFont val="Calibri"/>
        <family val="2"/>
        <charset val="238"/>
        <scheme val="minor"/>
      </rPr>
      <t>)</t>
    </r>
  </si>
  <si>
    <t>Particulate unbiodegradable organic P</t>
  </si>
  <si>
    <r>
      <t>Dissolved oxygen (O</t>
    </r>
    <r>
      <rPr>
        <vertAlign val="subscript"/>
        <sz val="11"/>
        <color rgb="FF000000"/>
        <rFont val="Calibri"/>
        <family val="2"/>
        <scheme val="minor"/>
      </rPr>
      <t>2</t>
    </r>
    <r>
      <rPr>
        <sz val="11"/>
        <color rgb="FF000000"/>
        <rFont val="Calibri"/>
        <family val="2"/>
        <charset val="238"/>
        <scheme val="minor"/>
      </rPr>
      <t>)</t>
    </r>
  </si>
  <si>
    <r>
      <t>Dissolved methane (CH</t>
    </r>
    <r>
      <rPr>
        <vertAlign val="subscript"/>
        <sz val="11"/>
        <color rgb="FF000000"/>
        <rFont val="Calibri"/>
        <family val="2"/>
        <scheme val="minor"/>
      </rPr>
      <t>4</t>
    </r>
    <r>
      <rPr>
        <sz val="11"/>
        <color rgb="FF000000"/>
        <rFont val="Calibri"/>
        <family val="2"/>
        <charset val="238"/>
        <scheme val="minor"/>
      </rPr>
      <t>)</t>
    </r>
  </si>
  <si>
    <r>
      <t>Dissolved hydrogen (H</t>
    </r>
    <r>
      <rPr>
        <vertAlign val="subscript"/>
        <sz val="11"/>
        <color rgb="FF000000"/>
        <rFont val="Calibri"/>
        <family val="2"/>
        <scheme val="minor"/>
      </rPr>
      <t>2</t>
    </r>
    <r>
      <rPr>
        <sz val="11"/>
        <color rgb="FF000000"/>
        <rFont val="Calibri"/>
        <family val="2"/>
        <charset val="238"/>
        <scheme val="minor"/>
      </rPr>
      <t>)</t>
    </r>
  </si>
  <si>
    <r>
      <t>Total inorganic carbon (CO</t>
    </r>
    <r>
      <rPr>
        <vertAlign val="subscript"/>
        <sz val="11"/>
        <color rgb="FF000000"/>
        <rFont val="Calibri"/>
        <family val="2"/>
        <scheme val="minor"/>
      </rPr>
      <t>2</t>
    </r>
    <r>
      <rPr>
        <sz val="11"/>
        <color rgb="FF000000"/>
        <rFont val="Calibri"/>
        <family val="2"/>
        <charset val="238"/>
        <scheme val="minor"/>
      </rPr>
      <t>)</t>
    </r>
  </si>
  <si>
    <r>
      <t>Other strong cations (as Na</t>
    </r>
    <r>
      <rPr>
        <vertAlign val="superscript"/>
        <sz val="11"/>
        <color rgb="FF000000"/>
        <rFont val="Calibri"/>
        <family val="2"/>
        <scheme val="minor"/>
      </rPr>
      <t>+</t>
    </r>
    <r>
      <rPr>
        <sz val="11"/>
        <color rgb="FF000000"/>
        <rFont val="Calibri"/>
        <family val="2"/>
        <charset val="238"/>
        <scheme val="minor"/>
      </rPr>
      <t>)</t>
    </r>
  </si>
  <si>
    <r>
      <t>Other strong anions (as Cl</t>
    </r>
    <r>
      <rPr>
        <vertAlign val="superscript"/>
        <sz val="11"/>
        <color rgb="FF000000"/>
        <rFont val="Calibri"/>
        <family val="2"/>
        <scheme val="minor"/>
      </rPr>
      <t>-</t>
    </r>
    <r>
      <rPr>
        <sz val="11"/>
        <color rgb="FF000000"/>
        <rFont val="Calibri"/>
        <family val="2"/>
        <charset val="238"/>
        <scheme val="minor"/>
      </rPr>
      <t>)</t>
    </r>
  </si>
  <si>
    <r>
      <t>Ferrous ion (Fe</t>
    </r>
    <r>
      <rPr>
        <vertAlign val="subscript"/>
        <sz val="11"/>
        <color rgb="FF000000"/>
        <rFont val="Calibri"/>
        <family val="2"/>
        <scheme val="minor"/>
      </rPr>
      <t>2</t>
    </r>
    <r>
      <rPr>
        <sz val="11"/>
        <color rgb="FF000000"/>
        <rFont val="Calibri"/>
        <family val="2"/>
        <charset val="238"/>
        <scheme val="minor"/>
      </rPr>
      <t>)</t>
    </r>
  </si>
  <si>
    <t>Active hydrous ferric oxide, high surface (HFO,H)</t>
  </si>
  <si>
    <t>Active hydrous ferric oxide, low surface (HFO,L)</t>
  </si>
  <si>
    <t>Aged unused hydrous ferric oxide (HFO,old)</t>
  </si>
  <si>
    <t>P-bound hydrous ferric oxide, high surface (HFO,H,P)</t>
  </si>
  <si>
    <t>P-bound hydrous ferric oxide, low surface (HFO,L,P)</t>
  </si>
  <si>
    <r>
      <t>Calcium carbonate (CaCO</t>
    </r>
    <r>
      <rPr>
        <vertAlign val="subscript"/>
        <sz val="11"/>
        <color theme="1"/>
        <rFont val="Calibri"/>
        <family val="2"/>
        <scheme val="minor"/>
      </rPr>
      <t>3</t>
    </r>
    <r>
      <rPr>
        <sz val="11"/>
        <color indexed="8"/>
        <rFont val="Calibri"/>
        <family val="2"/>
      </rPr>
      <t>)</t>
    </r>
  </si>
  <si>
    <t>Amorphous calcium phosphate (ACP)</t>
  </si>
  <si>
    <t>Struvite (STR)</t>
  </si>
  <si>
    <t>Vivianite (Vivi)</t>
  </si>
  <si>
    <t>Carbon dioxide gas (CO2)</t>
  </si>
  <si>
    <r>
      <t>Methane gas (CH</t>
    </r>
    <r>
      <rPr>
        <vertAlign val="subscript"/>
        <sz val="11"/>
        <color rgb="FF000000"/>
        <rFont val="Calibri"/>
        <family val="2"/>
        <scheme val="minor"/>
      </rPr>
      <t>4</t>
    </r>
    <r>
      <rPr>
        <sz val="11"/>
        <color rgb="FF000000"/>
        <rFont val="Calibri"/>
        <family val="2"/>
        <charset val="238"/>
        <scheme val="minor"/>
      </rPr>
      <t>)</t>
    </r>
  </si>
  <si>
    <r>
      <t>Hydrogen gas (H</t>
    </r>
    <r>
      <rPr>
        <vertAlign val="subscript"/>
        <sz val="11"/>
        <color rgb="FF000000"/>
        <rFont val="Calibri"/>
        <family val="2"/>
        <scheme val="minor"/>
      </rPr>
      <t>2</t>
    </r>
    <r>
      <rPr>
        <sz val="11"/>
        <color rgb="FF000000"/>
        <rFont val="Calibri"/>
        <family val="2"/>
        <charset val="238"/>
        <scheme val="minor"/>
      </rPr>
      <t>)</t>
    </r>
  </si>
  <si>
    <r>
      <t>Oxygen gas (O</t>
    </r>
    <r>
      <rPr>
        <vertAlign val="subscript"/>
        <sz val="11"/>
        <color rgb="FF000000"/>
        <rFont val="Calibri"/>
        <family val="2"/>
        <scheme val="minor"/>
      </rPr>
      <t>2</t>
    </r>
    <r>
      <rPr>
        <sz val="11"/>
        <color rgb="FF000000"/>
        <rFont val="Calibri"/>
        <family val="2"/>
        <charset val="238"/>
        <scheme val="minor"/>
      </rPr>
      <t>)</t>
    </r>
  </si>
  <si>
    <t>Ammonia gas (NH3)</t>
  </si>
  <si>
    <r>
      <t>Nitrogen gas (N</t>
    </r>
    <r>
      <rPr>
        <vertAlign val="subscript"/>
        <sz val="11"/>
        <color rgb="FF000000"/>
        <rFont val="Calibri"/>
        <family val="2"/>
        <scheme val="minor"/>
      </rPr>
      <t>2</t>
    </r>
    <r>
      <rPr>
        <sz val="11"/>
        <color rgb="FF000000"/>
        <rFont val="Calibri"/>
        <family val="2"/>
        <charset val="238"/>
        <scheme val="minor"/>
      </rPr>
      <t>)</t>
    </r>
  </si>
  <si>
    <r>
      <t>Inhibition term for NH</t>
    </r>
    <r>
      <rPr>
        <vertAlign val="subscript"/>
        <sz val="11"/>
        <color rgb="FF000000"/>
        <rFont val="Calibri"/>
        <family val="2"/>
        <scheme val="minor"/>
      </rPr>
      <t>x</t>
    </r>
    <r>
      <rPr>
        <sz val="11"/>
        <color rgb="FF000000"/>
        <rFont val="Calibri"/>
        <family val="2"/>
        <charset val="238"/>
        <scheme val="minor"/>
      </rPr>
      <t xml:space="preserve"> (assimilative reduction)</t>
    </r>
  </si>
  <si>
    <t>Dielectric constant</t>
  </si>
  <si>
    <t>Solution density</t>
  </si>
  <si>
    <t>Dissociation constant of nitrous acid (activity corrected)</t>
  </si>
  <si>
    <r>
      <t>Solubility constant of CaCO</t>
    </r>
    <r>
      <rPr>
        <vertAlign val="subscript"/>
        <sz val="11"/>
        <color rgb="FF000000"/>
        <rFont val="Calibri"/>
        <family val="2"/>
        <scheme val="minor"/>
      </rPr>
      <t>3</t>
    </r>
    <r>
      <rPr>
        <sz val="11"/>
        <color rgb="FF000000"/>
        <rFont val="Calibri"/>
        <family val="2"/>
        <charset val="238"/>
        <scheme val="minor"/>
      </rPr>
      <t xml:space="preserve"> (activity corrected)</t>
    </r>
  </si>
  <si>
    <t>Solubility constant of struvite (activity corrected)</t>
  </si>
  <si>
    <t>Solubility constant of vivianite (activity corrected)</t>
  </si>
  <si>
    <t>Solubility constant of ACP (activity corrected)</t>
  </si>
  <si>
    <t>Half-saturations for aerobic ammonia oxidizers (AOB)</t>
  </si>
  <si>
    <t>Aerobic ammonia oxidizer kinetics (AOB)</t>
  </si>
  <si>
    <t>Nitrite oxidizer kinetics (NOB)</t>
  </si>
  <si>
    <t>Anammox organism kinetics (AMX)</t>
  </si>
  <si>
    <r>
      <t>Half-inhibition of NH</t>
    </r>
    <r>
      <rPr>
        <vertAlign val="subscript"/>
        <sz val="11"/>
        <color rgb="FF000000"/>
        <rFont val="Calibri"/>
        <family val="2"/>
        <scheme val="minor"/>
      </rPr>
      <t>x</t>
    </r>
    <r>
      <rPr>
        <sz val="11"/>
        <color rgb="FF000000"/>
        <rFont val="Calibri"/>
        <family val="2"/>
        <charset val="238"/>
        <scheme val="minor"/>
      </rPr>
      <t xml:space="preserve"> in NO</t>
    </r>
    <r>
      <rPr>
        <vertAlign val="subscript"/>
        <sz val="11"/>
        <color rgb="FF000000"/>
        <rFont val="Calibri"/>
        <family val="2"/>
        <scheme val="minor"/>
      </rPr>
      <t>x</t>
    </r>
    <r>
      <rPr>
        <sz val="11"/>
        <color rgb="FF000000"/>
        <rFont val="Calibri"/>
        <family val="2"/>
        <charset val="238"/>
        <scheme val="minor"/>
      </rPr>
      <t xml:space="preserve"> assimilative reduction</t>
    </r>
  </si>
  <si>
    <r>
      <t>mol [HNO</t>
    </r>
    <r>
      <rPr>
        <vertAlign val="subscript"/>
        <sz val="11"/>
        <color indexed="8"/>
        <rFont val="Calibri"/>
        <family val="2"/>
        <scheme val="minor"/>
      </rPr>
      <t>2</t>
    </r>
    <r>
      <rPr>
        <sz val="11"/>
        <color indexed="8"/>
        <rFont val="Calibri"/>
        <family val="2"/>
        <scheme val="minor"/>
      </rPr>
      <t>].L</t>
    </r>
    <r>
      <rPr>
        <vertAlign val="superscript"/>
        <sz val="11"/>
        <color indexed="8"/>
        <rFont val="Calibri"/>
        <family val="2"/>
        <scheme val="minor"/>
      </rPr>
      <t>-1</t>
    </r>
  </si>
  <si>
    <r>
      <t>Half-saturation of NO</t>
    </r>
    <r>
      <rPr>
        <vertAlign val="subscript"/>
        <sz val="11"/>
        <color rgb="FF000000"/>
        <rFont val="Calibri"/>
        <family val="2"/>
        <scheme val="minor"/>
      </rPr>
      <t>x</t>
    </r>
    <r>
      <rPr>
        <sz val="11"/>
        <color rgb="FF000000"/>
        <rFont val="Calibri"/>
        <family val="2"/>
        <charset val="238"/>
        <scheme val="minor"/>
      </rPr>
      <t xml:space="preserve"> (anoxic conditions) for AMX</t>
    </r>
  </si>
  <si>
    <t>Half-saturations for conversions</t>
  </si>
  <si>
    <r>
      <t>g Na.m</t>
    </r>
    <r>
      <rPr>
        <vertAlign val="superscript"/>
        <sz val="11"/>
        <rFont val="Calibri"/>
        <family val="2"/>
        <scheme val="minor"/>
      </rPr>
      <t>-3</t>
    </r>
  </si>
  <si>
    <r>
      <t>g Cl.m</t>
    </r>
    <r>
      <rPr>
        <vertAlign val="superscript"/>
        <sz val="11"/>
        <rFont val="Calibri"/>
        <family val="2"/>
        <scheme val="minor"/>
      </rPr>
      <t>-3</t>
    </r>
  </si>
  <si>
    <r>
      <t>g X</t>
    </r>
    <r>
      <rPr>
        <vertAlign val="subscript"/>
        <sz val="11"/>
        <rFont val="Calibri"/>
        <family val="2"/>
        <scheme val="minor"/>
      </rPr>
      <t>E</t>
    </r>
    <r>
      <rPr>
        <sz val="11"/>
        <rFont val="Calibri"/>
        <family val="2"/>
        <scheme val="minor"/>
      </rPr>
      <t>.g X</t>
    </r>
    <r>
      <rPr>
        <vertAlign val="subscript"/>
        <sz val="11"/>
        <rFont val="Calibri"/>
        <family val="2"/>
        <scheme val="minor"/>
      </rPr>
      <t>BIO</t>
    </r>
    <r>
      <rPr>
        <vertAlign val="superscript"/>
        <sz val="11"/>
        <rFont val="Calibri"/>
        <family val="2"/>
        <scheme val="minor"/>
      </rPr>
      <t>-1</t>
    </r>
  </si>
  <si>
    <r>
      <t>g O2.g COD</t>
    </r>
    <r>
      <rPr>
        <vertAlign val="superscript"/>
        <sz val="11"/>
        <color theme="1"/>
        <rFont val="Calibri"/>
        <family val="2"/>
        <scheme val="minor"/>
      </rPr>
      <t>-1</t>
    </r>
  </si>
  <si>
    <r>
      <t>f</t>
    </r>
    <r>
      <rPr>
        <vertAlign val="subscript"/>
        <sz val="11"/>
        <rFont val="Calibri"/>
        <family val="2"/>
        <scheme val="minor"/>
      </rPr>
      <t>S,BOD5,BODult</t>
    </r>
  </si>
  <si>
    <t>Fraction of BOD5 to ultimate BOD in soluble biodegradable substrates</t>
  </si>
  <si>
    <r>
      <t>f</t>
    </r>
    <r>
      <rPr>
        <vertAlign val="subscript"/>
        <sz val="11"/>
        <rFont val="Calibri"/>
        <family val="2"/>
        <scheme val="minor"/>
      </rPr>
      <t>C,BOD5,BODult</t>
    </r>
  </si>
  <si>
    <t>Fraction of BOD5 to ultimate BOD in colloidal biodegradable substrates</t>
  </si>
  <si>
    <r>
      <t>f</t>
    </r>
    <r>
      <rPr>
        <vertAlign val="subscript"/>
        <sz val="11"/>
        <rFont val="Calibri"/>
        <family val="2"/>
        <scheme val="minor"/>
      </rPr>
      <t>X,BOD5,BODult</t>
    </r>
  </si>
  <si>
    <t>Fraction of BOD5 to ultimate BOD in particulate biodegradable substrates</t>
  </si>
  <si>
    <r>
      <t>X</t>
    </r>
    <r>
      <rPr>
        <vertAlign val="subscript"/>
        <sz val="11"/>
        <rFont val="Calibri"/>
        <family val="2"/>
        <scheme val="minor"/>
      </rPr>
      <t>BOD,ult</t>
    </r>
    <r>
      <rPr>
        <sz val="11"/>
        <rFont val="Calibri"/>
        <family val="2"/>
        <scheme val="minor"/>
      </rPr>
      <t>*f</t>
    </r>
    <r>
      <rPr>
        <vertAlign val="subscript"/>
        <sz val="11"/>
        <rFont val="Calibri"/>
        <family val="2"/>
        <scheme val="minor"/>
      </rPr>
      <t>X,BOD5,BODult</t>
    </r>
  </si>
  <si>
    <r>
      <t>S</t>
    </r>
    <r>
      <rPr>
        <vertAlign val="subscript"/>
        <sz val="11"/>
        <rFont val="Calibri"/>
        <family val="2"/>
      </rPr>
      <t>rbCOD</t>
    </r>
  </si>
  <si>
    <t>COD of readily biodegradable substrates</t>
  </si>
  <si>
    <r>
      <t>XC</t>
    </r>
    <r>
      <rPr>
        <vertAlign val="subscript"/>
        <sz val="11"/>
        <rFont val="Calibri"/>
        <family val="2"/>
      </rPr>
      <t>sbCOD</t>
    </r>
  </si>
  <si>
    <t>COD of slowly biodegradable substrates</t>
  </si>
  <si>
    <t>Oxygen uptake rate (OUR)</t>
  </si>
  <si>
    <t>Phosphorus uptake rate, biologically (PURBIO)</t>
  </si>
  <si>
    <t>Phosphorus uptake rate, chemically (PURCHEM)</t>
  </si>
  <si>
    <r>
      <t>S</t>
    </r>
    <r>
      <rPr>
        <vertAlign val="subscript"/>
        <sz val="11"/>
        <rFont val="Calibri"/>
        <family val="2"/>
        <scheme val="minor"/>
      </rPr>
      <t>IC</t>
    </r>
  </si>
  <si>
    <t>Strong ion correction</t>
  </si>
  <si>
    <r>
      <t>S</t>
    </r>
    <r>
      <rPr>
        <vertAlign val="subscript"/>
        <sz val="11"/>
        <rFont val="Calibri"/>
        <family val="2"/>
        <scheme val="minor"/>
      </rPr>
      <t>CAT,ini,corr</t>
    </r>
  </si>
  <si>
    <r>
      <t>Other strong cations (as Na</t>
    </r>
    <r>
      <rPr>
        <vertAlign val="superscript"/>
        <sz val="11"/>
        <color rgb="FF000000"/>
        <rFont val="Calibri"/>
        <family val="2"/>
        <scheme val="minor"/>
      </rPr>
      <t>+</t>
    </r>
    <r>
      <rPr>
        <sz val="11"/>
        <color rgb="FF000000"/>
        <rFont val="Calibri"/>
        <family val="2"/>
        <charset val="238"/>
        <scheme val="minor"/>
      </rPr>
      <t>) correction</t>
    </r>
  </si>
  <si>
    <r>
      <t>S</t>
    </r>
    <r>
      <rPr>
        <vertAlign val="subscript"/>
        <sz val="11"/>
        <color indexed="8"/>
        <rFont val="Calibri"/>
        <family val="2"/>
      </rPr>
      <t>CAT,ini</t>
    </r>
    <r>
      <rPr>
        <sz val="11"/>
        <color indexed="8"/>
        <rFont val="Calibri"/>
        <family val="2"/>
      </rPr>
      <t xml:space="preserve"> + S</t>
    </r>
    <r>
      <rPr>
        <vertAlign val="subscript"/>
        <sz val="11"/>
        <color indexed="8"/>
        <rFont val="Calibri"/>
        <family val="2"/>
      </rPr>
      <t>IC</t>
    </r>
    <r>
      <rPr>
        <sz val="11"/>
        <color indexed="8"/>
        <rFont val="Calibri"/>
        <family val="2"/>
      </rPr>
      <t>*(AM</t>
    </r>
    <r>
      <rPr>
        <vertAlign val="subscript"/>
        <sz val="11"/>
        <color indexed="8"/>
        <rFont val="Calibri"/>
        <family val="2"/>
      </rPr>
      <t>Na</t>
    </r>
    <r>
      <rPr>
        <sz val="11"/>
        <color indexed="8"/>
        <rFont val="Calibri"/>
        <family val="2"/>
      </rPr>
      <t>*1000)</t>
    </r>
  </si>
  <si>
    <r>
      <t>S</t>
    </r>
    <r>
      <rPr>
        <vertAlign val="subscript"/>
        <sz val="11"/>
        <rFont val="Calibri"/>
        <family val="2"/>
        <scheme val="minor"/>
      </rPr>
      <t>AN,ini,corr</t>
    </r>
  </si>
  <si>
    <r>
      <t>Other strong anions (as Cl</t>
    </r>
    <r>
      <rPr>
        <vertAlign val="superscript"/>
        <sz val="11"/>
        <color rgb="FF000000"/>
        <rFont val="Calibri"/>
        <family val="2"/>
        <scheme val="minor"/>
      </rPr>
      <t>-</t>
    </r>
    <r>
      <rPr>
        <sz val="11"/>
        <color rgb="FF000000"/>
        <rFont val="Calibri"/>
        <family val="2"/>
        <charset val="238"/>
        <scheme val="minor"/>
      </rPr>
      <t>) correction</t>
    </r>
  </si>
  <si>
    <r>
      <t>S</t>
    </r>
    <r>
      <rPr>
        <vertAlign val="subscript"/>
        <sz val="11"/>
        <color indexed="8"/>
        <rFont val="Calibri"/>
        <family val="2"/>
      </rPr>
      <t>AN,ini</t>
    </r>
    <r>
      <rPr>
        <sz val="11"/>
        <color indexed="8"/>
        <rFont val="Calibri"/>
        <family val="2"/>
      </rPr>
      <t xml:space="preserve"> - S</t>
    </r>
    <r>
      <rPr>
        <vertAlign val="subscript"/>
        <sz val="11"/>
        <color indexed="8"/>
        <rFont val="Calibri"/>
        <family val="2"/>
      </rPr>
      <t>IC</t>
    </r>
    <r>
      <rPr>
        <sz val="11"/>
        <color indexed="8"/>
        <rFont val="Calibri"/>
        <family val="2"/>
      </rPr>
      <t>*(AM</t>
    </r>
    <r>
      <rPr>
        <vertAlign val="subscript"/>
        <sz val="11"/>
        <color indexed="8"/>
        <rFont val="Calibri"/>
        <family val="2"/>
      </rPr>
      <t>Cl</t>
    </r>
    <r>
      <rPr>
        <sz val="11"/>
        <color indexed="8"/>
        <rFont val="Calibri"/>
        <family val="2"/>
      </rPr>
      <t>*1000)</t>
    </r>
  </si>
  <si>
    <r>
      <t>Other strong cations (as Na</t>
    </r>
    <r>
      <rPr>
        <vertAlign val="superscript"/>
        <sz val="11"/>
        <color rgb="FF000000"/>
        <rFont val="Calibri"/>
        <family val="2"/>
        <scheme val="minor"/>
      </rPr>
      <t>+</t>
    </r>
    <r>
      <rPr>
        <sz val="11"/>
        <color rgb="FF000000"/>
        <rFont val="Calibri"/>
        <family val="2"/>
        <charset val="238"/>
        <scheme val="minor"/>
      </rPr>
      <t>)</t>
    </r>
  </si>
  <si>
    <r>
      <t>If(S</t>
    </r>
    <r>
      <rPr>
        <vertAlign val="subscript"/>
        <sz val="11"/>
        <color indexed="8"/>
        <rFont val="Calibri"/>
        <family val="2"/>
      </rPr>
      <t>CAT,ini,corr</t>
    </r>
    <r>
      <rPr>
        <sz val="11"/>
        <color indexed="8"/>
        <rFont val="Calibri"/>
        <family val="2"/>
      </rPr>
      <t>&gt; 0; S</t>
    </r>
    <r>
      <rPr>
        <vertAlign val="subscript"/>
        <sz val="11"/>
        <color indexed="8"/>
        <rFont val="Calibri"/>
        <family val="2"/>
      </rPr>
      <t>CAT,ini,corr</t>
    </r>
    <r>
      <rPr>
        <sz val="11"/>
        <color theme="1"/>
        <rFont val="Calibri"/>
        <family val="2"/>
        <scheme val="minor"/>
      </rPr>
      <t>; S</t>
    </r>
    <r>
      <rPr>
        <vertAlign val="subscript"/>
        <sz val="11"/>
        <color theme="1"/>
        <rFont val="Calibri"/>
        <family val="2"/>
        <scheme val="minor"/>
      </rPr>
      <t>CAT,ini</t>
    </r>
    <r>
      <rPr>
        <sz val="11"/>
        <color indexed="8"/>
        <rFont val="Calibri"/>
        <family val="2"/>
      </rPr>
      <t>)</t>
    </r>
  </si>
  <si>
    <r>
      <t>Other strong anions (as Cl</t>
    </r>
    <r>
      <rPr>
        <vertAlign val="superscript"/>
        <sz val="11"/>
        <color rgb="FF000000"/>
        <rFont val="Calibri"/>
        <family val="2"/>
        <scheme val="minor"/>
      </rPr>
      <t>-</t>
    </r>
    <r>
      <rPr>
        <sz val="11"/>
        <color rgb="FF000000"/>
        <rFont val="Calibri"/>
        <family val="2"/>
        <charset val="238"/>
        <scheme val="minor"/>
      </rPr>
      <t>)</t>
    </r>
  </si>
  <si>
    <r>
      <t>If(S</t>
    </r>
    <r>
      <rPr>
        <vertAlign val="subscript"/>
        <sz val="11"/>
        <color theme="1"/>
        <rFont val="Calibri"/>
        <family val="2"/>
        <scheme val="minor"/>
      </rPr>
      <t>CAT,ini,corr</t>
    </r>
    <r>
      <rPr>
        <sz val="11"/>
        <color indexed="8"/>
        <rFont val="Calibri"/>
        <family val="2"/>
      </rPr>
      <t>&gt; 0; S</t>
    </r>
    <r>
      <rPr>
        <vertAlign val="subscript"/>
        <sz val="11"/>
        <color theme="1"/>
        <rFont val="Calibri"/>
        <family val="2"/>
        <scheme val="minor"/>
      </rPr>
      <t>AN,ini</t>
    </r>
    <r>
      <rPr>
        <sz val="11"/>
        <color indexed="8"/>
        <rFont val="Calibri"/>
        <family val="2"/>
      </rPr>
      <t>; S</t>
    </r>
    <r>
      <rPr>
        <vertAlign val="subscript"/>
        <sz val="11"/>
        <color theme="1"/>
        <rFont val="Calibri"/>
        <family val="2"/>
        <scheme val="minor"/>
      </rPr>
      <t>AN,ini,corr</t>
    </r>
    <r>
      <rPr>
        <sz val="11"/>
        <color indexed="8"/>
        <rFont val="Calibri"/>
        <family val="2"/>
      </rPr>
      <t>)</t>
    </r>
  </si>
  <si>
    <r>
      <t>S</t>
    </r>
    <r>
      <rPr>
        <vertAlign val="subscript"/>
        <sz val="11"/>
        <rFont val="Calibri"/>
        <family val="2"/>
        <scheme val="minor"/>
      </rPr>
      <t>BOD,5</t>
    </r>
    <r>
      <rPr>
        <sz val="11"/>
        <rFont val="Calibri"/>
        <family val="2"/>
        <scheme val="minor"/>
      </rPr>
      <t>+X</t>
    </r>
    <r>
      <rPr>
        <vertAlign val="subscript"/>
        <sz val="11"/>
        <rFont val="Calibri"/>
        <family val="2"/>
        <scheme val="minor"/>
      </rPr>
      <t>BOD,5</t>
    </r>
  </si>
  <si>
    <r>
      <t>f</t>
    </r>
    <r>
      <rPr>
        <vertAlign val="subscript"/>
        <sz val="11"/>
        <rFont val="Calibri"/>
        <family val="2"/>
        <scheme val="minor"/>
      </rPr>
      <t>H2O,HFO,TSS</t>
    </r>
  </si>
  <si>
    <r>
      <t>Fraction of H</t>
    </r>
    <r>
      <rPr>
        <vertAlign val="subscript"/>
        <sz val="11"/>
        <color rgb="FF000000"/>
        <rFont val="Calibri"/>
        <family val="2"/>
        <scheme val="minor"/>
      </rPr>
      <t>2</t>
    </r>
    <r>
      <rPr>
        <sz val="11"/>
        <color rgb="FF000000"/>
        <rFont val="Calibri"/>
        <family val="2"/>
        <charset val="238"/>
        <scheme val="minor"/>
      </rPr>
      <t>O loss in TSS test for HFO</t>
    </r>
  </si>
  <si>
    <r>
      <t>g H2O.g FeOH</t>
    </r>
    <r>
      <rPr>
        <vertAlign val="superscript"/>
        <sz val="11"/>
        <rFont val="Calibri"/>
        <family val="2"/>
        <scheme val="minor"/>
      </rPr>
      <t>-1</t>
    </r>
  </si>
  <si>
    <r>
      <t>f</t>
    </r>
    <r>
      <rPr>
        <vertAlign val="subscript"/>
        <sz val="11"/>
        <rFont val="Calibri"/>
        <family val="2"/>
        <scheme val="minor"/>
      </rPr>
      <t>H2O,HFO,VSS</t>
    </r>
  </si>
  <si>
    <t xml:space="preserve">Fraction of H2O loss in VSS test for HFO </t>
  </si>
  <si>
    <t>Me(OH)3 -&gt; Me2O3 + 3H2O</t>
  </si>
  <si>
    <t>Fe</t>
  </si>
  <si>
    <t>Al</t>
  </si>
  <si>
    <t>g H2O /g MeOH</t>
  </si>
  <si>
    <t>theoretical complete reaction</t>
  </si>
  <si>
    <t>measured loss between 105°C and 500°C</t>
  </si>
  <si>
    <t>Stricker et al. (2004) for Fe, calculation for Al</t>
  </si>
  <si>
    <r>
      <t>X</t>
    </r>
    <r>
      <rPr>
        <vertAlign val="subscript"/>
        <sz val="11"/>
        <rFont val="Calibri"/>
        <family val="2"/>
        <scheme val="minor"/>
      </rPr>
      <t>Me,TSS</t>
    </r>
  </si>
  <si>
    <t>Metal precipitates in TSS unit</t>
  </si>
  <si>
    <t>r75</t>
  </si>
  <si>
    <t>r76</t>
  </si>
  <si>
    <t>r77</t>
  </si>
  <si>
    <t>r78</t>
  </si>
  <si>
    <t>r79</t>
  </si>
  <si>
    <t>r80</t>
  </si>
  <si>
    <t>r81</t>
  </si>
  <si>
    <t>r82</t>
  </si>
  <si>
    <t>r83</t>
  </si>
  <si>
    <t>r84</t>
  </si>
  <si>
    <t>r85</t>
  </si>
  <si>
    <t>OHO anaerobic decay</t>
  </si>
  <si>
    <t>MEOLO anaerobic decay</t>
  </si>
  <si>
    <t>AOB anaerobic decay</t>
  </si>
  <si>
    <t>NOB anaerobic decay</t>
  </si>
  <si>
    <t>Anammox anaerobic decay</t>
  </si>
  <si>
    <t>AMETO anaerobic decay</t>
  </si>
  <si>
    <t>HMETO anaerobic decay</t>
  </si>
  <si>
    <r>
      <t>b</t>
    </r>
    <r>
      <rPr>
        <vertAlign val="subscript"/>
        <sz val="11"/>
        <rFont val="Calibri"/>
        <family val="2"/>
      </rPr>
      <t>OHO,T</t>
    </r>
    <r>
      <rPr>
        <sz val="11"/>
        <rFont val="Calibri"/>
        <family val="2"/>
      </rPr>
      <t>*X</t>
    </r>
    <r>
      <rPr>
        <vertAlign val="subscript"/>
        <sz val="11"/>
        <rFont val="Calibri"/>
        <family val="2"/>
      </rPr>
      <t>OHO</t>
    </r>
    <r>
      <rPr>
        <sz val="11"/>
        <rFont val="Calibri"/>
        <family val="2"/>
      </rPr>
      <t>*(Msat</t>
    </r>
    <r>
      <rPr>
        <vertAlign val="subscript"/>
        <sz val="11"/>
        <rFont val="Calibri"/>
        <family val="2"/>
      </rPr>
      <t>SO2,KO2,OHO</t>
    </r>
    <r>
      <rPr>
        <sz val="11"/>
        <rFont val="Calibri"/>
        <family val="2"/>
      </rPr>
      <t>+η</t>
    </r>
    <r>
      <rPr>
        <vertAlign val="subscript"/>
        <sz val="11"/>
        <rFont val="Calibri"/>
        <family val="2"/>
      </rPr>
      <t>b,anox</t>
    </r>
    <r>
      <rPr>
        <sz val="11"/>
        <rFont val="Calibri"/>
        <family val="2"/>
      </rPr>
      <t>*Msat</t>
    </r>
    <r>
      <rPr>
        <vertAlign val="subscript"/>
        <sz val="11"/>
        <rFont val="Calibri"/>
        <family val="2"/>
      </rPr>
      <t>SNO2,KNO2,OHO</t>
    </r>
    <r>
      <rPr>
        <sz val="11"/>
        <rFont val="Calibri"/>
        <family val="2"/>
      </rPr>
      <t>*Minh</t>
    </r>
    <r>
      <rPr>
        <vertAlign val="subscript"/>
        <sz val="11"/>
        <rFont val="Calibri"/>
        <family val="2"/>
      </rPr>
      <t>SO2,KO2,OHO</t>
    </r>
    <r>
      <rPr>
        <sz val="11"/>
        <rFont val="Calibri"/>
        <family val="2"/>
      </rPr>
      <t>+η</t>
    </r>
    <r>
      <rPr>
        <vertAlign val="subscript"/>
        <sz val="11"/>
        <rFont val="Calibri"/>
        <family val="2"/>
      </rPr>
      <t>b,anox</t>
    </r>
    <r>
      <rPr>
        <sz val="11"/>
        <rFont val="Calibri"/>
        <family val="2"/>
      </rPr>
      <t>*Msat</t>
    </r>
    <r>
      <rPr>
        <vertAlign val="subscript"/>
        <sz val="11"/>
        <rFont val="Calibri"/>
        <family val="2"/>
      </rPr>
      <t>SNO3,KNO3,OHO</t>
    </r>
    <r>
      <rPr>
        <sz val="11"/>
        <rFont val="Calibri"/>
        <family val="2"/>
      </rPr>
      <t>*Minh</t>
    </r>
    <r>
      <rPr>
        <vertAlign val="subscript"/>
        <sz val="11"/>
        <rFont val="Calibri"/>
        <family val="2"/>
      </rPr>
      <t>SNO2,KNO2,OHO</t>
    </r>
    <r>
      <rPr>
        <sz val="11"/>
        <rFont val="Calibri"/>
        <family val="2"/>
      </rPr>
      <t>*Minh</t>
    </r>
    <r>
      <rPr>
        <vertAlign val="subscript"/>
        <sz val="11"/>
        <rFont val="Calibri"/>
        <family val="2"/>
      </rPr>
      <t>SO2,KO2,OHO</t>
    </r>
    <r>
      <rPr>
        <sz val="11"/>
        <rFont val="Calibri"/>
        <family val="2"/>
      </rPr>
      <t>)</t>
    </r>
  </si>
  <si>
    <r>
      <t>b</t>
    </r>
    <r>
      <rPr>
        <vertAlign val="subscript"/>
        <sz val="11"/>
        <rFont val="Calibri"/>
        <family val="2"/>
      </rPr>
      <t>OHO,T</t>
    </r>
    <r>
      <rPr>
        <sz val="11"/>
        <rFont val="Calibri"/>
        <family val="2"/>
      </rPr>
      <t>*X</t>
    </r>
    <r>
      <rPr>
        <vertAlign val="subscript"/>
        <sz val="11"/>
        <rFont val="Calibri"/>
        <family val="2"/>
      </rPr>
      <t>OHO</t>
    </r>
    <r>
      <rPr>
        <sz val="11"/>
        <rFont val="Calibri"/>
        <family val="2"/>
      </rPr>
      <t>*</t>
    </r>
    <r>
      <rPr>
        <sz val="11"/>
        <rFont val="Calibri"/>
        <family val="2"/>
      </rPr>
      <t>η</t>
    </r>
    <r>
      <rPr>
        <vertAlign val="subscript"/>
        <sz val="11"/>
        <rFont val="Calibri"/>
        <family val="2"/>
      </rPr>
      <t>b,ana</t>
    </r>
    <r>
      <rPr>
        <sz val="11"/>
        <rFont val="Calibri"/>
        <family val="2"/>
      </rPr>
      <t>*Minh</t>
    </r>
    <r>
      <rPr>
        <vertAlign val="subscript"/>
        <sz val="11"/>
        <rFont val="Calibri"/>
        <family val="2"/>
      </rPr>
      <t>SNO2,KNO2,OHO</t>
    </r>
    <r>
      <rPr>
        <sz val="11"/>
        <rFont val="Calibri"/>
        <family val="2"/>
      </rPr>
      <t>*Minh</t>
    </r>
    <r>
      <rPr>
        <vertAlign val="subscript"/>
        <sz val="11"/>
        <rFont val="Calibri"/>
        <family val="2"/>
      </rPr>
      <t>SNO3,KNO3,OHO</t>
    </r>
    <r>
      <rPr>
        <sz val="11"/>
        <rFont val="Calibri"/>
        <family val="2"/>
      </rPr>
      <t>*Minh</t>
    </r>
    <r>
      <rPr>
        <vertAlign val="subscript"/>
        <sz val="11"/>
        <rFont val="Calibri"/>
        <family val="2"/>
      </rPr>
      <t>SO2,KO2,OHO</t>
    </r>
  </si>
  <si>
    <r>
      <t>J.m</t>
    </r>
    <r>
      <rPr>
        <vertAlign val="superscript"/>
        <sz val="11"/>
        <rFont val="Calibri"/>
        <family val="2"/>
        <scheme val="minor"/>
      </rPr>
      <t>-3</t>
    </r>
  </si>
  <si>
    <r>
      <t>Molecular mass of Fe(OH)</t>
    </r>
    <r>
      <rPr>
        <vertAlign val="subscript"/>
        <sz val="11"/>
        <rFont val="Calibri"/>
        <family val="2"/>
        <scheme val="minor"/>
      </rPr>
      <t>3</t>
    </r>
  </si>
  <si>
    <r>
      <t>Molecular mass of Al(OH)</t>
    </r>
    <r>
      <rPr>
        <vertAlign val="subscript"/>
        <sz val="11"/>
        <rFont val="Calibri"/>
        <family val="2"/>
        <scheme val="minor"/>
      </rPr>
      <t>3</t>
    </r>
  </si>
  <si>
    <r>
      <t>Molecular mass of AlPO</t>
    </r>
    <r>
      <rPr>
        <vertAlign val="subscript"/>
        <sz val="11"/>
        <rFont val="Calibri"/>
        <family val="2"/>
        <scheme val="minor"/>
      </rPr>
      <t>4</t>
    </r>
  </si>
  <si>
    <t>Dissociation constant of water</t>
  </si>
  <si>
    <t>10^-13.997 NIST  (Minteq V4) 25°C</t>
  </si>
  <si>
    <t>Dissociation constant of ammonia</t>
  </si>
  <si>
    <t>10^-9.244 NIST  (Minteq V4) 25°C</t>
  </si>
  <si>
    <t>Dissociation constant of nitrous acid</t>
  </si>
  <si>
    <t>10^-3.35 (https://pubchem.ncbi.nlm.nih.gov/compound/24529#section=Experimental-Properties)</t>
  </si>
  <si>
    <t>Dissociation constant of carbonate first step</t>
  </si>
  <si>
    <t>10^-6.352 NIST  (Minteq V4) 25°C</t>
  </si>
  <si>
    <t>Dissociation constant of carbonate second step</t>
  </si>
  <si>
    <t>10^-10.329 NIST  (Minteq V4) 25°C</t>
  </si>
  <si>
    <t>Dissociation constant of phosphate first step</t>
  </si>
  <si>
    <t>10^-2.148 NIST  (Minteq V4) 25°C</t>
  </si>
  <si>
    <t>Dissociation constant of phosphate second step</t>
  </si>
  <si>
    <t>10^-7.198 NIST  (Minteq V4) 25°C</t>
  </si>
  <si>
    <t>Dissociation constant of phosphate third step</t>
  </si>
  <si>
    <t>10^-12.375 NIST  (Minteq V4) 25°C</t>
  </si>
  <si>
    <t>Dissociation constant of acetate</t>
  </si>
  <si>
    <t>10^-4.757 NIST  (Minteq V4) 25°C</t>
  </si>
  <si>
    <t>Dissociation constant of hydrogen sulfide</t>
  </si>
  <si>
    <t>NIST  (Minteq V4) 25°C</t>
  </si>
  <si>
    <t>Dissociation constant of bisulfide ion</t>
  </si>
  <si>
    <t>Dissociation constant of sulfuric acid</t>
  </si>
  <si>
    <t>Dissociation constant of bisulfate</t>
  </si>
  <si>
    <t>NIST (Minteq V4) 25°C</t>
  </si>
  <si>
    <t>Solubility constant of ACP</t>
  </si>
  <si>
    <t>Solubility constant of vivianite</t>
  </si>
  <si>
    <t>Solubility constant of FeS</t>
  </si>
  <si>
    <t>Solubility constant of HDP</t>
  </si>
  <si>
    <t>Solubility constant of MKP</t>
  </si>
  <si>
    <r>
      <t>J.mol</t>
    </r>
    <r>
      <rPr>
        <vertAlign val="superscript"/>
        <sz val="11"/>
        <rFont val="Calibri"/>
        <family val="2"/>
        <scheme val="minor"/>
      </rPr>
      <t>-1</t>
    </r>
  </si>
  <si>
    <t>Diffusion coefficient of volatile fatty acids</t>
  </si>
  <si>
    <t>to be set accurately</t>
  </si>
  <si>
    <t>Diffusion coefficient of soluble degradable organics</t>
  </si>
  <si>
    <t>Diffusion coefficient of soluble degradable organics (monomers)</t>
  </si>
  <si>
    <t>Diffusion coefficient of soluble degradable organics (polymers)</t>
  </si>
  <si>
    <t>Diffusion coefficient of fermentable organic matter</t>
  </si>
  <si>
    <t>Diffusion coefficient of methanol</t>
  </si>
  <si>
    <t>Diffusion coefficient of soluble undegradable organics</t>
  </si>
  <si>
    <t>Diffusion coefficient of total ammonia</t>
  </si>
  <si>
    <t>Diffusivities from Perry, Handbook of Chemical Engineers, Table 2-372, for 25°C, as acetate</t>
  </si>
  <si>
    <t>Diffusion coefficient of ammonia</t>
  </si>
  <si>
    <t>Diffusitives from Perry, Handbook of Chemical Engineers, Table 2-372, for 25°C, as acetate</t>
  </si>
  <si>
    <t>Diffusion coefficient of nitrate and nitrite</t>
  </si>
  <si>
    <t>Diffusion coefficient of orthophosphate</t>
  </si>
  <si>
    <t>Diffusion coefficient of dissolved nitrogen gas</t>
  </si>
  <si>
    <t>Diffusitives from Perry, Handbook of Chemical Engineers, Table 2-372, for 25°C</t>
  </si>
  <si>
    <t>Diffusion coefficient of soluble inert organic nitrogen</t>
  </si>
  <si>
    <t>Assumed the same as SS</t>
  </si>
  <si>
    <t>Diffusion coefficient of soluble biodegradable organic nitrogen</t>
  </si>
  <si>
    <t>Diffusion coefficient of nitrite</t>
  </si>
  <si>
    <t>Diffusion coefficient of nitrate</t>
  </si>
  <si>
    <t>Diffusion coefficient of soluble biodegradable organic N</t>
  </si>
  <si>
    <t>Diffusion coefficient of soluble biodegradable organic P</t>
  </si>
  <si>
    <t>Diffusion coefficient of dissolved oxygen</t>
  </si>
  <si>
    <t>Diffusivities from Perry, Handbook of Chemical Engineers, Table 2-372, for 25°C</t>
  </si>
  <si>
    <t>Diffusion coefficient of dissolved methane</t>
  </si>
  <si>
    <t>Diffusion coefficient of dissolved hydrogen</t>
  </si>
  <si>
    <t>Diffusion coefficient of dissolved carbon dioxide</t>
  </si>
  <si>
    <t>Diffusion coefficient of dissolved potassium</t>
  </si>
  <si>
    <t>Diffusion coefficient of dissolved calcium</t>
  </si>
  <si>
    <t>Diffusion coefficient of dissolved magnesium</t>
  </si>
  <si>
    <t>Diffusion coefficient of dissolved strong cations</t>
  </si>
  <si>
    <t>Diffusion coefficient of dissolved strong anions</t>
  </si>
  <si>
    <t>Diffusion coefficient of hydrogen sulfide</t>
  </si>
  <si>
    <t>Diffusion coefficient of sulphate</t>
  </si>
  <si>
    <t>Diffusion coefficient of dissolved ferrous ion</t>
  </si>
  <si>
    <t>Diffusion coefficient of alkalinity</t>
  </si>
  <si>
    <t>Diffusion coefficient of Methyl Mercaptan production index</t>
  </si>
  <si>
    <t>Diffusion coefficient of colloidal biodegradable substrate</t>
  </si>
  <si>
    <t>Diffusion coefficient of colloidal unbiodegradable organics</t>
  </si>
  <si>
    <r>
      <t>Logsat</t>
    </r>
    <r>
      <rPr>
        <vertAlign val="subscript"/>
        <sz val="11"/>
        <rFont val="Calibri"/>
        <family val="2"/>
        <scheme val="minor"/>
      </rPr>
      <t>ORP,HFO,Half</t>
    </r>
  </si>
  <si>
    <t>Logistic half-saturation of ORP switching in HFO reduction</t>
  </si>
  <si>
    <r>
      <rPr>
        <sz val="11"/>
        <color indexed="8"/>
        <rFont val="Calibri"/>
        <family val="2"/>
        <scheme val="minor"/>
      </rPr>
      <t>Logsat</t>
    </r>
    <r>
      <rPr>
        <vertAlign val="subscript"/>
        <sz val="11"/>
        <rFont val="Calibri"/>
        <family val="2"/>
        <scheme val="minor"/>
      </rPr>
      <t>ORP,HFO,Slope</t>
    </r>
  </si>
  <si>
    <t>Logistic slope of ORP switching in HFO reduction</t>
  </si>
  <si>
    <r>
      <t>Loginh</t>
    </r>
    <r>
      <rPr>
        <vertAlign val="subscript"/>
        <sz val="11"/>
        <rFont val="Calibri"/>
        <family val="2"/>
      </rPr>
      <t>ORP,HFO</t>
    </r>
  </si>
  <si>
    <t>ORP switch of HFO reduction</t>
  </si>
  <si>
    <t>Sumo 2C</t>
  </si>
  <si>
    <t>Use "Sumo2C" for activated sludge modeling with high rate processes, iron addition for P removal and with plants that have digesters but no iron addition</t>
  </si>
  <si>
    <r>
      <t>X</t>
    </r>
    <r>
      <rPr>
        <b/>
        <vertAlign val="subscript"/>
        <sz val="11"/>
        <rFont val="Calibri"/>
        <family val="2"/>
        <scheme val="minor"/>
      </rPr>
      <t>STO</t>
    </r>
  </si>
  <si>
    <t>Storage product of AHO</t>
  </si>
  <si>
    <r>
      <t>X</t>
    </r>
    <r>
      <rPr>
        <b/>
        <vertAlign val="subscript"/>
        <sz val="11"/>
        <rFont val="Calibri"/>
        <family val="2"/>
        <scheme val="minor"/>
      </rPr>
      <t>AHO</t>
    </r>
  </si>
  <si>
    <r>
      <t>AHO growth on X</t>
    </r>
    <r>
      <rPr>
        <vertAlign val="subscript"/>
        <sz val="11"/>
        <color indexed="8"/>
        <rFont val="Calibri"/>
        <family val="2"/>
      </rPr>
      <t>STO</t>
    </r>
    <r>
      <rPr>
        <sz val="11"/>
        <color indexed="8"/>
        <rFont val="Calibri"/>
        <family val="2"/>
      </rPr>
      <t>, O</t>
    </r>
    <r>
      <rPr>
        <vertAlign val="subscript"/>
        <sz val="11"/>
        <color indexed="8"/>
        <rFont val="Calibri"/>
        <family val="2"/>
      </rPr>
      <t>2</t>
    </r>
  </si>
  <si>
    <r>
      <t>g.m</t>
    </r>
    <r>
      <rPr>
        <vertAlign val="superscript"/>
        <sz val="11"/>
        <color indexed="8"/>
        <rFont val="Calibri"/>
        <family val="2"/>
      </rPr>
      <t>-3</t>
    </r>
    <r>
      <rPr>
        <sz val="11"/>
        <color indexed="8"/>
        <rFont val="Calibri"/>
        <family val="2"/>
      </rPr>
      <t>.d</t>
    </r>
    <r>
      <rPr>
        <vertAlign val="superscript"/>
        <sz val="11"/>
        <color indexed="8"/>
        <rFont val="Calibri"/>
        <family val="2"/>
      </rPr>
      <t>-1</t>
    </r>
  </si>
  <si>
    <t>AHO decay</t>
  </si>
  <si>
    <r>
      <t>(1-f</t>
    </r>
    <r>
      <rPr>
        <vertAlign val="subscript"/>
        <sz val="11"/>
        <color indexed="8"/>
        <rFont val="Calibri"/>
        <family val="2"/>
      </rPr>
      <t>E</t>
    </r>
    <r>
      <rPr>
        <sz val="11"/>
        <color indexed="8"/>
        <rFont val="Calibri"/>
        <family val="2"/>
      </rPr>
      <t>+X</t>
    </r>
    <r>
      <rPr>
        <vertAlign val="subscript"/>
        <sz val="11"/>
        <color indexed="8"/>
        <rFont val="Calibri"/>
        <family val="2"/>
      </rPr>
      <t>STO</t>
    </r>
    <r>
      <rPr>
        <sz val="11"/>
        <color indexed="8"/>
        <rFont val="Calibri"/>
        <family val="2"/>
      </rPr>
      <t>/X</t>
    </r>
    <r>
      <rPr>
        <vertAlign val="subscript"/>
        <sz val="11"/>
        <color indexed="8"/>
        <rFont val="Calibri"/>
        <family val="2"/>
      </rPr>
      <t>AHO</t>
    </r>
    <r>
      <rPr>
        <sz val="11"/>
        <color indexed="8"/>
        <rFont val="Calibri"/>
        <family val="2"/>
      </rPr>
      <t>)*(1-f</t>
    </r>
    <r>
      <rPr>
        <vertAlign val="subscript"/>
        <sz val="11"/>
        <color indexed="8"/>
        <rFont val="Calibri"/>
        <family val="2"/>
      </rPr>
      <t>C</t>
    </r>
    <r>
      <rPr>
        <sz val="11"/>
        <color indexed="8"/>
        <rFont val="Calibri"/>
        <family val="2"/>
      </rPr>
      <t>)</t>
    </r>
  </si>
  <si>
    <r>
      <t>-X</t>
    </r>
    <r>
      <rPr>
        <vertAlign val="subscript"/>
        <sz val="11"/>
        <color indexed="8"/>
        <rFont val="Calibri"/>
        <family val="2"/>
      </rPr>
      <t>STO</t>
    </r>
    <r>
      <rPr>
        <sz val="11"/>
        <color indexed="8"/>
        <rFont val="Calibri"/>
        <family val="2"/>
      </rPr>
      <t>/X</t>
    </r>
    <r>
      <rPr>
        <vertAlign val="subscript"/>
        <sz val="11"/>
        <color indexed="8"/>
        <rFont val="Calibri"/>
        <family val="2"/>
      </rPr>
      <t>AHO</t>
    </r>
  </si>
  <si>
    <r>
      <t>f</t>
    </r>
    <r>
      <rPr>
        <vertAlign val="subscript"/>
        <sz val="11"/>
        <color indexed="8"/>
        <rFont val="Calibri"/>
        <family val="2"/>
      </rPr>
      <t>E</t>
    </r>
    <r>
      <rPr>
        <sz val="11"/>
        <color indexed="8"/>
        <rFont val="Calibri"/>
        <family val="2"/>
      </rPr>
      <t>*(1-f</t>
    </r>
    <r>
      <rPr>
        <vertAlign val="subscript"/>
        <sz val="11"/>
        <color indexed="8"/>
        <rFont val="Calibri"/>
        <family val="2"/>
      </rPr>
      <t>C</t>
    </r>
    <r>
      <rPr>
        <sz val="11"/>
        <color indexed="8"/>
        <rFont val="Calibri"/>
        <family val="2"/>
      </rPr>
      <t>)</t>
    </r>
  </si>
  <si>
    <r>
      <t>(1-f</t>
    </r>
    <r>
      <rPr>
        <vertAlign val="subscript"/>
        <sz val="11"/>
        <color indexed="8"/>
        <rFont val="Calibri"/>
        <family val="2"/>
      </rPr>
      <t>E</t>
    </r>
    <r>
      <rPr>
        <sz val="11"/>
        <color indexed="8"/>
        <rFont val="Calibri"/>
        <family val="2"/>
      </rPr>
      <t>)*(1-f</t>
    </r>
    <r>
      <rPr>
        <vertAlign val="subscript"/>
        <sz val="11"/>
        <color indexed="8"/>
        <rFont val="Calibri"/>
        <family val="2"/>
      </rPr>
      <t>C</t>
    </r>
    <r>
      <rPr>
        <sz val="11"/>
        <color indexed="8"/>
        <rFont val="Calibri"/>
        <family val="2"/>
      </rPr>
      <t>)*i</t>
    </r>
    <r>
      <rPr>
        <vertAlign val="subscript"/>
        <sz val="11"/>
        <color indexed="8"/>
        <rFont val="Calibri"/>
        <family val="2"/>
      </rPr>
      <t>N,BIO</t>
    </r>
    <r>
      <rPr>
        <sz val="11"/>
        <color indexed="8"/>
        <rFont val="Calibri"/>
        <family val="2"/>
      </rPr>
      <t/>
    </r>
  </si>
  <si>
    <r>
      <t>(1-f</t>
    </r>
    <r>
      <rPr>
        <vertAlign val="subscript"/>
        <sz val="11"/>
        <color indexed="8"/>
        <rFont val="Calibri"/>
        <family val="2"/>
      </rPr>
      <t>E</t>
    </r>
    <r>
      <rPr>
        <sz val="11"/>
        <color indexed="8"/>
        <rFont val="Calibri"/>
        <family val="2"/>
      </rPr>
      <t>)*(1-f</t>
    </r>
    <r>
      <rPr>
        <vertAlign val="subscript"/>
        <sz val="11"/>
        <color indexed="8"/>
        <rFont val="Calibri"/>
        <family val="2"/>
      </rPr>
      <t>C</t>
    </r>
    <r>
      <rPr>
        <sz val="11"/>
        <color indexed="8"/>
        <rFont val="Calibri"/>
        <family val="2"/>
      </rPr>
      <t>)*i</t>
    </r>
    <r>
      <rPr>
        <vertAlign val="subscript"/>
        <sz val="11"/>
        <color indexed="8"/>
        <rFont val="Calibri"/>
        <family val="2"/>
      </rPr>
      <t>P,BIO</t>
    </r>
    <r>
      <rPr>
        <sz val="11"/>
        <color indexed="8"/>
        <rFont val="Calibri"/>
        <family val="2"/>
      </rPr>
      <t/>
    </r>
  </si>
  <si>
    <r>
      <t>S</t>
    </r>
    <r>
      <rPr>
        <vertAlign val="subscript"/>
        <sz val="11"/>
        <color indexed="8"/>
        <rFont val="Calibri"/>
        <family val="2"/>
        <charset val="238"/>
      </rPr>
      <t>B,mono</t>
    </r>
  </si>
  <si>
    <r>
      <t>S</t>
    </r>
    <r>
      <rPr>
        <vertAlign val="subscript"/>
        <sz val="11"/>
        <color indexed="8"/>
        <rFont val="Calibri"/>
        <family val="2"/>
        <charset val="238"/>
      </rPr>
      <t>B,poly</t>
    </r>
  </si>
  <si>
    <r>
      <t>Anaerobic conversion of S</t>
    </r>
    <r>
      <rPr>
        <vertAlign val="subscript"/>
        <sz val="11"/>
        <color indexed="8"/>
        <rFont val="Calibri"/>
        <family val="2"/>
      </rPr>
      <t>B,mono</t>
    </r>
  </si>
  <si>
    <r>
      <t>i</t>
    </r>
    <r>
      <rPr>
        <vertAlign val="subscript"/>
        <sz val="11"/>
        <color indexed="8"/>
        <rFont val="Calibri"/>
        <family val="2"/>
      </rPr>
      <t>CIT,VFA</t>
    </r>
    <r>
      <rPr>
        <sz val="11"/>
        <color indexed="8"/>
        <rFont val="Calibri"/>
        <family val="2"/>
      </rPr>
      <t>-i</t>
    </r>
    <r>
      <rPr>
        <vertAlign val="subscript"/>
        <sz val="11"/>
        <color indexed="8"/>
        <rFont val="Calibri"/>
        <family val="2"/>
      </rPr>
      <t>CIT,SB,mono</t>
    </r>
  </si>
  <si>
    <r>
      <t>q</t>
    </r>
    <r>
      <rPr>
        <vertAlign val="subscript"/>
        <sz val="11"/>
        <color indexed="8"/>
        <rFont val="Calibri"/>
        <family val="2"/>
      </rPr>
      <t>SB,mono</t>
    </r>
    <r>
      <rPr>
        <sz val="11"/>
        <color indexed="8"/>
        <rFont val="Calibri"/>
        <family val="2"/>
      </rPr>
      <t>*S</t>
    </r>
    <r>
      <rPr>
        <vertAlign val="subscript"/>
        <sz val="11"/>
        <color indexed="8"/>
        <rFont val="Calibri"/>
        <family val="2"/>
      </rPr>
      <t>B,mono</t>
    </r>
    <r>
      <rPr>
        <sz val="11"/>
        <color indexed="8"/>
        <rFont val="Calibri"/>
        <family val="2"/>
      </rPr>
      <t>*Minh</t>
    </r>
    <r>
      <rPr>
        <vertAlign val="subscript"/>
        <sz val="11"/>
        <color indexed="8"/>
        <rFont val="Calibri"/>
        <family val="2"/>
      </rPr>
      <t>SO2,KO2,OHO</t>
    </r>
    <r>
      <rPr>
        <sz val="11"/>
        <color indexed="8"/>
        <rFont val="Calibri"/>
        <family val="2"/>
      </rPr>
      <t>*Minh</t>
    </r>
    <r>
      <rPr>
        <vertAlign val="subscript"/>
        <sz val="11"/>
        <color indexed="8"/>
        <rFont val="Calibri"/>
        <family val="2"/>
      </rPr>
      <t>SNO3,KNO3,OHO</t>
    </r>
    <r>
      <rPr>
        <sz val="11"/>
        <color indexed="8"/>
        <rFont val="Calibri"/>
        <family val="2"/>
      </rPr>
      <t>*Minh</t>
    </r>
    <r>
      <rPr>
        <vertAlign val="subscript"/>
        <sz val="11"/>
        <color indexed="8"/>
        <rFont val="Calibri"/>
        <family val="2"/>
      </rPr>
      <t>SNO2,KNO2,OHO</t>
    </r>
  </si>
  <si>
    <t>r86</t>
  </si>
  <si>
    <t>r87</t>
  </si>
  <si>
    <t>r88</t>
  </si>
  <si>
    <t>r89</t>
  </si>
  <si>
    <r>
      <t>S</t>
    </r>
    <r>
      <rPr>
        <b/>
        <vertAlign val="subscript"/>
        <sz val="11"/>
        <rFont val="Calibri"/>
        <family val="2"/>
        <scheme val="minor"/>
      </rPr>
      <t>B,mono</t>
    </r>
  </si>
  <si>
    <t>Readily biodegradable substrate as monomers (non-VFA)</t>
  </si>
  <si>
    <r>
      <t>S</t>
    </r>
    <r>
      <rPr>
        <b/>
        <vertAlign val="subscript"/>
        <sz val="11"/>
        <rFont val="Calibri"/>
        <family val="2"/>
        <charset val="238"/>
        <scheme val="minor"/>
      </rPr>
      <t>B,poly</t>
    </r>
  </si>
  <si>
    <t>Readily biodegradable substrate as polymers</t>
  </si>
  <si>
    <r>
      <t>i</t>
    </r>
    <r>
      <rPr>
        <vertAlign val="subscript"/>
        <sz val="11"/>
        <color indexed="8"/>
        <rFont val="Calibri"/>
        <family val="2"/>
      </rPr>
      <t>CIT,SB,mono</t>
    </r>
  </si>
  <si>
    <r>
      <t>i</t>
    </r>
    <r>
      <rPr>
        <vertAlign val="subscript"/>
        <sz val="11"/>
        <color indexed="8"/>
        <rFont val="Calibri"/>
        <family val="2"/>
      </rPr>
      <t>CIT,SB,poly</t>
    </r>
  </si>
  <si>
    <r>
      <t>i</t>
    </r>
    <r>
      <rPr>
        <vertAlign val="subscript"/>
        <sz val="11"/>
        <color indexed="8"/>
        <rFont val="Calibri"/>
        <family val="2"/>
      </rPr>
      <t>CIT,VFA</t>
    </r>
  </si>
  <si>
    <r>
      <t>i</t>
    </r>
    <r>
      <rPr>
        <vertAlign val="subscript"/>
        <sz val="11"/>
        <color indexed="8"/>
        <rFont val="Calibri"/>
        <family val="2"/>
      </rPr>
      <t>CIT,MEOL</t>
    </r>
  </si>
  <si>
    <r>
      <t>i</t>
    </r>
    <r>
      <rPr>
        <vertAlign val="subscript"/>
        <sz val="11"/>
        <color indexed="8"/>
        <rFont val="Calibri"/>
        <family val="2"/>
      </rPr>
      <t>CIT,PHA</t>
    </r>
  </si>
  <si>
    <r>
      <t>i</t>
    </r>
    <r>
      <rPr>
        <vertAlign val="subscript"/>
        <sz val="11"/>
        <color indexed="8"/>
        <rFont val="Calibri"/>
        <family val="2"/>
      </rPr>
      <t>CIT,BIO</t>
    </r>
  </si>
  <si>
    <r>
      <t>i</t>
    </r>
    <r>
      <rPr>
        <vertAlign val="subscript"/>
        <sz val="11"/>
        <color indexed="8"/>
        <rFont val="Calibri"/>
        <family val="2"/>
      </rPr>
      <t>N,CB</t>
    </r>
  </si>
  <si>
    <r>
      <t>i</t>
    </r>
    <r>
      <rPr>
        <vertAlign val="subscript"/>
        <sz val="11"/>
        <color indexed="8"/>
        <rFont val="Calibri"/>
        <family val="2"/>
      </rPr>
      <t>N,SU</t>
    </r>
  </si>
  <si>
    <r>
      <t>i</t>
    </r>
    <r>
      <rPr>
        <vertAlign val="subscript"/>
        <sz val="11"/>
        <color indexed="8"/>
        <rFont val="Calibri"/>
        <family val="2"/>
      </rPr>
      <t>N,CU</t>
    </r>
  </si>
  <si>
    <r>
      <t>i</t>
    </r>
    <r>
      <rPr>
        <vertAlign val="subscript"/>
        <sz val="11"/>
        <color indexed="8"/>
        <rFont val="Calibri"/>
        <family val="2"/>
      </rPr>
      <t>N,XE</t>
    </r>
  </si>
  <si>
    <r>
      <t>i</t>
    </r>
    <r>
      <rPr>
        <vertAlign val="subscript"/>
        <sz val="11"/>
        <color indexed="8"/>
        <rFont val="Calibri"/>
        <family val="2"/>
      </rPr>
      <t>N,BIO</t>
    </r>
  </si>
  <si>
    <r>
      <t>i</t>
    </r>
    <r>
      <rPr>
        <vertAlign val="subscript"/>
        <sz val="11"/>
        <color indexed="8"/>
        <rFont val="Calibri"/>
        <family val="2"/>
      </rPr>
      <t>P,CB</t>
    </r>
  </si>
  <si>
    <r>
      <t>i</t>
    </r>
    <r>
      <rPr>
        <vertAlign val="subscript"/>
        <sz val="11"/>
        <color indexed="8"/>
        <rFont val="Calibri"/>
        <family val="2"/>
      </rPr>
      <t>P,SU</t>
    </r>
  </si>
  <si>
    <r>
      <t>i</t>
    </r>
    <r>
      <rPr>
        <vertAlign val="subscript"/>
        <sz val="11"/>
        <color indexed="8"/>
        <rFont val="Calibri"/>
        <family val="2"/>
      </rPr>
      <t>P,CU</t>
    </r>
  </si>
  <si>
    <r>
      <t>i</t>
    </r>
    <r>
      <rPr>
        <vertAlign val="subscript"/>
        <sz val="11"/>
        <color indexed="8"/>
        <rFont val="Calibri"/>
        <family val="2"/>
      </rPr>
      <t>P,BIO</t>
    </r>
  </si>
  <si>
    <r>
      <t>-1/Y</t>
    </r>
    <r>
      <rPr>
        <vertAlign val="subscript"/>
        <sz val="11"/>
        <rFont val="Calibri"/>
        <family val="2"/>
      </rPr>
      <t>OHO,SB,poly,ox</t>
    </r>
  </si>
  <si>
    <r>
      <t>-1/Y</t>
    </r>
    <r>
      <rPr>
        <vertAlign val="subscript"/>
        <sz val="11"/>
        <rFont val="Calibri"/>
        <family val="2"/>
      </rPr>
      <t>OHO,SB,poly,anox</t>
    </r>
  </si>
  <si>
    <r>
      <t>-1/Y</t>
    </r>
    <r>
      <rPr>
        <vertAlign val="subscript"/>
        <sz val="11"/>
        <rFont val="Calibri"/>
        <family val="2"/>
      </rPr>
      <t>OHO,SB,poly,ana</t>
    </r>
  </si>
  <si>
    <r>
      <t>-(1-Y</t>
    </r>
    <r>
      <rPr>
        <vertAlign val="subscript"/>
        <sz val="11"/>
        <rFont val="Calibri"/>
        <family val="2"/>
      </rPr>
      <t>OHO,SB,poly,anox</t>
    </r>
    <r>
      <rPr>
        <sz val="11"/>
        <rFont val="Calibri"/>
        <family val="2"/>
      </rPr>
      <t>)/(EEQ</t>
    </r>
    <r>
      <rPr>
        <vertAlign val="subscript"/>
        <sz val="11"/>
        <rFont val="Calibri"/>
        <family val="2"/>
      </rPr>
      <t>N2,NO2</t>
    </r>
    <r>
      <rPr>
        <sz val="11"/>
        <rFont val="Calibri"/>
        <family val="2"/>
      </rPr>
      <t>*Y</t>
    </r>
    <r>
      <rPr>
        <vertAlign val="subscript"/>
        <sz val="11"/>
        <rFont val="Calibri"/>
        <family val="2"/>
      </rPr>
      <t>OHO,SB,poly,anox</t>
    </r>
    <r>
      <rPr>
        <sz val="11"/>
        <rFont val="Calibri"/>
        <family val="2"/>
      </rPr>
      <t>)</t>
    </r>
  </si>
  <si>
    <r>
      <t>(1-Y</t>
    </r>
    <r>
      <rPr>
        <vertAlign val="subscript"/>
        <sz val="11"/>
        <rFont val="Calibri"/>
        <family val="2"/>
      </rPr>
      <t>OHO,SB,poly,anox</t>
    </r>
    <r>
      <rPr>
        <sz val="11"/>
        <rFont val="Calibri"/>
        <family val="2"/>
      </rPr>
      <t>)/(EEQ</t>
    </r>
    <r>
      <rPr>
        <vertAlign val="subscript"/>
        <sz val="11"/>
        <rFont val="Calibri"/>
        <family val="2"/>
      </rPr>
      <t>NO2,NO3</t>
    </r>
    <r>
      <rPr>
        <sz val="11"/>
        <rFont val="Calibri"/>
        <family val="2"/>
      </rPr>
      <t>*Y</t>
    </r>
    <r>
      <rPr>
        <vertAlign val="subscript"/>
        <sz val="11"/>
        <rFont val="Calibri"/>
        <family val="2"/>
      </rPr>
      <t>OHO,SB,poly,anox</t>
    </r>
    <r>
      <rPr>
        <sz val="11"/>
        <rFont val="Calibri"/>
        <family val="2"/>
      </rPr>
      <t>)</t>
    </r>
  </si>
  <si>
    <r>
      <t>-(1-Y</t>
    </r>
    <r>
      <rPr>
        <vertAlign val="subscript"/>
        <sz val="11"/>
        <rFont val="Calibri"/>
        <family val="2"/>
      </rPr>
      <t>OHO,SB,poly,anox</t>
    </r>
    <r>
      <rPr>
        <sz val="11"/>
        <rFont val="Calibri"/>
        <family val="2"/>
      </rPr>
      <t>)/(EEQ</t>
    </r>
    <r>
      <rPr>
        <vertAlign val="subscript"/>
        <sz val="11"/>
        <rFont val="Calibri"/>
        <family val="2"/>
      </rPr>
      <t>NO2,NO3</t>
    </r>
    <r>
      <rPr>
        <sz val="11"/>
        <rFont val="Calibri"/>
        <family val="2"/>
      </rPr>
      <t>*Y</t>
    </r>
    <r>
      <rPr>
        <vertAlign val="subscript"/>
        <sz val="11"/>
        <rFont val="Calibri"/>
        <family val="2"/>
      </rPr>
      <t>OHO,SB,poly,anox</t>
    </r>
    <r>
      <rPr>
        <sz val="11"/>
        <rFont val="Calibri"/>
        <family val="2"/>
      </rPr>
      <t>)</t>
    </r>
  </si>
  <si>
    <r>
      <t>(1-Y</t>
    </r>
    <r>
      <rPr>
        <vertAlign val="subscript"/>
        <sz val="11"/>
        <rFont val="Calibri"/>
        <family val="2"/>
      </rPr>
      <t>OHO,SB,poly,anox</t>
    </r>
    <r>
      <rPr>
        <sz val="11"/>
        <rFont val="Calibri"/>
        <family val="2"/>
      </rPr>
      <t>)/(EEQ</t>
    </r>
    <r>
      <rPr>
        <vertAlign val="subscript"/>
        <sz val="11"/>
        <rFont val="Calibri"/>
        <family val="2"/>
      </rPr>
      <t>N2,NO2</t>
    </r>
    <r>
      <rPr>
        <sz val="11"/>
        <rFont val="Calibri"/>
        <family val="2"/>
      </rPr>
      <t>*Y</t>
    </r>
    <r>
      <rPr>
        <vertAlign val="subscript"/>
        <sz val="11"/>
        <rFont val="Calibri"/>
        <family val="2"/>
      </rPr>
      <t>OHO,SB,poly,anox</t>
    </r>
    <r>
      <rPr>
        <sz val="11"/>
        <rFont val="Calibri"/>
        <family val="2"/>
      </rPr>
      <t>)</t>
    </r>
  </si>
  <si>
    <r>
      <t>-(1-Y</t>
    </r>
    <r>
      <rPr>
        <vertAlign val="subscript"/>
        <sz val="11"/>
        <rFont val="Calibri"/>
        <family val="2"/>
      </rPr>
      <t>OHO,SB,poly,ox</t>
    </r>
    <r>
      <rPr>
        <sz val="11"/>
        <rFont val="Calibri"/>
        <family val="2"/>
      </rPr>
      <t>)/Y</t>
    </r>
    <r>
      <rPr>
        <vertAlign val="subscript"/>
        <sz val="11"/>
        <rFont val="Calibri"/>
        <family val="2"/>
      </rPr>
      <t>OHO,SB,poly,ox</t>
    </r>
  </si>
  <si>
    <r>
      <t>(i</t>
    </r>
    <r>
      <rPr>
        <vertAlign val="subscript"/>
        <sz val="11"/>
        <rFont val="Calibri"/>
        <family val="2"/>
      </rPr>
      <t>CIT,SB,poly</t>
    </r>
    <r>
      <rPr>
        <sz val="11"/>
        <rFont val="Calibri"/>
        <family val="2"/>
      </rPr>
      <t>-i</t>
    </r>
    <r>
      <rPr>
        <vertAlign val="subscript"/>
        <sz val="11"/>
        <rFont val="Calibri"/>
        <family val="2"/>
      </rPr>
      <t>CIT,VFA</t>
    </r>
    <r>
      <rPr>
        <sz val="11"/>
        <rFont val="Calibri"/>
        <family val="2"/>
      </rPr>
      <t>*(1-Y</t>
    </r>
    <r>
      <rPr>
        <vertAlign val="subscript"/>
        <sz val="11"/>
        <rFont val="Calibri"/>
        <family val="2"/>
      </rPr>
      <t>OHO,SB,poly,ana</t>
    </r>
    <r>
      <rPr>
        <sz val="11"/>
        <rFont val="Calibri"/>
        <family val="2"/>
      </rPr>
      <t>-Y</t>
    </r>
    <r>
      <rPr>
        <vertAlign val="subscript"/>
        <sz val="11"/>
        <rFont val="Calibri"/>
        <family val="2"/>
      </rPr>
      <t>OHO,H2,ana,low</t>
    </r>
    <r>
      <rPr>
        <sz val="11"/>
        <rFont val="Calibri"/>
        <family val="2"/>
      </rPr>
      <t>)-i</t>
    </r>
    <r>
      <rPr>
        <vertAlign val="subscript"/>
        <sz val="11"/>
        <rFont val="Calibri"/>
        <family val="2"/>
      </rPr>
      <t>CIT,BIO</t>
    </r>
    <r>
      <rPr>
        <sz val="11"/>
        <rFont val="Calibri"/>
        <family val="2"/>
      </rPr>
      <t>*Y</t>
    </r>
    <r>
      <rPr>
        <vertAlign val="subscript"/>
        <sz val="11"/>
        <rFont val="Calibri"/>
        <family val="2"/>
      </rPr>
      <t>OHO,SB,poly,ana</t>
    </r>
    <r>
      <rPr>
        <sz val="11"/>
        <rFont val="Calibri"/>
        <family val="2"/>
      </rPr>
      <t>)/Y</t>
    </r>
    <r>
      <rPr>
        <vertAlign val="subscript"/>
        <sz val="11"/>
        <rFont val="Calibri"/>
        <family val="2"/>
      </rPr>
      <t>OHO,SB,poly,ana</t>
    </r>
  </si>
  <si>
    <r>
      <t>i</t>
    </r>
    <r>
      <rPr>
        <vertAlign val="subscript"/>
        <sz val="11"/>
        <rFont val="Calibri"/>
        <family val="2"/>
      </rPr>
      <t>CIT,SB,poly</t>
    </r>
    <r>
      <rPr>
        <sz val="11"/>
        <rFont val="Calibri"/>
        <family val="2"/>
      </rPr>
      <t>/Y</t>
    </r>
    <r>
      <rPr>
        <vertAlign val="subscript"/>
        <sz val="11"/>
        <rFont val="Calibri"/>
        <family val="2"/>
      </rPr>
      <t>OHO,SB,poly,ox</t>
    </r>
    <r>
      <rPr>
        <sz val="11"/>
        <rFont val="Calibri"/>
        <family val="2"/>
      </rPr>
      <t>-i</t>
    </r>
    <r>
      <rPr>
        <vertAlign val="subscript"/>
        <sz val="11"/>
        <rFont val="Calibri"/>
        <family val="2"/>
      </rPr>
      <t>CIT,BIO</t>
    </r>
  </si>
  <si>
    <r>
      <t>i</t>
    </r>
    <r>
      <rPr>
        <vertAlign val="subscript"/>
        <sz val="11"/>
        <rFont val="Calibri"/>
        <family val="2"/>
      </rPr>
      <t>CIT,SB,poly</t>
    </r>
    <r>
      <rPr>
        <sz val="11"/>
        <rFont val="Calibri"/>
        <family val="2"/>
      </rPr>
      <t>/Y</t>
    </r>
    <r>
      <rPr>
        <vertAlign val="subscript"/>
        <sz val="11"/>
        <rFont val="Calibri"/>
        <family val="2"/>
      </rPr>
      <t>OHO,SB,poly,anox</t>
    </r>
    <r>
      <rPr>
        <sz val="11"/>
        <rFont val="Calibri"/>
        <family val="2"/>
      </rPr>
      <t>-i</t>
    </r>
    <r>
      <rPr>
        <vertAlign val="subscript"/>
        <sz val="11"/>
        <rFont val="Calibri"/>
        <family val="2"/>
      </rPr>
      <t>CIT,BIO</t>
    </r>
  </si>
  <si>
    <r>
      <t>K</t>
    </r>
    <r>
      <rPr>
        <vertAlign val="subscript"/>
        <sz val="11"/>
        <color indexed="8"/>
        <rFont val="Calibri"/>
        <family val="2"/>
      </rPr>
      <t>SB,poly,AS</t>
    </r>
  </si>
  <si>
    <r>
      <t>K</t>
    </r>
    <r>
      <rPr>
        <vertAlign val="subscript"/>
        <sz val="11"/>
        <rFont val="Calibri"/>
        <family val="2"/>
      </rPr>
      <t>SB,poly,ana,AS</t>
    </r>
  </si>
  <si>
    <r>
      <t>µ</t>
    </r>
    <r>
      <rPr>
        <vertAlign val="subscript"/>
        <sz val="11"/>
        <color indexed="8"/>
        <rFont val="Calibri"/>
        <family val="2"/>
      </rPr>
      <t>AHO</t>
    </r>
  </si>
  <si>
    <t>Maximum specific growth rate of AHOs</t>
  </si>
  <si>
    <r>
      <t>d</t>
    </r>
    <r>
      <rPr>
        <vertAlign val="superscript"/>
        <sz val="11"/>
        <color indexed="8"/>
        <rFont val="Calibri"/>
        <family val="2"/>
      </rPr>
      <t>-1</t>
    </r>
  </si>
  <si>
    <t>Key(959)</t>
  </si>
  <si>
    <r>
      <t>K</t>
    </r>
    <r>
      <rPr>
        <vertAlign val="subscript"/>
        <sz val="11"/>
        <color indexed="8"/>
        <rFont val="Calibri"/>
        <family val="2"/>
      </rPr>
      <t>SB,mono,AS</t>
    </r>
  </si>
  <si>
    <t>Half-saturation of readily biodegradable substrate as monomers for AHOs (AS)</t>
  </si>
  <si>
    <r>
      <t>g COD.m</t>
    </r>
    <r>
      <rPr>
        <vertAlign val="superscript"/>
        <sz val="11"/>
        <color indexed="8"/>
        <rFont val="Calibri"/>
        <family val="2"/>
      </rPr>
      <t>-3</t>
    </r>
  </si>
  <si>
    <r>
      <t>q</t>
    </r>
    <r>
      <rPr>
        <vertAlign val="subscript"/>
        <sz val="11"/>
        <color indexed="8"/>
        <rFont val="Calibri"/>
        <family val="2"/>
      </rPr>
      <t>AHO,STO</t>
    </r>
  </si>
  <si>
    <r>
      <t>Rate of S</t>
    </r>
    <r>
      <rPr>
        <vertAlign val="subscript"/>
        <sz val="11"/>
        <color rgb="FF000000"/>
        <rFont val="Calibri"/>
        <family val="2"/>
        <scheme val="minor"/>
      </rPr>
      <t>B,mono</t>
    </r>
    <r>
      <rPr>
        <sz val="11"/>
        <color rgb="FF000000"/>
        <rFont val="Calibri"/>
        <family val="2"/>
        <charset val="238"/>
        <scheme val="minor"/>
      </rPr>
      <t xml:space="preserve"> storage into STO for AHOs</t>
    </r>
  </si>
  <si>
    <r>
      <t>K</t>
    </r>
    <r>
      <rPr>
        <vertAlign val="subscript"/>
        <sz val="11"/>
        <color indexed="8"/>
        <rFont val="Calibri"/>
        <family val="2"/>
      </rPr>
      <t>STO</t>
    </r>
  </si>
  <si>
    <t>Half-saturation of STO of AHOs</t>
  </si>
  <si>
    <r>
      <t>η</t>
    </r>
    <r>
      <rPr>
        <vertAlign val="subscript"/>
        <sz val="11"/>
        <color indexed="8"/>
        <rFont val="Calibri"/>
        <family val="2"/>
      </rPr>
      <t>STO,AHO,anox</t>
    </r>
  </si>
  <si>
    <t>Reduction factor for anoxic storage of AHOs</t>
  </si>
  <si>
    <r>
      <t>η</t>
    </r>
    <r>
      <rPr>
        <vertAlign val="subscript"/>
        <sz val="11"/>
        <color indexed="8"/>
        <rFont val="Calibri"/>
        <family val="2"/>
      </rPr>
      <t>STO,AHO,ana</t>
    </r>
  </si>
  <si>
    <t>Reduction factor for anaerobic storage of AHOs</t>
  </si>
  <si>
    <r>
      <t>b</t>
    </r>
    <r>
      <rPr>
        <vertAlign val="subscript"/>
        <sz val="11"/>
        <color indexed="8"/>
        <rFont val="Calibri"/>
        <family val="2"/>
      </rPr>
      <t>AHO</t>
    </r>
  </si>
  <si>
    <t>Decay rate of AHOs</t>
  </si>
  <si>
    <r>
      <t>q</t>
    </r>
    <r>
      <rPr>
        <vertAlign val="subscript"/>
        <sz val="11"/>
        <color indexed="8"/>
        <rFont val="Calibri"/>
        <family val="2"/>
      </rPr>
      <t>SB,mono</t>
    </r>
  </si>
  <si>
    <r>
      <t>Rate of S</t>
    </r>
    <r>
      <rPr>
        <vertAlign val="subscript"/>
        <sz val="11"/>
        <color rgb="FF000000"/>
        <rFont val="Calibri"/>
        <family val="2"/>
        <scheme val="minor"/>
      </rPr>
      <t>B,mono</t>
    </r>
    <r>
      <rPr>
        <sz val="11"/>
        <color rgb="FF000000"/>
        <rFont val="Calibri"/>
        <family val="2"/>
        <charset val="238"/>
        <scheme val="minor"/>
      </rPr>
      <t xml:space="preserve"> degradation under anaerobic conditions</t>
    </r>
  </si>
  <si>
    <t>Reduction factor for anoxic flocculation</t>
  </si>
  <si>
    <t>Reduction factor for anaerobic flocculation</t>
  </si>
  <si>
    <t>Arrhenius coefficient for AHO growth</t>
  </si>
  <si>
    <r>
      <t>θ</t>
    </r>
    <r>
      <rPr>
        <vertAlign val="subscript"/>
        <sz val="11"/>
        <color indexed="8"/>
        <rFont val="Calibri"/>
        <family val="2"/>
      </rPr>
      <t>b,AHO</t>
    </r>
  </si>
  <si>
    <t>Arrhenius coefficient for AHO decay</t>
  </si>
  <si>
    <r>
      <t>Y</t>
    </r>
    <r>
      <rPr>
        <vertAlign val="subscript"/>
        <sz val="11"/>
        <color indexed="8"/>
        <rFont val="Calibri"/>
        <family val="2"/>
      </rPr>
      <t>OHO,SB,poly,ox</t>
    </r>
  </si>
  <si>
    <t>Yield of OHOs on readily biodegradable substrate as polymer under aerobic conditions</t>
  </si>
  <si>
    <r>
      <t>Y</t>
    </r>
    <r>
      <rPr>
        <vertAlign val="subscript"/>
        <sz val="11"/>
        <color indexed="8"/>
        <rFont val="Calibri"/>
        <family val="2"/>
      </rPr>
      <t>OHO,SB,poly,anox</t>
    </r>
  </si>
  <si>
    <t>Yield of OHOs on readily biodegradable substrate as polymer under anoxic conditions</t>
  </si>
  <si>
    <r>
      <t>Y</t>
    </r>
    <r>
      <rPr>
        <vertAlign val="subscript"/>
        <sz val="11"/>
        <color indexed="8"/>
        <rFont val="Calibri"/>
        <family val="2"/>
      </rPr>
      <t>OHO,SB,poly,ana</t>
    </r>
  </si>
  <si>
    <t>Yield of OHOs on readily biodegradable substrate as polymer under anaerobic conditions</t>
  </si>
  <si>
    <r>
      <t>Inorganic carbon content of S</t>
    </r>
    <r>
      <rPr>
        <vertAlign val="subscript"/>
        <sz val="11"/>
        <color rgb="FF000000"/>
        <rFont val="Calibri"/>
        <family val="2"/>
        <scheme val="minor"/>
      </rPr>
      <t>B,poly</t>
    </r>
    <r>
      <rPr>
        <sz val="11"/>
        <color rgb="FF000000"/>
        <rFont val="Calibri"/>
        <family val="2"/>
        <charset val="238"/>
        <scheme val="minor"/>
      </rPr>
      <t xml:space="preserve"> and S</t>
    </r>
    <r>
      <rPr>
        <vertAlign val="subscript"/>
        <sz val="11"/>
        <color rgb="FF000000"/>
        <rFont val="Calibri"/>
        <family val="2"/>
        <scheme val="minor"/>
      </rPr>
      <t>U</t>
    </r>
  </si>
  <si>
    <r>
      <t>g TIC.g COD</t>
    </r>
    <r>
      <rPr>
        <vertAlign val="superscript"/>
        <sz val="11"/>
        <color indexed="8"/>
        <rFont val="Calibri"/>
        <family val="2"/>
      </rPr>
      <t>-1</t>
    </r>
  </si>
  <si>
    <r>
      <t>C</t>
    </r>
    <r>
      <rPr>
        <vertAlign val="subscript"/>
        <sz val="11"/>
        <color indexed="8"/>
        <rFont val="Calibri"/>
        <family val="2"/>
      </rPr>
      <t>5</t>
    </r>
    <r>
      <rPr>
        <sz val="11"/>
        <color indexed="8"/>
        <rFont val="Calibri"/>
        <family val="2"/>
      </rPr>
      <t>H</t>
    </r>
    <r>
      <rPr>
        <vertAlign val="subscript"/>
        <sz val="11"/>
        <color indexed="8"/>
        <rFont val="Calibri"/>
        <family val="2"/>
      </rPr>
      <t>7</t>
    </r>
    <r>
      <rPr>
        <sz val="11"/>
        <color indexed="8"/>
        <rFont val="Calibri"/>
        <family val="2"/>
      </rPr>
      <t>O</t>
    </r>
    <r>
      <rPr>
        <vertAlign val="subscript"/>
        <sz val="11"/>
        <color indexed="8"/>
        <rFont val="Calibri"/>
        <family val="2"/>
      </rPr>
      <t>2</t>
    </r>
    <r>
      <rPr>
        <sz val="11"/>
        <color indexed="8"/>
        <rFont val="Calibri"/>
        <family val="2"/>
      </rPr>
      <t>N: 32 g COD/mol C</t>
    </r>
  </si>
  <si>
    <r>
      <t>Inorganic carbon content of S</t>
    </r>
    <r>
      <rPr>
        <vertAlign val="subscript"/>
        <sz val="11"/>
        <color rgb="FF000000"/>
        <rFont val="Calibri"/>
        <family val="2"/>
        <scheme val="minor"/>
      </rPr>
      <t>B,mono</t>
    </r>
  </si>
  <si>
    <r>
      <t>C</t>
    </r>
    <r>
      <rPr>
        <vertAlign val="subscript"/>
        <sz val="11"/>
        <color indexed="8"/>
        <rFont val="Calibri"/>
        <family val="2"/>
      </rPr>
      <t>6</t>
    </r>
    <r>
      <rPr>
        <sz val="11"/>
        <color indexed="8"/>
        <rFont val="Calibri"/>
        <family val="2"/>
      </rPr>
      <t>H</t>
    </r>
    <r>
      <rPr>
        <vertAlign val="subscript"/>
        <sz val="11"/>
        <color indexed="8"/>
        <rFont val="Calibri"/>
        <family val="2"/>
      </rPr>
      <t>12</t>
    </r>
    <r>
      <rPr>
        <sz val="11"/>
        <color indexed="8"/>
        <rFont val="Calibri"/>
        <family val="2"/>
      </rPr>
      <t>O</t>
    </r>
    <r>
      <rPr>
        <vertAlign val="subscript"/>
        <sz val="11"/>
        <color indexed="8"/>
        <rFont val="Calibri"/>
        <family val="2"/>
      </rPr>
      <t>6</t>
    </r>
    <r>
      <rPr>
        <sz val="11"/>
        <color indexed="8"/>
        <rFont val="Calibri"/>
        <family val="2"/>
      </rPr>
      <t>: 32 g COD/mol C</t>
    </r>
  </si>
  <si>
    <t>Extracellular polymeric substances (EPS) calculation</t>
  </si>
  <si>
    <r>
      <t>Y</t>
    </r>
    <r>
      <rPr>
        <vertAlign val="subscript"/>
        <sz val="11"/>
        <rFont val="Calibri"/>
        <family val="2"/>
        <scheme val="minor"/>
      </rPr>
      <t>BOD,ult</t>
    </r>
    <r>
      <rPr>
        <sz val="11"/>
        <rFont val="Calibri"/>
        <family val="2"/>
        <scheme val="minor"/>
      </rPr>
      <t>*(S</t>
    </r>
    <r>
      <rPr>
        <vertAlign val="subscript"/>
        <sz val="11"/>
        <rFont val="Calibri"/>
        <family val="2"/>
        <scheme val="minor"/>
      </rPr>
      <t>VFA</t>
    </r>
    <r>
      <rPr>
        <sz val="11"/>
        <rFont val="Calibri"/>
        <family val="2"/>
        <scheme val="minor"/>
      </rPr>
      <t>+S</t>
    </r>
    <r>
      <rPr>
        <vertAlign val="subscript"/>
        <sz val="11"/>
        <rFont val="Calibri"/>
        <family val="2"/>
        <scheme val="minor"/>
      </rPr>
      <t>B,mono</t>
    </r>
    <r>
      <rPr>
        <sz val="11"/>
        <rFont val="Calibri"/>
        <family val="2"/>
        <scheme val="minor"/>
      </rPr>
      <t>+S</t>
    </r>
    <r>
      <rPr>
        <vertAlign val="subscript"/>
        <sz val="11"/>
        <rFont val="Calibri"/>
        <family val="2"/>
        <scheme val="minor"/>
      </rPr>
      <t>B,poly</t>
    </r>
    <r>
      <rPr>
        <sz val="11"/>
        <rFont val="Calibri"/>
        <family val="2"/>
        <scheme val="minor"/>
      </rPr>
      <t>+S</t>
    </r>
    <r>
      <rPr>
        <vertAlign val="subscript"/>
        <sz val="11"/>
        <rFont val="Calibri"/>
        <family val="2"/>
        <scheme val="minor"/>
      </rPr>
      <t>MEOL</t>
    </r>
    <r>
      <rPr>
        <sz val="11"/>
        <rFont val="Calibri"/>
        <family val="2"/>
        <scheme val="minor"/>
      </rPr>
      <t>+C</t>
    </r>
    <r>
      <rPr>
        <vertAlign val="subscript"/>
        <sz val="11"/>
        <rFont val="Calibri"/>
        <family val="2"/>
        <scheme val="minor"/>
      </rPr>
      <t>B</t>
    </r>
    <r>
      <rPr>
        <sz val="11"/>
        <rFont val="Calibri"/>
        <family val="2"/>
        <scheme val="minor"/>
      </rPr>
      <t>)</t>
    </r>
  </si>
  <si>
    <r>
      <t>Y</t>
    </r>
    <r>
      <rPr>
        <vertAlign val="subscript"/>
        <sz val="11"/>
        <rFont val="Calibri"/>
        <family val="2"/>
        <scheme val="minor"/>
      </rPr>
      <t>BOD,ult</t>
    </r>
    <r>
      <rPr>
        <sz val="11"/>
        <rFont val="Calibri"/>
        <family val="2"/>
        <scheme val="minor"/>
      </rPr>
      <t>*(S</t>
    </r>
    <r>
      <rPr>
        <vertAlign val="subscript"/>
        <sz val="11"/>
        <rFont val="Calibri"/>
        <family val="2"/>
        <scheme val="minor"/>
      </rPr>
      <t>VFA</t>
    </r>
    <r>
      <rPr>
        <sz val="11"/>
        <rFont val="Calibri"/>
        <family val="2"/>
        <scheme val="minor"/>
      </rPr>
      <t>+S</t>
    </r>
    <r>
      <rPr>
        <vertAlign val="subscript"/>
        <sz val="11"/>
        <rFont val="Calibri"/>
        <family val="2"/>
        <scheme val="minor"/>
      </rPr>
      <t>B,mono</t>
    </r>
    <r>
      <rPr>
        <sz val="11"/>
        <rFont val="Calibri"/>
        <family val="2"/>
        <scheme val="minor"/>
      </rPr>
      <t>+S</t>
    </r>
    <r>
      <rPr>
        <vertAlign val="subscript"/>
        <sz val="11"/>
        <rFont val="Calibri"/>
        <family val="2"/>
        <scheme val="minor"/>
      </rPr>
      <t>B,poly</t>
    </r>
    <r>
      <rPr>
        <sz val="11"/>
        <rFont val="Calibri"/>
        <family val="2"/>
        <scheme val="minor"/>
      </rPr>
      <t>+S</t>
    </r>
    <r>
      <rPr>
        <vertAlign val="subscript"/>
        <sz val="11"/>
        <rFont val="Calibri"/>
        <family val="2"/>
        <scheme val="minor"/>
      </rPr>
      <t>MEOL</t>
    </r>
    <r>
      <rPr>
        <sz val="11"/>
        <rFont val="Calibri"/>
        <family val="2"/>
        <scheme val="minor"/>
      </rPr>
      <t>)*f</t>
    </r>
    <r>
      <rPr>
        <vertAlign val="subscript"/>
        <sz val="11"/>
        <rFont val="Calibri"/>
        <family val="2"/>
        <scheme val="minor"/>
      </rPr>
      <t xml:space="preserve">S,BOD5,BODult </t>
    </r>
    <r>
      <rPr>
        <sz val="11"/>
        <rFont val="Calibri"/>
        <family val="2"/>
        <scheme val="minor"/>
      </rPr>
      <t>+ Y</t>
    </r>
    <r>
      <rPr>
        <vertAlign val="subscript"/>
        <sz val="11"/>
        <rFont val="Calibri"/>
        <family val="2"/>
        <scheme val="minor"/>
      </rPr>
      <t>BOD,ult</t>
    </r>
    <r>
      <rPr>
        <sz val="11"/>
        <rFont val="Calibri"/>
        <family val="2"/>
        <scheme val="minor"/>
      </rPr>
      <t>*C</t>
    </r>
    <r>
      <rPr>
        <vertAlign val="subscript"/>
        <sz val="11"/>
        <rFont val="Calibri"/>
        <family val="2"/>
        <scheme val="minor"/>
      </rPr>
      <t>B</t>
    </r>
    <r>
      <rPr>
        <sz val="11"/>
        <rFont val="Calibri"/>
        <family val="2"/>
        <scheme val="minor"/>
      </rPr>
      <t>*f</t>
    </r>
    <r>
      <rPr>
        <vertAlign val="subscript"/>
        <sz val="11"/>
        <rFont val="Calibri"/>
        <family val="2"/>
        <scheme val="minor"/>
      </rPr>
      <t>C,BOD5,BODult</t>
    </r>
  </si>
  <si>
    <r>
      <t>S</t>
    </r>
    <r>
      <rPr>
        <vertAlign val="subscript"/>
        <sz val="11"/>
        <rFont val="Calibri"/>
        <family val="2"/>
        <scheme val="minor"/>
      </rPr>
      <t>U</t>
    </r>
    <r>
      <rPr>
        <sz val="11"/>
        <rFont val="Calibri"/>
        <family val="2"/>
        <scheme val="minor"/>
      </rPr>
      <t xml:space="preserve"> + S</t>
    </r>
    <r>
      <rPr>
        <vertAlign val="subscript"/>
        <sz val="11"/>
        <rFont val="Calibri"/>
        <family val="2"/>
        <scheme val="minor"/>
      </rPr>
      <t>B,mono</t>
    </r>
    <r>
      <rPr>
        <sz val="11"/>
        <rFont val="Calibri"/>
        <family val="2"/>
        <scheme val="minor"/>
      </rPr>
      <t>+S</t>
    </r>
    <r>
      <rPr>
        <vertAlign val="subscript"/>
        <sz val="11"/>
        <rFont val="Calibri"/>
        <family val="2"/>
        <scheme val="minor"/>
      </rPr>
      <t>B,poly</t>
    </r>
    <r>
      <rPr>
        <sz val="11"/>
        <rFont val="Calibri"/>
        <family val="2"/>
        <scheme val="minor"/>
      </rPr>
      <t>+S</t>
    </r>
    <r>
      <rPr>
        <vertAlign val="subscript"/>
        <sz val="11"/>
        <rFont val="Calibri"/>
        <family val="2"/>
        <scheme val="minor"/>
      </rPr>
      <t xml:space="preserve">VFA </t>
    </r>
    <r>
      <rPr>
        <sz val="11"/>
        <rFont val="Calibri"/>
        <family val="2"/>
        <scheme val="minor"/>
      </rPr>
      <t>+S</t>
    </r>
    <r>
      <rPr>
        <vertAlign val="subscript"/>
        <sz val="11"/>
        <rFont val="Calibri"/>
        <family val="2"/>
        <scheme val="minor"/>
      </rPr>
      <t>MEOL</t>
    </r>
  </si>
  <si>
    <r>
      <t>K</t>
    </r>
    <r>
      <rPr>
        <vertAlign val="subscript"/>
        <sz val="11"/>
        <rFont val="Calibri"/>
        <family val="2"/>
        <scheme val="minor"/>
      </rPr>
      <t>SB,poly</t>
    </r>
  </si>
  <si>
    <r>
      <t>K</t>
    </r>
    <r>
      <rPr>
        <vertAlign val="subscript"/>
        <sz val="11"/>
        <rFont val="Calibri"/>
        <family val="2"/>
        <scheme val="minor"/>
      </rPr>
      <t>SB,poly,AS</t>
    </r>
  </si>
  <si>
    <r>
      <t>K</t>
    </r>
    <r>
      <rPr>
        <vertAlign val="subscript"/>
        <sz val="11"/>
        <rFont val="Calibri"/>
        <family val="2"/>
        <scheme val="minor"/>
      </rPr>
      <t>SB,poly,ana</t>
    </r>
  </si>
  <si>
    <t>Half-saturation of readily biodegradable substrate as polymers in fermentation by OHOs</t>
  </si>
  <si>
    <r>
      <t>K</t>
    </r>
    <r>
      <rPr>
        <vertAlign val="subscript"/>
        <sz val="11"/>
        <rFont val="Calibri"/>
        <family val="2"/>
        <scheme val="minor"/>
      </rPr>
      <t>SB,poly,ana,AS</t>
    </r>
  </si>
  <si>
    <r>
      <t>K</t>
    </r>
    <r>
      <rPr>
        <vertAlign val="subscript"/>
        <sz val="11"/>
        <rFont val="Calibri"/>
        <family val="2"/>
        <scheme val="minor"/>
      </rPr>
      <t>SB,mono</t>
    </r>
  </si>
  <si>
    <t>Half-saturation of readily biodegradable substrate as monomers for AHOs</t>
  </si>
  <si>
    <r>
      <t>K</t>
    </r>
    <r>
      <rPr>
        <vertAlign val="subscript"/>
        <sz val="11"/>
        <rFont val="Calibri"/>
        <family val="2"/>
        <scheme val="minor"/>
      </rPr>
      <t>SB,mono,AS</t>
    </r>
  </si>
  <si>
    <r>
      <t>Msat</t>
    </r>
    <r>
      <rPr>
        <vertAlign val="subscript"/>
        <sz val="11"/>
        <rFont val="Calibri"/>
        <family val="2"/>
        <scheme val="minor"/>
      </rPr>
      <t>SB,KSB,poly</t>
    </r>
  </si>
  <si>
    <t>Saturation term for readily biodegradable substrate as polymers (OHO)</t>
  </si>
  <si>
    <r>
      <t>Msat(S</t>
    </r>
    <r>
      <rPr>
        <vertAlign val="subscript"/>
        <sz val="11"/>
        <rFont val="Calibri"/>
        <family val="2"/>
        <scheme val="minor"/>
      </rPr>
      <t>B,poly</t>
    </r>
    <r>
      <rPr>
        <sz val="11"/>
        <rFont val="Calibri"/>
        <family val="2"/>
        <scheme val="minor"/>
      </rPr>
      <t>;K</t>
    </r>
    <r>
      <rPr>
        <vertAlign val="subscript"/>
        <sz val="11"/>
        <rFont val="Calibri"/>
        <family val="2"/>
        <scheme val="minor"/>
      </rPr>
      <t>SB,poly</t>
    </r>
    <r>
      <rPr>
        <sz val="11"/>
        <rFont val="Calibri"/>
        <family val="2"/>
        <scheme val="minor"/>
      </rPr>
      <t>)</t>
    </r>
  </si>
  <si>
    <r>
      <t>Msat</t>
    </r>
    <r>
      <rPr>
        <vertAlign val="subscript"/>
        <sz val="11"/>
        <rFont val="Calibri"/>
        <family val="2"/>
        <scheme val="minor"/>
      </rPr>
      <t>SB,KSB,poly,ana</t>
    </r>
  </si>
  <si>
    <t>Saturation term for readily biodegradable substrate as polymers (OHO, anaerobic)</t>
  </si>
  <si>
    <r>
      <t>Msat(S</t>
    </r>
    <r>
      <rPr>
        <vertAlign val="subscript"/>
        <sz val="11"/>
        <rFont val="Calibri"/>
        <family val="2"/>
        <scheme val="minor"/>
      </rPr>
      <t>B,poly</t>
    </r>
    <r>
      <rPr>
        <sz val="11"/>
        <rFont val="Calibri"/>
        <family val="2"/>
        <scheme val="minor"/>
      </rPr>
      <t>;K</t>
    </r>
    <r>
      <rPr>
        <vertAlign val="subscript"/>
        <sz val="11"/>
        <rFont val="Calibri"/>
        <family val="2"/>
        <scheme val="minor"/>
      </rPr>
      <t>SB,poly,ana</t>
    </r>
    <r>
      <rPr>
        <sz val="11"/>
        <rFont val="Calibri"/>
        <family val="2"/>
        <scheme val="minor"/>
      </rPr>
      <t>)</t>
    </r>
  </si>
  <si>
    <r>
      <t>Msat</t>
    </r>
    <r>
      <rPr>
        <vertAlign val="subscript"/>
        <sz val="11"/>
        <rFont val="Calibri"/>
        <family val="2"/>
        <scheme val="minor"/>
      </rPr>
      <t>SB,KSB,mono</t>
    </r>
  </si>
  <si>
    <t>Saturation term for readily biodegradable substrate as monomers (AHO)</t>
  </si>
  <si>
    <r>
      <t>Msat(S</t>
    </r>
    <r>
      <rPr>
        <vertAlign val="subscript"/>
        <sz val="11"/>
        <rFont val="Calibri"/>
        <family val="2"/>
        <scheme val="minor"/>
      </rPr>
      <t>B,mono</t>
    </r>
    <r>
      <rPr>
        <sz val="11"/>
        <rFont val="Calibri"/>
        <family val="2"/>
        <scheme val="minor"/>
      </rPr>
      <t>;K</t>
    </r>
    <r>
      <rPr>
        <vertAlign val="subscript"/>
        <sz val="11"/>
        <rFont val="Calibri"/>
        <family val="2"/>
        <scheme val="minor"/>
      </rPr>
      <t>SB,mono</t>
    </r>
    <r>
      <rPr>
        <sz val="11"/>
        <rFont val="Calibri"/>
        <family val="2"/>
        <scheme val="minor"/>
      </rPr>
      <t>)</t>
    </r>
  </si>
  <si>
    <r>
      <t>MRsat</t>
    </r>
    <r>
      <rPr>
        <vertAlign val="subscript"/>
        <sz val="11"/>
        <rFont val="Calibri"/>
        <family val="2"/>
        <scheme val="minor"/>
      </rPr>
      <t>XSTO,XAHO,KSTO</t>
    </r>
  </si>
  <si>
    <t>Saturation term for STO storage in AHO (AHO)</t>
  </si>
  <si>
    <r>
      <t>MRsat(X</t>
    </r>
    <r>
      <rPr>
        <vertAlign val="subscript"/>
        <sz val="11"/>
        <rFont val="Calibri"/>
        <family val="2"/>
        <scheme val="minor"/>
      </rPr>
      <t>STO</t>
    </r>
    <r>
      <rPr>
        <sz val="11"/>
        <rFont val="Calibri"/>
        <family val="2"/>
        <scheme val="minor"/>
      </rPr>
      <t>;X</t>
    </r>
    <r>
      <rPr>
        <vertAlign val="subscript"/>
        <sz val="11"/>
        <rFont val="Calibri"/>
        <family val="2"/>
        <scheme val="minor"/>
      </rPr>
      <t>AHO</t>
    </r>
    <r>
      <rPr>
        <sz val="11"/>
        <rFont val="Calibri"/>
        <family val="2"/>
        <scheme val="minor"/>
      </rPr>
      <t>;K</t>
    </r>
    <r>
      <rPr>
        <vertAlign val="subscript"/>
        <sz val="11"/>
        <rFont val="Calibri"/>
        <family val="2"/>
        <scheme val="minor"/>
      </rPr>
      <t>STO</t>
    </r>
    <r>
      <rPr>
        <sz val="11"/>
        <rFont val="Calibri"/>
        <family val="2"/>
        <scheme val="minor"/>
      </rPr>
      <t>)</t>
    </r>
  </si>
  <si>
    <r>
      <t>µ</t>
    </r>
    <r>
      <rPr>
        <vertAlign val="subscript"/>
        <sz val="11"/>
        <color indexed="8"/>
        <rFont val="Calibri"/>
        <family val="2"/>
        <scheme val="minor"/>
      </rPr>
      <t>AHO,T</t>
    </r>
  </si>
  <si>
    <t>Maximum specific growth rate of AHOs (temperature corrected)</t>
  </si>
  <si>
    <r>
      <t>µ</t>
    </r>
    <r>
      <rPr>
        <vertAlign val="subscript"/>
        <sz val="11"/>
        <color indexed="8"/>
        <rFont val="Calibri"/>
        <family val="2"/>
        <scheme val="minor"/>
      </rPr>
      <t>AHO</t>
    </r>
    <r>
      <rPr>
        <sz val="11"/>
        <color indexed="8"/>
        <rFont val="Calibri"/>
        <family val="2"/>
        <scheme val="minor"/>
      </rPr>
      <t>*Arrh(θ</t>
    </r>
    <r>
      <rPr>
        <vertAlign val="subscript"/>
        <sz val="11"/>
        <color indexed="8"/>
        <rFont val="Calibri"/>
        <family val="2"/>
        <scheme val="minor"/>
      </rPr>
      <t>µ,AHO</t>
    </r>
    <r>
      <rPr>
        <sz val="11"/>
        <color indexed="8"/>
        <rFont val="Calibri"/>
        <family val="2"/>
        <scheme val="minor"/>
      </rPr>
      <t>; T; T</t>
    </r>
    <r>
      <rPr>
        <vertAlign val="subscript"/>
        <sz val="11"/>
        <color indexed="8"/>
        <rFont val="Calibri"/>
        <family val="2"/>
        <scheme val="minor"/>
      </rPr>
      <t>base</t>
    </r>
    <r>
      <rPr>
        <sz val="11"/>
        <color indexed="8"/>
        <rFont val="Calibri"/>
        <family val="2"/>
        <scheme val="minor"/>
      </rPr>
      <t>)</t>
    </r>
  </si>
  <si>
    <r>
      <t>b</t>
    </r>
    <r>
      <rPr>
        <vertAlign val="subscript"/>
        <sz val="11"/>
        <color indexed="8"/>
        <rFont val="Calibri"/>
        <family val="2"/>
        <scheme val="minor"/>
      </rPr>
      <t>AHO,T</t>
    </r>
  </si>
  <si>
    <t>Decay rate of AHOs (temperature corrected)</t>
  </si>
  <si>
    <r>
      <t>b</t>
    </r>
    <r>
      <rPr>
        <vertAlign val="subscript"/>
        <sz val="11"/>
        <color indexed="8"/>
        <rFont val="Calibri"/>
        <family val="2"/>
        <scheme val="minor"/>
      </rPr>
      <t>AHO</t>
    </r>
    <r>
      <rPr>
        <sz val="11"/>
        <color indexed="8"/>
        <rFont val="Calibri"/>
        <family val="2"/>
        <scheme val="minor"/>
      </rPr>
      <t>*Arrh(θ</t>
    </r>
    <r>
      <rPr>
        <vertAlign val="subscript"/>
        <sz val="11"/>
        <color indexed="8"/>
        <rFont val="Calibri"/>
        <family val="2"/>
        <scheme val="minor"/>
      </rPr>
      <t>b,AHO</t>
    </r>
    <r>
      <rPr>
        <sz val="11"/>
        <color indexed="8"/>
        <rFont val="Calibri"/>
        <family val="2"/>
        <scheme val="minor"/>
      </rPr>
      <t>;T;T</t>
    </r>
    <r>
      <rPr>
        <vertAlign val="subscript"/>
        <sz val="11"/>
        <color indexed="8"/>
        <rFont val="Calibri"/>
        <family val="2"/>
        <scheme val="minor"/>
      </rPr>
      <t>base</t>
    </r>
    <r>
      <rPr>
        <sz val="11"/>
        <color indexed="8"/>
        <rFont val="Calibri"/>
        <family val="2"/>
        <scheme val="minor"/>
      </rPr>
      <t>)</t>
    </r>
  </si>
  <si>
    <r>
      <rPr>
        <sz val="11"/>
        <color indexed="8"/>
        <rFont val="Calibri"/>
        <family val="2"/>
      </rPr>
      <t>θ</t>
    </r>
    <r>
      <rPr>
        <vertAlign val="subscript"/>
        <sz val="11"/>
        <color indexed="8"/>
        <rFont val="Calibri"/>
        <family val="2"/>
      </rPr>
      <t>µ,AHO</t>
    </r>
  </si>
  <si>
    <r>
      <t>(1-Y</t>
    </r>
    <r>
      <rPr>
        <vertAlign val="subscript"/>
        <sz val="11"/>
        <rFont val="Calibri"/>
        <family val="2"/>
      </rPr>
      <t>OHO,SB,poly,ana</t>
    </r>
    <r>
      <rPr>
        <sz val="11"/>
        <rFont val="Calibri"/>
        <family val="2"/>
      </rPr>
      <t>-Y</t>
    </r>
    <r>
      <rPr>
        <vertAlign val="subscript"/>
        <sz val="11"/>
        <rFont val="Calibri"/>
        <family val="2"/>
      </rPr>
      <t>OHO,H2,ana,high</t>
    </r>
    <r>
      <rPr>
        <sz val="11"/>
        <rFont val="Calibri"/>
        <family val="2"/>
      </rPr>
      <t>)/Y</t>
    </r>
    <r>
      <rPr>
        <vertAlign val="subscript"/>
        <sz val="11"/>
        <rFont val="Calibri"/>
        <family val="2"/>
      </rPr>
      <t>OHO,SB,poly,ana</t>
    </r>
  </si>
  <si>
    <r>
      <t>(1-Y</t>
    </r>
    <r>
      <rPr>
        <vertAlign val="subscript"/>
        <sz val="11"/>
        <rFont val="Calibri"/>
        <family val="2"/>
      </rPr>
      <t>OHO,SB,poly,ana</t>
    </r>
    <r>
      <rPr>
        <sz val="11"/>
        <rFont val="Calibri"/>
        <family val="2"/>
      </rPr>
      <t>-Y</t>
    </r>
    <r>
      <rPr>
        <vertAlign val="subscript"/>
        <sz val="11"/>
        <rFont val="Calibri"/>
        <family val="2"/>
      </rPr>
      <t>OHO,H2,ana,low</t>
    </r>
    <r>
      <rPr>
        <sz val="11"/>
        <rFont val="Calibri"/>
        <family val="2"/>
      </rPr>
      <t>)/Y</t>
    </r>
    <r>
      <rPr>
        <vertAlign val="subscript"/>
        <sz val="11"/>
        <rFont val="Calibri"/>
        <family val="2"/>
      </rPr>
      <t>OHO,SB,poly,ana</t>
    </r>
  </si>
  <si>
    <r>
      <t>-EEQ</t>
    </r>
    <r>
      <rPr>
        <vertAlign val="subscript"/>
        <sz val="11"/>
        <color indexed="8"/>
        <rFont val="Calibri"/>
        <family val="2"/>
      </rPr>
      <t>Fe2</t>
    </r>
    <r>
      <rPr>
        <sz val="11"/>
        <color indexed="8"/>
        <rFont val="Calibri"/>
        <family val="2"/>
      </rPr>
      <t>*S</t>
    </r>
    <r>
      <rPr>
        <vertAlign val="subscript"/>
        <sz val="11"/>
        <color indexed="8"/>
        <rFont val="Calibri"/>
        <family val="2"/>
      </rPr>
      <t>VFA</t>
    </r>
    <r>
      <rPr>
        <sz val="11"/>
        <color indexed="8"/>
        <rFont val="Calibri"/>
        <family val="2"/>
      </rPr>
      <t>/(S</t>
    </r>
    <r>
      <rPr>
        <vertAlign val="subscript"/>
        <sz val="11"/>
        <color indexed="8"/>
        <rFont val="Calibri"/>
        <family val="2"/>
      </rPr>
      <t>B,poly</t>
    </r>
    <r>
      <rPr>
        <sz val="11"/>
        <color indexed="8"/>
        <rFont val="Calibri"/>
        <family val="2"/>
      </rPr>
      <t>+S</t>
    </r>
    <r>
      <rPr>
        <vertAlign val="subscript"/>
        <sz val="11"/>
        <color indexed="8"/>
        <rFont val="Calibri"/>
        <family val="2"/>
      </rPr>
      <t>VFA</t>
    </r>
    <r>
      <rPr>
        <sz val="11"/>
        <color indexed="8"/>
        <rFont val="Calibri"/>
        <family val="2"/>
      </rPr>
      <t>)</t>
    </r>
  </si>
  <si>
    <r>
      <t>-EEQ</t>
    </r>
    <r>
      <rPr>
        <vertAlign val="subscript"/>
        <sz val="11"/>
        <color indexed="8"/>
        <rFont val="Calibri"/>
        <family val="2"/>
      </rPr>
      <t>Fe2</t>
    </r>
    <r>
      <rPr>
        <sz val="11"/>
        <color indexed="8"/>
        <rFont val="Calibri"/>
        <family val="2"/>
      </rPr>
      <t>*S</t>
    </r>
    <r>
      <rPr>
        <vertAlign val="subscript"/>
        <sz val="11"/>
        <color indexed="8"/>
        <rFont val="Calibri"/>
        <family val="2"/>
      </rPr>
      <t>B,poly</t>
    </r>
    <r>
      <rPr>
        <sz val="11"/>
        <color indexed="8"/>
        <rFont val="Calibri"/>
        <family val="2"/>
      </rPr>
      <t>/(S</t>
    </r>
    <r>
      <rPr>
        <vertAlign val="subscript"/>
        <sz val="11"/>
        <color indexed="8"/>
        <rFont val="Calibri"/>
        <family val="2"/>
      </rPr>
      <t>B,poly</t>
    </r>
    <r>
      <rPr>
        <sz val="11"/>
        <color indexed="8"/>
        <rFont val="Calibri"/>
        <family val="2"/>
      </rPr>
      <t>+S</t>
    </r>
    <r>
      <rPr>
        <vertAlign val="subscript"/>
        <sz val="11"/>
        <color indexed="8"/>
        <rFont val="Calibri"/>
        <family val="2"/>
      </rPr>
      <t>VFA</t>
    </r>
    <r>
      <rPr>
        <sz val="11"/>
        <color indexed="8"/>
        <rFont val="Calibri"/>
        <family val="2"/>
      </rPr>
      <t>)</t>
    </r>
  </si>
  <si>
    <r>
      <t>i</t>
    </r>
    <r>
      <rPr>
        <vertAlign val="subscript"/>
        <sz val="11"/>
        <color indexed="8"/>
        <rFont val="Calibri"/>
        <family val="2"/>
      </rPr>
      <t>CIT,SB,poly</t>
    </r>
    <r>
      <rPr>
        <sz val="11"/>
        <color indexed="8"/>
        <rFont val="Calibri"/>
        <family val="2"/>
      </rPr>
      <t>*EEQ</t>
    </r>
    <r>
      <rPr>
        <vertAlign val="subscript"/>
        <sz val="11"/>
        <color indexed="8"/>
        <rFont val="Calibri"/>
        <family val="2"/>
      </rPr>
      <t>Fe2</t>
    </r>
    <r>
      <rPr>
        <sz val="11"/>
        <color indexed="8"/>
        <rFont val="Calibri"/>
        <family val="2"/>
      </rPr>
      <t>*S</t>
    </r>
    <r>
      <rPr>
        <vertAlign val="subscript"/>
        <sz val="11"/>
        <color indexed="8"/>
        <rFont val="Calibri"/>
        <family val="2"/>
      </rPr>
      <t>B,poly</t>
    </r>
    <r>
      <rPr>
        <sz val="11"/>
        <color indexed="8"/>
        <rFont val="Calibri"/>
        <family val="2"/>
      </rPr>
      <t>/(S</t>
    </r>
    <r>
      <rPr>
        <vertAlign val="subscript"/>
        <sz val="11"/>
        <color indexed="8"/>
        <rFont val="Calibri"/>
        <family val="2"/>
      </rPr>
      <t>B,poly</t>
    </r>
    <r>
      <rPr>
        <sz val="11"/>
        <color indexed="8"/>
        <rFont val="Calibri"/>
        <family val="2"/>
      </rPr>
      <t>+S</t>
    </r>
    <r>
      <rPr>
        <vertAlign val="subscript"/>
        <sz val="11"/>
        <color indexed="8"/>
        <rFont val="Calibri"/>
        <family val="2"/>
      </rPr>
      <t>VFA</t>
    </r>
    <r>
      <rPr>
        <sz val="11"/>
        <color indexed="8"/>
        <rFont val="Calibri"/>
        <family val="2"/>
      </rPr>
      <t>)+i</t>
    </r>
    <r>
      <rPr>
        <vertAlign val="subscript"/>
        <sz val="11"/>
        <color indexed="8"/>
        <rFont val="Calibri"/>
        <family val="2"/>
      </rPr>
      <t>CIT,VFA</t>
    </r>
    <r>
      <rPr>
        <sz val="11"/>
        <color indexed="8"/>
        <rFont val="Calibri"/>
        <family val="2"/>
      </rPr>
      <t>*EEQ</t>
    </r>
    <r>
      <rPr>
        <vertAlign val="subscript"/>
        <sz val="11"/>
        <color indexed="8"/>
        <rFont val="Calibri"/>
        <family val="2"/>
      </rPr>
      <t>Fe2</t>
    </r>
    <r>
      <rPr>
        <sz val="11"/>
        <color indexed="8"/>
        <rFont val="Calibri"/>
        <family val="2"/>
      </rPr>
      <t>*S</t>
    </r>
    <r>
      <rPr>
        <vertAlign val="subscript"/>
        <sz val="11"/>
        <color indexed="8"/>
        <rFont val="Calibri"/>
        <family val="2"/>
      </rPr>
      <t>VFA</t>
    </r>
    <r>
      <rPr>
        <sz val="11"/>
        <color indexed="8"/>
        <rFont val="Calibri"/>
        <family val="2"/>
      </rPr>
      <t>/(S</t>
    </r>
    <r>
      <rPr>
        <vertAlign val="subscript"/>
        <sz val="11"/>
        <color indexed="8"/>
        <rFont val="Calibri"/>
        <family val="2"/>
      </rPr>
      <t>B,poly</t>
    </r>
    <r>
      <rPr>
        <sz val="11"/>
        <color indexed="8"/>
        <rFont val="Calibri"/>
        <family val="2"/>
      </rPr>
      <t>+S</t>
    </r>
    <r>
      <rPr>
        <vertAlign val="subscript"/>
        <sz val="11"/>
        <color indexed="8"/>
        <rFont val="Calibri"/>
        <family val="2"/>
      </rPr>
      <t>VFA</t>
    </r>
    <r>
      <rPr>
        <sz val="11"/>
        <color indexed="8"/>
        <rFont val="Calibri"/>
        <family val="2"/>
      </rPr>
      <t>)</t>
    </r>
  </si>
  <si>
    <r>
      <t>f</t>
    </r>
    <r>
      <rPr>
        <vertAlign val="subscript"/>
        <sz val="11"/>
        <color indexed="8"/>
        <rFont val="Calibri"/>
        <family val="2"/>
      </rPr>
      <t>C</t>
    </r>
  </si>
  <si>
    <t>Fraction of colloidal substrate produced in biomass decay</t>
  </si>
  <si>
    <r>
      <t>g C</t>
    </r>
    <r>
      <rPr>
        <sz val="11"/>
        <color indexed="8"/>
        <rFont val="Calibri"/>
        <family val="2"/>
      </rPr>
      <t>.g X</t>
    </r>
    <r>
      <rPr>
        <vertAlign val="subscript"/>
        <sz val="11"/>
        <color indexed="8"/>
        <rFont val="Calibri"/>
        <family val="2"/>
      </rPr>
      <t>BIO</t>
    </r>
    <r>
      <rPr>
        <vertAlign val="superscript"/>
        <sz val="11"/>
        <color indexed="8"/>
        <rFont val="Calibri"/>
        <family val="2"/>
      </rPr>
      <t>-1</t>
    </r>
  </si>
  <si>
    <r>
      <t>(1-f</t>
    </r>
    <r>
      <rPr>
        <vertAlign val="subscript"/>
        <sz val="11"/>
        <color indexed="8"/>
        <rFont val="Calibri"/>
        <family val="2"/>
      </rPr>
      <t>E</t>
    </r>
    <r>
      <rPr>
        <sz val="11"/>
        <color indexed="8"/>
        <rFont val="Calibri"/>
        <family val="2"/>
      </rPr>
      <t>)*(1-f</t>
    </r>
    <r>
      <rPr>
        <vertAlign val="subscript"/>
        <sz val="11"/>
        <color indexed="8"/>
        <rFont val="Calibri"/>
        <family val="2"/>
      </rPr>
      <t>C</t>
    </r>
    <r>
      <rPr>
        <sz val="11"/>
        <color indexed="8"/>
        <rFont val="Calibri"/>
        <family val="2"/>
      </rPr>
      <t>)</t>
    </r>
  </si>
  <si>
    <r>
      <t>Y</t>
    </r>
    <r>
      <rPr>
        <vertAlign val="subscript"/>
        <sz val="11"/>
        <rFont val="Calibri"/>
        <family val="2"/>
      </rPr>
      <t>OHO,H2,ana,high</t>
    </r>
    <r>
      <rPr>
        <sz val="11"/>
        <rFont val="Calibri"/>
        <family val="2"/>
      </rPr>
      <t>/Y</t>
    </r>
    <r>
      <rPr>
        <vertAlign val="subscript"/>
        <sz val="11"/>
        <rFont val="Calibri"/>
        <family val="2"/>
      </rPr>
      <t>OHO,SB,poly,ana</t>
    </r>
  </si>
  <si>
    <r>
      <t>Y</t>
    </r>
    <r>
      <rPr>
        <vertAlign val="subscript"/>
        <sz val="11"/>
        <rFont val="Calibri"/>
        <family val="2"/>
      </rPr>
      <t>OHO,H2,ana,low</t>
    </r>
    <r>
      <rPr>
        <sz val="11"/>
        <rFont val="Calibri"/>
        <family val="2"/>
      </rPr>
      <t>/Y</t>
    </r>
    <r>
      <rPr>
        <vertAlign val="subscript"/>
        <sz val="11"/>
        <rFont val="Calibri"/>
        <family val="2"/>
      </rPr>
      <t>OHO,SB,poly,ana</t>
    </r>
  </si>
  <si>
    <t>AHO anaerobic decay</t>
  </si>
  <si>
    <t>r90</t>
  </si>
  <si>
    <r>
      <t>(i</t>
    </r>
    <r>
      <rPr>
        <vertAlign val="subscript"/>
        <sz val="11"/>
        <rFont val="Calibri"/>
        <family val="2"/>
      </rPr>
      <t>CIT,SB,poly</t>
    </r>
    <r>
      <rPr>
        <sz val="11"/>
        <rFont val="Calibri"/>
        <family val="2"/>
      </rPr>
      <t>-i</t>
    </r>
    <r>
      <rPr>
        <vertAlign val="subscript"/>
        <sz val="11"/>
        <rFont val="Calibri"/>
        <family val="2"/>
      </rPr>
      <t>CIT,VFA</t>
    </r>
    <r>
      <rPr>
        <sz val="11"/>
        <rFont val="Calibri"/>
        <family val="2"/>
      </rPr>
      <t>*(1-Y</t>
    </r>
    <r>
      <rPr>
        <vertAlign val="subscript"/>
        <sz val="11"/>
        <rFont val="Calibri"/>
        <family val="2"/>
      </rPr>
      <t>OHO,SB,poly,ana</t>
    </r>
    <r>
      <rPr>
        <sz val="11"/>
        <rFont val="Calibri"/>
        <family val="2"/>
      </rPr>
      <t>-Y</t>
    </r>
    <r>
      <rPr>
        <vertAlign val="subscript"/>
        <sz val="11"/>
        <rFont val="Calibri"/>
        <family val="2"/>
      </rPr>
      <t>OHO,H2,ana,high</t>
    </r>
    <r>
      <rPr>
        <sz val="11"/>
        <rFont val="Calibri"/>
        <family val="2"/>
      </rPr>
      <t>)-i</t>
    </r>
    <r>
      <rPr>
        <vertAlign val="subscript"/>
        <sz val="11"/>
        <rFont val="Calibri"/>
        <family val="2"/>
      </rPr>
      <t>CIT,BIO</t>
    </r>
    <r>
      <rPr>
        <sz val="11"/>
        <rFont val="Calibri"/>
        <family val="2"/>
      </rPr>
      <t>*Y</t>
    </r>
    <r>
      <rPr>
        <vertAlign val="subscript"/>
        <sz val="11"/>
        <rFont val="Calibri"/>
        <family val="2"/>
      </rPr>
      <t>OHO,SB,poly,ana</t>
    </r>
    <r>
      <rPr>
        <sz val="11"/>
        <rFont val="Calibri"/>
        <family val="2"/>
      </rPr>
      <t>)/Y</t>
    </r>
    <r>
      <rPr>
        <vertAlign val="subscript"/>
        <sz val="11"/>
        <rFont val="Calibri"/>
        <family val="2"/>
      </rPr>
      <t>OHO,SB,poly,ana</t>
    </r>
  </si>
  <si>
    <r>
      <t>i</t>
    </r>
    <r>
      <rPr>
        <vertAlign val="subscript"/>
        <sz val="11"/>
        <rFont val="Calibri"/>
        <family val="2"/>
      </rPr>
      <t>CIT,BIO</t>
    </r>
    <r>
      <rPr>
        <sz val="11"/>
        <rFont val="Calibri"/>
        <family val="2"/>
      </rPr>
      <t>-i</t>
    </r>
    <r>
      <rPr>
        <vertAlign val="subscript"/>
        <sz val="11"/>
        <rFont val="Calibri"/>
        <family val="2"/>
      </rPr>
      <t>CIT,SB,poly</t>
    </r>
  </si>
  <si>
    <r>
      <t>S</t>
    </r>
    <r>
      <rPr>
        <vertAlign val="subscript"/>
        <sz val="11"/>
        <rFont val="Calibri"/>
        <family val="2"/>
      </rPr>
      <t>B</t>
    </r>
    <r>
      <rPr>
        <sz val="11"/>
        <rFont val="Calibri"/>
        <family val="2"/>
      </rPr>
      <t xml:space="preserve"> fermentation with high VFA (PAO growth, anaerobic)</t>
    </r>
  </si>
  <si>
    <r>
      <t>S</t>
    </r>
    <r>
      <rPr>
        <vertAlign val="subscript"/>
        <sz val="11"/>
        <rFont val="Calibri"/>
        <family val="2"/>
      </rPr>
      <t>B</t>
    </r>
    <r>
      <rPr>
        <sz val="11"/>
        <rFont val="Calibri"/>
        <family val="2"/>
      </rPr>
      <t xml:space="preserve"> fermentation with low VFA (PAO growth, anaerobic)</t>
    </r>
  </si>
  <si>
    <r>
      <t>Y</t>
    </r>
    <r>
      <rPr>
        <vertAlign val="subscript"/>
        <sz val="11"/>
        <color indexed="8"/>
        <rFont val="Calibri"/>
        <family val="2"/>
      </rPr>
      <t>AHO,XSTO,ox</t>
    </r>
  </si>
  <si>
    <t>Yield of AHOs on storage product</t>
  </si>
  <si>
    <t>Half-saturation of readily biodegradable substrate as polymers for OHOs (AS)</t>
  </si>
  <si>
    <r>
      <t>-1/Y</t>
    </r>
    <r>
      <rPr>
        <vertAlign val="subscript"/>
        <sz val="11"/>
        <color indexed="8"/>
        <rFont val="Calibri"/>
        <family val="2"/>
      </rPr>
      <t>AHO,XSTO,ox</t>
    </r>
  </si>
  <si>
    <r>
      <t>-(1-Y</t>
    </r>
    <r>
      <rPr>
        <vertAlign val="subscript"/>
        <sz val="11"/>
        <color indexed="8"/>
        <rFont val="Calibri"/>
        <family val="2"/>
      </rPr>
      <t>AHO,XSTO,ox</t>
    </r>
    <r>
      <rPr>
        <sz val="11"/>
        <color indexed="8"/>
        <rFont val="Calibri"/>
        <family val="2"/>
      </rPr>
      <t>)/Y</t>
    </r>
    <r>
      <rPr>
        <vertAlign val="subscript"/>
        <sz val="11"/>
        <color indexed="8"/>
        <rFont val="Calibri"/>
        <family val="2"/>
      </rPr>
      <t>AHO,XSTO,ox</t>
    </r>
  </si>
  <si>
    <r>
      <t>i</t>
    </r>
    <r>
      <rPr>
        <vertAlign val="subscript"/>
        <sz val="11"/>
        <color indexed="8"/>
        <rFont val="Calibri"/>
        <family val="2"/>
      </rPr>
      <t>CIT,SB,mono</t>
    </r>
    <r>
      <rPr>
        <sz val="11"/>
        <color indexed="8"/>
        <rFont val="Calibri"/>
        <family val="2"/>
      </rPr>
      <t>/Y</t>
    </r>
    <r>
      <rPr>
        <vertAlign val="subscript"/>
        <sz val="11"/>
        <color indexed="8"/>
        <rFont val="Calibri"/>
        <family val="2"/>
      </rPr>
      <t>AHO,XSTO,ox</t>
    </r>
    <r>
      <rPr>
        <sz val="11"/>
        <color indexed="8"/>
        <rFont val="Calibri"/>
        <family val="2"/>
      </rPr>
      <t>-i</t>
    </r>
    <r>
      <rPr>
        <vertAlign val="subscript"/>
        <sz val="11"/>
        <color indexed="8"/>
        <rFont val="Calibri"/>
        <family val="2"/>
      </rPr>
      <t>CIT,BIO</t>
    </r>
  </si>
  <si>
    <r>
      <t>(1-f</t>
    </r>
    <r>
      <rPr>
        <vertAlign val="subscript"/>
        <sz val="11"/>
        <color indexed="8"/>
        <rFont val="Calibri"/>
        <family val="2"/>
      </rPr>
      <t>E</t>
    </r>
    <r>
      <rPr>
        <sz val="11"/>
        <color indexed="8"/>
        <rFont val="Calibri"/>
        <family val="2"/>
      </rPr>
      <t>)*(1-f</t>
    </r>
    <r>
      <rPr>
        <vertAlign val="subscript"/>
        <sz val="11"/>
        <color indexed="8"/>
        <rFont val="Calibri"/>
        <family val="2"/>
      </rPr>
      <t>C</t>
    </r>
    <r>
      <rPr>
        <sz val="11"/>
        <color indexed="8"/>
        <rFont val="Calibri"/>
        <family val="2"/>
      </rPr>
      <t>)*i</t>
    </r>
    <r>
      <rPr>
        <vertAlign val="subscript"/>
        <sz val="11"/>
        <color indexed="8"/>
        <rFont val="Calibri"/>
        <family val="2"/>
      </rPr>
      <t>N,BIO</t>
    </r>
  </si>
  <si>
    <r>
      <t>(1-f</t>
    </r>
    <r>
      <rPr>
        <vertAlign val="subscript"/>
        <sz val="11"/>
        <color indexed="8"/>
        <rFont val="Calibri"/>
        <family val="2"/>
      </rPr>
      <t>E</t>
    </r>
    <r>
      <rPr>
        <sz val="11"/>
        <color indexed="8"/>
        <rFont val="Calibri"/>
        <family val="2"/>
      </rPr>
      <t>)*(1-f</t>
    </r>
    <r>
      <rPr>
        <vertAlign val="subscript"/>
        <sz val="11"/>
        <color indexed="8"/>
        <rFont val="Calibri"/>
        <family val="2"/>
      </rPr>
      <t>C</t>
    </r>
    <r>
      <rPr>
        <sz val="11"/>
        <color indexed="8"/>
        <rFont val="Calibri"/>
        <family val="2"/>
      </rPr>
      <t>)*i</t>
    </r>
    <r>
      <rPr>
        <vertAlign val="subscript"/>
        <sz val="11"/>
        <color indexed="8"/>
        <rFont val="Calibri"/>
        <family val="2"/>
      </rPr>
      <t>P,BIO</t>
    </r>
  </si>
  <si>
    <r>
      <t>f(X</t>
    </r>
    <r>
      <rPr>
        <vertAlign val="subscript"/>
        <sz val="11"/>
        <rFont val="Calibri"/>
        <family val="2"/>
      </rPr>
      <t>AHO</t>
    </r>
    <r>
      <rPr>
        <sz val="11"/>
        <rFont val="Calibri"/>
        <family val="2"/>
      </rPr>
      <t>)</t>
    </r>
  </si>
  <si>
    <t>2-step nitrification</t>
  </si>
  <si>
    <t>COD removal including 2-step denitrification</t>
  </si>
  <si>
    <t>A-Stage heterotrophs</t>
  </si>
  <si>
    <t>Flocculation factor</t>
  </si>
  <si>
    <t>Half-inhibition of maximum PP content of PAOs</t>
  </si>
  <si>
    <t>Half-inhibition of maximum PHA content of PAOs</t>
  </si>
  <si>
    <t>MinStateVar</t>
  </si>
  <si>
    <t>MaxStateVar</t>
  </si>
  <si>
    <t>Separators</t>
  </si>
  <si>
    <t>Modeled extracellular polymeric substances (MEPS) calculation</t>
  </si>
  <si>
    <r>
      <t>i</t>
    </r>
    <r>
      <rPr>
        <vertAlign val="subscript"/>
        <sz val="11"/>
        <color indexed="8"/>
        <rFont val="Calibri"/>
        <family val="2"/>
      </rPr>
      <t>N,AHO</t>
    </r>
  </si>
  <si>
    <r>
      <t>i</t>
    </r>
    <r>
      <rPr>
        <vertAlign val="subscript"/>
        <sz val="11"/>
        <rFont val="Calibri"/>
        <family val="2"/>
        <scheme val="minor"/>
      </rPr>
      <t>N,AHO</t>
    </r>
  </si>
  <si>
    <t>N content of AHO</t>
  </si>
  <si>
    <r>
      <t>-i</t>
    </r>
    <r>
      <rPr>
        <vertAlign val="subscript"/>
        <sz val="11"/>
        <color indexed="8"/>
        <rFont val="Calibri"/>
        <family val="2"/>
      </rPr>
      <t>N,AHO</t>
    </r>
  </si>
  <si>
    <r>
      <t>Loginh</t>
    </r>
    <r>
      <rPr>
        <vertAlign val="subscript"/>
        <sz val="11"/>
        <rFont val="Calibri"/>
        <family val="2"/>
        <scheme val="minor"/>
      </rPr>
      <t>XSTO,XAHO,max</t>
    </r>
  </si>
  <si>
    <t>Logistic inhibition term for STO/AHO</t>
  </si>
  <si>
    <t>COD of heterotrophs, AHO excepted</t>
  </si>
  <si>
    <r>
      <t>Ki</t>
    </r>
    <r>
      <rPr>
        <vertAlign val="subscript"/>
        <sz val="11"/>
        <rFont val="Calibri"/>
        <family val="2"/>
        <scheme val="minor"/>
      </rPr>
      <t>STO,AHO,max</t>
    </r>
  </si>
  <si>
    <t>Half-inhibition of maximum STO content of AHOs</t>
  </si>
  <si>
    <r>
      <t>b</t>
    </r>
    <r>
      <rPr>
        <vertAlign val="subscript"/>
        <sz val="11"/>
        <color indexed="8"/>
        <rFont val="Calibri"/>
        <family val="2"/>
      </rPr>
      <t>AHO,T</t>
    </r>
    <r>
      <rPr>
        <sz val="11"/>
        <color indexed="8"/>
        <rFont val="Calibri"/>
        <family val="2"/>
      </rPr>
      <t>*X</t>
    </r>
    <r>
      <rPr>
        <vertAlign val="subscript"/>
        <sz val="11"/>
        <color indexed="8"/>
        <rFont val="Calibri"/>
        <family val="2"/>
      </rPr>
      <t>AHO</t>
    </r>
    <r>
      <rPr>
        <sz val="11"/>
        <color indexed="8"/>
        <rFont val="Calibri"/>
        <family val="2"/>
      </rPr>
      <t>*(Msat</t>
    </r>
    <r>
      <rPr>
        <vertAlign val="subscript"/>
        <sz val="11"/>
        <color indexed="8"/>
        <rFont val="Calibri"/>
        <family val="2"/>
      </rPr>
      <t>SO2,KO2,AHO</t>
    </r>
    <r>
      <rPr>
        <sz val="11"/>
        <color indexed="8"/>
        <rFont val="Calibri"/>
        <family val="2"/>
      </rPr>
      <t>+Msat</t>
    </r>
    <r>
      <rPr>
        <vertAlign val="subscript"/>
        <sz val="11"/>
        <color indexed="8"/>
        <rFont val="Calibri"/>
        <family val="2"/>
      </rPr>
      <t>SNO2,KNO2,AHO</t>
    </r>
    <r>
      <rPr>
        <sz val="11"/>
        <color indexed="8"/>
        <rFont val="Calibri"/>
        <family val="2"/>
      </rPr>
      <t>*Minh</t>
    </r>
    <r>
      <rPr>
        <vertAlign val="subscript"/>
        <sz val="11"/>
        <color indexed="8"/>
        <rFont val="Calibri"/>
        <family val="2"/>
      </rPr>
      <t>SO2,KO2,AHO</t>
    </r>
    <r>
      <rPr>
        <sz val="11"/>
        <color indexed="8"/>
        <rFont val="Calibri"/>
        <family val="2"/>
      </rPr>
      <t>+Msat</t>
    </r>
    <r>
      <rPr>
        <vertAlign val="subscript"/>
        <sz val="11"/>
        <color indexed="8"/>
        <rFont val="Calibri"/>
        <family val="2"/>
      </rPr>
      <t>SNO3,KNO3,AHO</t>
    </r>
    <r>
      <rPr>
        <sz val="11"/>
        <color indexed="8"/>
        <rFont val="Calibri"/>
        <family val="2"/>
      </rPr>
      <t>*Minh</t>
    </r>
    <r>
      <rPr>
        <vertAlign val="subscript"/>
        <sz val="11"/>
        <color indexed="8"/>
        <rFont val="Calibri"/>
        <family val="2"/>
      </rPr>
      <t>SNO2,KNO2,AHO</t>
    </r>
    <r>
      <rPr>
        <sz val="11"/>
        <color indexed="8"/>
        <rFont val="Calibri"/>
        <family val="2"/>
      </rPr>
      <t>*Minh</t>
    </r>
    <r>
      <rPr>
        <vertAlign val="subscript"/>
        <sz val="11"/>
        <color indexed="8"/>
        <rFont val="Calibri"/>
        <family val="2"/>
      </rPr>
      <t>SO2,KO2,AHO</t>
    </r>
    <r>
      <rPr>
        <sz val="11"/>
        <color indexed="8"/>
        <rFont val="Calibri"/>
        <family val="2"/>
      </rPr>
      <t>)</t>
    </r>
  </si>
  <si>
    <r>
      <t>b</t>
    </r>
    <r>
      <rPr>
        <vertAlign val="subscript"/>
        <sz val="11"/>
        <color indexed="8"/>
        <rFont val="Calibri"/>
        <family val="2"/>
      </rPr>
      <t>AHO,T</t>
    </r>
    <r>
      <rPr>
        <sz val="11"/>
        <color indexed="8"/>
        <rFont val="Calibri"/>
        <family val="2"/>
      </rPr>
      <t>*X</t>
    </r>
    <r>
      <rPr>
        <vertAlign val="subscript"/>
        <sz val="11"/>
        <color indexed="8"/>
        <rFont val="Calibri"/>
        <family val="2"/>
      </rPr>
      <t>AHO</t>
    </r>
    <r>
      <rPr>
        <sz val="11"/>
        <color indexed="8"/>
        <rFont val="Calibri"/>
        <family val="2"/>
      </rPr>
      <t>*Minh</t>
    </r>
    <r>
      <rPr>
        <vertAlign val="subscript"/>
        <sz val="11"/>
        <color indexed="8"/>
        <rFont val="Calibri"/>
        <family val="2"/>
      </rPr>
      <t>SNO2,KNO2,AHO</t>
    </r>
    <r>
      <rPr>
        <sz val="11"/>
        <color indexed="8"/>
        <rFont val="Calibri"/>
        <family val="2"/>
      </rPr>
      <t>*Minh</t>
    </r>
    <r>
      <rPr>
        <vertAlign val="subscript"/>
        <sz val="11"/>
        <color indexed="8"/>
        <rFont val="Calibri"/>
        <family val="2"/>
      </rPr>
      <t>SNO3,KNO3,AHO</t>
    </r>
    <r>
      <rPr>
        <sz val="11"/>
        <color indexed="8"/>
        <rFont val="Calibri"/>
        <family val="2"/>
      </rPr>
      <t>*Minh</t>
    </r>
    <r>
      <rPr>
        <vertAlign val="subscript"/>
        <sz val="11"/>
        <color indexed="8"/>
        <rFont val="Calibri"/>
        <family val="2"/>
      </rPr>
      <t>SO2,KO2,AHO</t>
    </r>
  </si>
  <si>
    <r>
      <t>K</t>
    </r>
    <r>
      <rPr>
        <vertAlign val="subscript"/>
        <sz val="11"/>
        <rFont val="Calibri"/>
        <family val="2"/>
        <scheme val="minor"/>
      </rPr>
      <t>O2,AHO,AS</t>
    </r>
  </si>
  <si>
    <r>
      <t>K</t>
    </r>
    <r>
      <rPr>
        <vertAlign val="subscript"/>
        <sz val="11"/>
        <rFont val="Calibri"/>
        <family val="2"/>
        <scheme val="minor"/>
      </rPr>
      <t>NO3,AHO,AS</t>
    </r>
  </si>
  <si>
    <r>
      <t>K</t>
    </r>
    <r>
      <rPr>
        <vertAlign val="subscript"/>
        <sz val="11"/>
        <rFont val="Calibri"/>
        <family val="2"/>
        <scheme val="minor"/>
      </rPr>
      <t>NO2,AHO,AS</t>
    </r>
  </si>
  <si>
    <r>
      <t>Half-saturation of O</t>
    </r>
    <r>
      <rPr>
        <vertAlign val="subscript"/>
        <sz val="11"/>
        <color rgb="FF000000"/>
        <rFont val="Calibri"/>
        <family val="2"/>
        <scheme val="minor"/>
      </rPr>
      <t>2</t>
    </r>
    <r>
      <rPr>
        <sz val="11"/>
        <color rgb="FF000000"/>
        <rFont val="Calibri"/>
        <family val="2"/>
        <charset val="238"/>
        <scheme val="minor"/>
      </rPr>
      <t xml:space="preserve"> for AHOs (AS)</t>
    </r>
  </si>
  <si>
    <r>
      <t>Half-saturation of NO</t>
    </r>
    <r>
      <rPr>
        <vertAlign val="subscript"/>
        <sz val="11"/>
        <color rgb="FF000000"/>
        <rFont val="Calibri"/>
        <family val="2"/>
        <scheme val="minor"/>
      </rPr>
      <t>3</t>
    </r>
    <r>
      <rPr>
        <sz val="11"/>
        <color rgb="FF000000"/>
        <rFont val="Calibri"/>
        <family val="2"/>
        <charset val="238"/>
        <scheme val="minor"/>
      </rPr>
      <t xml:space="preserve"> for AHOs (AS)</t>
    </r>
  </si>
  <si>
    <r>
      <t>Half-saturation of NO</t>
    </r>
    <r>
      <rPr>
        <vertAlign val="subscript"/>
        <sz val="11"/>
        <color rgb="FF000000"/>
        <rFont val="Calibri"/>
        <family val="2"/>
        <scheme val="minor"/>
      </rPr>
      <t>2</t>
    </r>
    <r>
      <rPr>
        <sz val="11"/>
        <color rgb="FF000000"/>
        <rFont val="Calibri"/>
        <family val="2"/>
        <charset val="238"/>
        <scheme val="minor"/>
      </rPr>
      <t xml:space="preserve"> for AHOs (AS)</t>
    </r>
  </si>
  <si>
    <r>
      <t>K</t>
    </r>
    <r>
      <rPr>
        <vertAlign val="subscript"/>
        <sz val="11"/>
        <rFont val="Calibri"/>
        <family val="2"/>
        <scheme val="minor"/>
      </rPr>
      <t>O2,AHO</t>
    </r>
  </si>
  <si>
    <r>
      <t>K</t>
    </r>
    <r>
      <rPr>
        <vertAlign val="subscript"/>
        <sz val="11"/>
        <rFont val="Calibri"/>
        <family val="2"/>
      </rPr>
      <t>NO2,AHO</t>
    </r>
  </si>
  <si>
    <r>
      <t>K</t>
    </r>
    <r>
      <rPr>
        <vertAlign val="subscript"/>
        <sz val="11"/>
        <rFont val="Calibri"/>
        <family val="2"/>
        <scheme val="minor"/>
      </rPr>
      <t>NO3,AHO</t>
    </r>
  </si>
  <si>
    <r>
      <t>K</t>
    </r>
    <r>
      <rPr>
        <vertAlign val="subscript"/>
        <sz val="11"/>
        <rFont val="Calibri"/>
        <family val="2"/>
      </rPr>
      <t>NO2,AHO,AS</t>
    </r>
  </si>
  <si>
    <r>
      <t>Half-saturation of O</t>
    </r>
    <r>
      <rPr>
        <vertAlign val="subscript"/>
        <sz val="11"/>
        <color rgb="FF000000"/>
        <rFont val="Calibri"/>
        <family val="2"/>
        <scheme val="minor"/>
      </rPr>
      <t>2</t>
    </r>
    <r>
      <rPr>
        <sz val="11"/>
        <color rgb="FF000000"/>
        <rFont val="Calibri"/>
        <family val="2"/>
        <charset val="238"/>
        <scheme val="minor"/>
      </rPr>
      <t xml:space="preserve"> for AHOs</t>
    </r>
  </si>
  <si>
    <r>
      <t>Half-saturation of NO</t>
    </r>
    <r>
      <rPr>
        <vertAlign val="subscript"/>
        <sz val="11"/>
        <color rgb="FF000000"/>
        <rFont val="Calibri"/>
        <family val="2"/>
        <scheme val="minor"/>
      </rPr>
      <t>2</t>
    </r>
    <r>
      <rPr>
        <sz val="11"/>
        <color rgb="FF000000"/>
        <rFont val="Calibri"/>
        <family val="2"/>
        <charset val="238"/>
        <scheme val="minor"/>
      </rPr>
      <t xml:space="preserve"> for AHOs</t>
    </r>
  </si>
  <si>
    <r>
      <t>Half-saturation of NO</t>
    </r>
    <r>
      <rPr>
        <vertAlign val="subscript"/>
        <sz val="11"/>
        <color rgb="FF000000"/>
        <rFont val="Calibri"/>
        <family val="2"/>
        <scheme val="minor"/>
      </rPr>
      <t>3</t>
    </r>
    <r>
      <rPr>
        <sz val="11"/>
        <color rgb="FF000000"/>
        <rFont val="Calibri"/>
        <family val="2"/>
        <charset val="238"/>
        <scheme val="minor"/>
      </rPr>
      <t xml:space="preserve"> for AHOs</t>
    </r>
  </si>
  <si>
    <r>
      <t>Minh</t>
    </r>
    <r>
      <rPr>
        <vertAlign val="subscript"/>
        <sz val="11"/>
        <rFont val="Calibri"/>
        <family val="2"/>
        <scheme val="minor"/>
      </rPr>
      <t>SNO2,KNO2,AHO</t>
    </r>
  </si>
  <si>
    <r>
      <t>Minh</t>
    </r>
    <r>
      <rPr>
        <vertAlign val="subscript"/>
        <sz val="11"/>
        <rFont val="Calibri"/>
        <family val="2"/>
        <scheme val="minor"/>
      </rPr>
      <t>SNO3,KNO3,AHO</t>
    </r>
  </si>
  <si>
    <r>
      <t>Minh</t>
    </r>
    <r>
      <rPr>
        <vertAlign val="subscript"/>
        <sz val="11"/>
        <rFont val="Calibri"/>
        <family val="2"/>
        <scheme val="minor"/>
      </rPr>
      <t>SO2,KO2,AHO</t>
    </r>
  </si>
  <si>
    <r>
      <t>Msat</t>
    </r>
    <r>
      <rPr>
        <vertAlign val="subscript"/>
        <sz val="11"/>
        <rFont val="Calibri"/>
        <family val="2"/>
      </rPr>
      <t>SNO2,KNO2,AHO</t>
    </r>
  </si>
  <si>
    <r>
      <t>Msat</t>
    </r>
    <r>
      <rPr>
        <vertAlign val="subscript"/>
        <sz val="11"/>
        <rFont val="Calibri"/>
        <family val="2"/>
      </rPr>
      <t>SNO3,KNO3,AHO</t>
    </r>
  </si>
  <si>
    <r>
      <t>Msat</t>
    </r>
    <r>
      <rPr>
        <vertAlign val="subscript"/>
        <sz val="11"/>
        <rFont val="Calibri"/>
        <family val="2"/>
        <scheme val="minor"/>
      </rPr>
      <t>SO2,KO2,AHO</t>
    </r>
  </si>
  <si>
    <r>
      <t>Minh(S</t>
    </r>
    <r>
      <rPr>
        <vertAlign val="subscript"/>
        <sz val="11"/>
        <rFont val="Calibri"/>
        <family val="2"/>
        <scheme val="minor"/>
      </rPr>
      <t>NO2</t>
    </r>
    <r>
      <rPr>
        <sz val="11"/>
        <rFont val="Calibri"/>
        <family val="2"/>
        <scheme val="minor"/>
      </rPr>
      <t>;K</t>
    </r>
    <r>
      <rPr>
        <vertAlign val="subscript"/>
        <sz val="11"/>
        <rFont val="Calibri"/>
        <family val="2"/>
        <scheme val="minor"/>
      </rPr>
      <t>NO2,AHO</t>
    </r>
    <r>
      <rPr>
        <sz val="11"/>
        <rFont val="Calibri"/>
        <family val="2"/>
        <scheme val="minor"/>
      </rPr>
      <t>)</t>
    </r>
  </si>
  <si>
    <r>
      <t>Minh(S</t>
    </r>
    <r>
      <rPr>
        <vertAlign val="subscript"/>
        <sz val="11"/>
        <rFont val="Calibri"/>
        <family val="2"/>
        <scheme val="minor"/>
      </rPr>
      <t>NO3</t>
    </r>
    <r>
      <rPr>
        <sz val="11"/>
        <rFont val="Calibri"/>
        <family val="2"/>
        <scheme val="minor"/>
      </rPr>
      <t>;K</t>
    </r>
    <r>
      <rPr>
        <vertAlign val="subscript"/>
        <sz val="11"/>
        <rFont val="Calibri"/>
        <family val="2"/>
        <scheme val="minor"/>
      </rPr>
      <t>NO3,AHO</t>
    </r>
    <r>
      <rPr>
        <sz val="11"/>
        <rFont val="Calibri"/>
        <family val="2"/>
        <scheme val="minor"/>
      </rPr>
      <t>)</t>
    </r>
  </si>
  <si>
    <r>
      <t>Minh(S</t>
    </r>
    <r>
      <rPr>
        <vertAlign val="subscript"/>
        <sz val="11"/>
        <rFont val="Calibri"/>
        <family val="2"/>
        <scheme val="minor"/>
      </rPr>
      <t>O2</t>
    </r>
    <r>
      <rPr>
        <sz val="11"/>
        <rFont val="Calibri"/>
        <family val="2"/>
        <scheme val="minor"/>
      </rPr>
      <t>;K</t>
    </r>
    <r>
      <rPr>
        <vertAlign val="subscript"/>
        <sz val="11"/>
        <rFont val="Calibri"/>
        <family val="2"/>
        <scheme val="minor"/>
      </rPr>
      <t>O2,AHO</t>
    </r>
    <r>
      <rPr>
        <sz val="11"/>
        <rFont val="Calibri"/>
        <family val="2"/>
        <scheme val="minor"/>
      </rPr>
      <t>)</t>
    </r>
  </si>
  <si>
    <r>
      <t>Msat(S</t>
    </r>
    <r>
      <rPr>
        <vertAlign val="subscript"/>
        <sz val="11"/>
        <rFont val="Calibri"/>
        <family val="2"/>
      </rPr>
      <t>NO2</t>
    </r>
    <r>
      <rPr>
        <sz val="11"/>
        <rFont val="Calibri"/>
        <family val="2"/>
      </rPr>
      <t>;K</t>
    </r>
    <r>
      <rPr>
        <vertAlign val="subscript"/>
        <sz val="11"/>
        <rFont val="Calibri"/>
        <family val="2"/>
      </rPr>
      <t>NO2,AHO</t>
    </r>
    <r>
      <rPr>
        <sz val="11"/>
        <rFont val="Calibri"/>
        <family val="2"/>
      </rPr>
      <t>)</t>
    </r>
  </si>
  <si>
    <r>
      <t>Msat(S</t>
    </r>
    <r>
      <rPr>
        <vertAlign val="subscript"/>
        <sz val="11"/>
        <rFont val="Calibri"/>
        <family val="2"/>
      </rPr>
      <t>NO3</t>
    </r>
    <r>
      <rPr>
        <sz val="11"/>
        <rFont val="Calibri"/>
        <family val="2"/>
      </rPr>
      <t>;K</t>
    </r>
    <r>
      <rPr>
        <vertAlign val="subscript"/>
        <sz val="11"/>
        <rFont val="Calibri"/>
        <family val="2"/>
      </rPr>
      <t>NO3,AHO</t>
    </r>
    <r>
      <rPr>
        <sz val="11"/>
        <rFont val="Calibri"/>
        <family val="2"/>
      </rPr>
      <t>)</t>
    </r>
  </si>
  <si>
    <r>
      <t>Msat(S</t>
    </r>
    <r>
      <rPr>
        <vertAlign val="subscript"/>
        <sz val="11"/>
        <rFont val="Calibri"/>
        <family val="2"/>
        <scheme val="minor"/>
      </rPr>
      <t>O2</t>
    </r>
    <r>
      <rPr>
        <sz val="11"/>
        <rFont val="Calibri"/>
        <family val="2"/>
        <scheme val="minor"/>
      </rPr>
      <t>;K</t>
    </r>
    <r>
      <rPr>
        <vertAlign val="subscript"/>
        <sz val="11"/>
        <rFont val="Calibri"/>
        <family val="2"/>
        <scheme val="minor"/>
      </rPr>
      <t>O2,AHO</t>
    </r>
    <r>
      <rPr>
        <sz val="11"/>
        <rFont val="Calibri"/>
        <family val="2"/>
        <scheme val="minor"/>
      </rPr>
      <t>)</t>
    </r>
  </si>
  <si>
    <r>
      <t>Inhibition term for NO</t>
    </r>
    <r>
      <rPr>
        <vertAlign val="subscript"/>
        <sz val="11"/>
        <color rgb="FF000000"/>
        <rFont val="Calibri"/>
        <family val="2"/>
        <scheme val="minor"/>
      </rPr>
      <t>2</t>
    </r>
    <r>
      <rPr>
        <sz val="11"/>
        <color rgb="FF000000"/>
        <rFont val="Calibri"/>
        <family val="2"/>
        <charset val="238"/>
        <scheme val="minor"/>
      </rPr>
      <t xml:space="preserve"> (AHO)</t>
    </r>
  </si>
  <si>
    <r>
      <t>Inhibition term for NO</t>
    </r>
    <r>
      <rPr>
        <vertAlign val="subscript"/>
        <sz val="11"/>
        <color rgb="FF000000"/>
        <rFont val="Calibri"/>
        <family val="2"/>
        <scheme val="minor"/>
      </rPr>
      <t>3</t>
    </r>
    <r>
      <rPr>
        <sz val="11"/>
        <color rgb="FF000000"/>
        <rFont val="Calibri"/>
        <family val="2"/>
        <charset val="238"/>
        <scheme val="minor"/>
      </rPr>
      <t xml:space="preserve"> (AHO)</t>
    </r>
  </si>
  <si>
    <r>
      <t>Inhibition term for O</t>
    </r>
    <r>
      <rPr>
        <vertAlign val="subscript"/>
        <sz val="11"/>
        <color rgb="FF000000"/>
        <rFont val="Calibri"/>
        <family val="2"/>
        <scheme val="minor"/>
      </rPr>
      <t>2</t>
    </r>
    <r>
      <rPr>
        <sz val="11"/>
        <color rgb="FF000000"/>
        <rFont val="Calibri"/>
        <family val="2"/>
        <charset val="238"/>
        <scheme val="minor"/>
      </rPr>
      <t xml:space="preserve"> (AHO)</t>
    </r>
  </si>
  <si>
    <r>
      <t>Saturation term for NO</t>
    </r>
    <r>
      <rPr>
        <vertAlign val="subscript"/>
        <sz val="11"/>
        <color rgb="FF000000"/>
        <rFont val="Calibri"/>
        <family val="2"/>
        <scheme val="minor"/>
      </rPr>
      <t>2</t>
    </r>
    <r>
      <rPr>
        <sz val="11"/>
        <color rgb="FF000000"/>
        <rFont val="Calibri"/>
        <family val="2"/>
        <charset val="238"/>
        <scheme val="minor"/>
      </rPr>
      <t xml:space="preserve"> (AHO)</t>
    </r>
  </si>
  <si>
    <r>
      <t>Saturation term for NO</t>
    </r>
    <r>
      <rPr>
        <vertAlign val="subscript"/>
        <sz val="11"/>
        <color rgb="FF000000"/>
        <rFont val="Calibri"/>
        <family val="2"/>
        <scheme val="minor"/>
      </rPr>
      <t>3</t>
    </r>
    <r>
      <rPr>
        <sz val="11"/>
        <color rgb="FF000000"/>
        <rFont val="Calibri"/>
        <family val="2"/>
        <charset val="238"/>
        <scheme val="minor"/>
      </rPr>
      <t xml:space="preserve"> (AHO)</t>
    </r>
  </si>
  <si>
    <r>
      <t>Saturation term for O</t>
    </r>
    <r>
      <rPr>
        <vertAlign val="subscript"/>
        <sz val="11"/>
        <color rgb="FF000000"/>
        <rFont val="Calibri"/>
        <family val="2"/>
        <scheme val="minor"/>
      </rPr>
      <t>2</t>
    </r>
    <r>
      <rPr>
        <sz val="11"/>
        <color rgb="FF000000"/>
        <rFont val="Calibri"/>
        <family val="2"/>
        <charset val="238"/>
        <scheme val="minor"/>
      </rPr>
      <t xml:space="preserve"> (AHO)</t>
    </r>
  </si>
  <si>
    <r>
      <t>mg COD.g VSS</t>
    </r>
    <r>
      <rPr>
        <vertAlign val="superscript"/>
        <sz val="11"/>
        <rFont val="Calibri"/>
        <family val="2"/>
        <scheme val="minor"/>
      </rPr>
      <t>-1</t>
    </r>
  </si>
  <si>
    <r>
      <rPr>
        <sz val="11"/>
        <color indexed="8"/>
        <rFont val="Calibri"/>
        <family val="2"/>
      </rPr>
      <t>f</t>
    </r>
    <r>
      <rPr>
        <vertAlign val="subscript"/>
        <sz val="11"/>
        <color indexed="8"/>
        <rFont val="Calibri"/>
        <family val="2"/>
      </rPr>
      <t>C</t>
    </r>
  </si>
  <si>
    <r>
      <t>(1</t>
    </r>
    <r>
      <rPr>
        <sz val="11"/>
        <color indexed="8"/>
        <rFont val="Calibri"/>
        <family val="2"/>
      </rPr>
      <t>+X</t>
    </r>
    <r>
      <rPr>
        <vertAlign val="subscript"/>
        <sz val="11"/>
        <color indexed="8"/>
        <rFont val="Calibri"/>
        <family val="2"/>
      </rPr>
      <t>STO</t>
    </r>
    <r>
      <rPr>
        <sz val="11"/>
        <color indexed="8"/>
        <rFont val="Calibri"/>
        <family val="2"/>
      </rPr>
      <t>/X</t>
    </r>
    <r>
      <rPr>
        <vertAlign val="subscript"/>
        <sz val="11"/>
        <color indexed="8"/>
        <rFont val="Calibri"/>
        <family val="2"/>
      </rPr>
      <t>AHO</t>
    </r>
    <r>
      <rPr>
        <sz val="11"/>
        <color indexed="8"/>
        <rFont val="Calibri"/>
        <family val="2"/>
      </rPr>
      <t>)*f</t>
    </r>
    <r>
      <rPr>
        <vertAlign val="subscript"/>
        <sz val="11"/>
        <color indexed="8"/>
        <rFont val="Calibri"/>
        <family val="2"/>
      </rPr>
      <t>C</t>
    </r>
  </si>
  <si>
    <r>
      <t>K</t>
    </r>
    <r>
      <rPr>
        <vertAlign val="subscript"/>
        <sz val="11"/>
        <rFont val="Calibri"/>
        <family val="2"/>
        <scheme val="minor"/>
      </rPr>
      <t>O2,EPS</t>
    </r>
  </si>
  <si>
    <r>
      <t>Half-saturation of O</t>
    </r>
    <r>
      <rPr>
        <vertAlign val="subscript"/>
        <sz val="11"/>
        <color rgb="FF000000"/>
        <rFont val="Calibri"/>
        <family val="2"/>
        <scheme val="minor"/>
      </rPr>
      <t>2</t>
    </r>
    <r>
      <rPr>
        <sz val="11"/>
        <color rgb="FF000000"/>
        <rFont val="Calibri"/>
        <family val="2"/>
        <charset val="238"/>
        <scheme val="minor"/>
      </rPr>
      <t xml:space="preserve"> for EPS</t>
    </r>
  </si>
  <si>
    <t>Extracellular polymeric substances content of the sludge</t>
  </si>
  <si>
    <r>
      <t>Msat</t>
    </r>
    <r>
      <rPr>
        <vertAlign val="subscript"/>
        <sz val="11"/>
        <rFont val="Calibri"/>
        <family val="2"/>
        <scheme val="minor"/>
      </rPr>
      <t>SO2,KO2,EPS</t>
    </r>
  </si>
  <si>
    <r>
      <t>Saturation term for O</t>
    </r>
    <r>
      <rPr>
        <vertAlign val="subscript"/>
        <sz val="11"/>
        <color rgb="FF000000"/>
        <rFont val="Calibri"/>
        <family val="2"/>
        <scheme val="minor"/>
      </rPr>
      <t>2</t>
    </r>
    <r>
      <rPr>
        <sz val="11"/>
        <color rgb="FF000000"/>
        <rFont val="Calibri"/>
        <family val="2"/>
        <charset val="238"/>
        <scheme val="minor"/>
      </rPr>
      <t xml:space="preserve"> (EPS)</t>
    </r>
  </si>
  <si>
    <r>
      <t>Msat(S</t>
    </r>
    <r>
      <rPr>
        <vertAlign val="subscript"/>
        <sz val="11"/>
        <rFont val="Calibri"/>
        <family val="2"/>
        <scheme val="minor"/>
      </rPr>
      <t>O2</t>
    </r>
    <r>
      <rPr>
        <sz val="11"/>
        <rFont val="Calibri"/>
        <family val="2"/>
        <scheme val="minor"/>
      </rPr>
      <t>;K</t>
    </r>
    <r>
      <rPr>
        <vertAlign val="subscript"/>
        <sz val="11"/>
        <rFont val="Calibri"/>
        <family val="2"/>
        <scheme val="minor"/>
      </rPr>
      <t>O2,EPS</t>
    </r>
    <r>
      <rPr>
        <sz val="11"/>
        <rFont val="Calibri"/>
        <family val="2"/>
        <scheme val="minor"/>
      </rPr>
      <t>)</t>
    </r>
  </si>
  <si>
    <t>Modeled extracellular polymeric substances (MEPS)</t>
  </si>
  <si>
    <r>
      <t>i</t>
    </r>
    <r>
      <rPr>
        <vertAlign val="subscript"/>
        <sz val="11"/>
        <color indexed="8"/>
        <rFont val="Calibri"/>
        <family val="2"/>
      </rPr>
      <t>N,BIO</t>
    </r>
    <r>
      <rPr>
        <sz val="11"/>
        <color indexed="8"/>
        <rFont val="Calibri"/>
        <family val="2"/>
      </rPr>
      <t>-f</t>
    </r>
    <r>
      <rPr>
        <vertAlign val="subscript"/>
        <sz val="11"/>
        <color indexed="8"/>
        <rFont val="Calibri"/>
        <family val="2"/>
      </rPr>
      <t>E</t>
    </r>
    <r>
      <rPr>
        <sz val="11"/>
        <color indexed="8"/>
        <rFont val="Calibri"/>
        <family val="2"/>
      </rPr>
      <t>*(1-f</t>
    </r>
    <r>
      <rPr>
        <vertAlign val="subscript"/>
        <sz val="11"/>
        <color indexed="8"/>
        <rFont val="Calibri"/>
        <family val="2"/>
      </rPr>
      <t>C</t>
    </r>
    <r>
      <rPr>
        <sz val="11"/>
        <color indexed="8"/>
        <rFont val="Calibri"/>
        <family val="2"/>
      </rPr>
      <t>)*i</t>
    </r>
    <r>
      <rPr>
        <vertAlign val="subscript"/>
        <sz val="11"/>
        <color indexed="8"/>
        <rFont val="Calibri"/>
        <family val="2"/>
      </rPr>
      <t>N,XE</t>
    </r>
    <r>
      <rPr>
        <sz val="11"/>
        <color indexed="8"/>
        <rFont val="Calibri"/>
        <family val="2"/>
      </rPr>
      <t>-</t>
    </r>
    <r>
      <rPr>
        <sz val="11"/>
        <color indexed="8"/>
        <rFont val="Calibri"/>
        <family val="2"/>
      </rPr>
      <t>f</t>
    </r>
    <r>
      <rPr>
        <vertAlign val="subscript"/>
        <sz val="11"/>
        <color indexed="8"/>
        <rFont val="Calibri"/>
        <family val="2"/>
      </rPr>
      <t>C</t>
    </r>
    <r>
      <rPr>
        <sz val="11"/>
        <color indexed="8"/>
        <rFont val="Calibri"/>
        <family val="2"/>
      </rPr>
      <t>*i</t>
    </r>
    <r>
      <rPr>
        <vertAlign val="subscript"/>
        <sz val="11"/>
        <color indexed="8"/>
        <rFont val="Calibri"/>
        <family val="2"/>
      </rPr>
      <t>N,CB</t>
    </r>
    <r>
      <rPr>
        <sz val="11"/>
        <color indexed="8"/>
        <rFont val="Calibri"/>
        <family val="2"/>
      </rPr>
      <t>-(1-f</t>
    </r>
    <r>
      <rPr>
        <vertAlign val="subscript"/>
        <sz val="11"/>
        <color indexed="8"/>
        <rFont val="Calibri"/>
        <family val="2"/>
      </rPr>
      <t>E</t>
    </r>
    <r>
      <rPr>
        <sz val="11"/>
        <color indexed="8"/>
        <rFont val="Calibri"/>
        <family val="2"/>
      </rPr>
      <t>)*(1-f</t>
    </r>
    <r>
      <rPr>
        <vertAlign val="subscript"/>
        <sz val="11"/>
        <color indexed="8"/>
        <rFont val="Calibri"/>
        <family val="2"/>
      </rPr>
      <t>C</t>
    </r>
    <r>
      <rPr>
        <sz val="11"/>
        <color indexed="8"/>
        <rFont val="Calibri"/>
        <family val="2"/>
      </rPr>
      <t>)*i</t>
    </r>
    <r>
      <rPr>
        <vertAlign val="subscript"/>
        <sz val="11"/>
        <color indexed="8"/>
        <rFont val="Calibri"/>
        <family val="2"/>
      </rPr>
      <t>N,BIO</t>
    </r>
  </si>
  <si>
    <r>
      <t>i</t>
    </r>
    <r>
      <rPr>
        <vertAlign val="subscript"/>
        <sz val="11"/>
        <color indexed="8"/>
        <rFont val="Calibri"/>
        <family val="2"/>
      </rPr>
      <t>N,AHO</t>
    </r>
    <r>
      <rPr>
        <sz val="11"/>
        <color indexed="8"/>
        <rFont val="Calibri"/>
        <family val="2"/>
      </rPr>
      <t>-f</t>
    </r>
    <r>
      <rPr>
        <vertAlign val="subscript"/>
        <sz val="11"/>
        <color indexed="8"/>
        <rFont val="Calibri"/>
        <family val="2"/>
      </rPr>
      <t>E</t>
    </r>
    <r>
      <rPr>
        <sz val="11"/>
        <color indexed="8"/>
        <rFont val="Calibri"/>
        <family val="2"/>
      </rPr>
      <t>*(1-f</t>
    </r>
    <r>
      <rPr>
        <vertAlign val="subscript"/>
        <sz val="11"/>
        <color indexed="8"/>
        <rFont val="Calibri"/>
        <family val="2"/>
      </rPr>
      <t>C</t>
    </r>
    <r>
      <rPr>
        <sz val="11"/>
        <color indexed="8"/>
        <rFont val="Calibri"/>
        <family val="2"/>
      </rPr>
      <t>)*i</t>
    </r>
    <r>
      <rPr>
        <vertAlign val="subscript"/>
        <sz val="11"/>
        <color indexed="8"/>
        <rFont val="Calibri"/>
        <family val="2"/>
      </rPr>
      <t>N,XE</t>
    </r>
    <r>
      <rPr>
        <sz val="11"/>
        <color indexed="8"/>
        <rFont val="Calibri"/>
        <family val="2"/>
      </rPr>
      <t>-</t>
    </r>
    <r>
      <rPr>
        <sz val="11"/>
        <color indexed="8"/>
        <rFont val="Calibri"/>
        <family val="2"/>
      </rPr>
      <t>f</t>
    </r>
    <r>
      <rPr>
        <vertAlign val="subscript"/>
        <sz val="11"/>
        <color indexed="8"/>
        <rFont val="Calibri"/>
        <family val="2"/>
      </rPr>
      <t>C</t>
    </r>
    <r>
      <rPr>
        <sz val="11"/>
        <color indexed="8"/>
        <rFont val="Calibri"/>
        <family val="2"/>
      </rPr>
      <t>*i</t>
    </r>
    <r>
      <rPr>
        <vertAlign val="subscript"/>
        <sz val="11"/>
        <color indexed="8"/>
        <rFont val="Calibri"/>
        <family val="2"/>
      </rPr>
      <t>N,CB</t>
    </r>
    <r>
      <rPr>
        <sz val="11"/>
        <color indexed="8"/>
        <rFont val="Calibri"/>
        <family val="2"/>
      </rPr>
      <t>-(1-f</t>
    </r>
    <r>
      <rPr>
        <vertAlign val="subscript"/>
        <sz val="11"/>
        <color indexed="8"/>
        <rFont val="Calibri"/>
        <family val="2"/>
      </rPr>
      <t>E</t>
    </r>
    <r>
      <rPr>
        <sz val="11"/>
        <color indexed="8"/>
        <rFont val="Calibri"/>
        <family val="2"/>
      </rPr>
      <t>)*(1-f</t>
    </r>
    <r>
      <rPr>
        <vertAlign val="subscript"/>
        <sz val="11"/>
        <color indexed="8"/>
        <rFont val="Calibri"/>
        <family val="2"/>
      </rPr>
      <t>C</t>
    </r>
    <r>
      <rPr>
        <sz val="11"/>
        <color indexed="8"/>
        <rFont val="Calibri"/>
        <family val="2"/>
      </rPr>
      <t>)*i</t>
    </r>
    <r>
      <rPr>
        <vertAlign val="subscript"/>
        <sz val="11"/>
        <color indexed="8"/>
        <rFont val="Calibri"/>
        <family val="2"/>
      </rPr>
      <t>N,BIO</t>
    </r>
    <r>
      <rPr>
        <sz val="11"/>
        <color indexed="8"/>
        <rFont val="Calibri"/>
        <family val="2"/>
      </rPr>
      <t>-f</t>
    </r>
    <r>
      <rPr>
        <vertAlign val="subscript"/>
        <sz val="11"/>
        <color indexed="8"/>
        <rFont val="Calibri"/>
        <family val="2"/>
      </rPr>
      <t>C</t>
    </r>
    <r>
      <rPr>
        <sz val="11"/>
        <color indexed="8"/>
        <rFont val="Calibri"/>
        <family val="2"/>
      </rPr>
      <t>*X</t>
    </r>
    <r>
      <rPr>
        <vertAlign val="subscript"/>
        <sz val="11"/>
        <color indexed="8"/>
        <rFont val="Calibri"/>
        <family val="2"/>
      </rPr>
      <t>STO</t>
    </r>
    <r>
      <rPr>
        <sz val="11"/>
        <color indexed="8"/>
        <rFont val="Calibri"/>
        <family val="2"/>
      </rPr>
      <t>/X</t>
    </r>
    <r>
      <rPr>
        <vertAlign val="subscript"/>
        <sz val="11"/>
        <color indexed="8"/>
        <rFont val="Calibri"/>
        <family val="2"/>
      </rPr>
      <t>AHO</t>
    </r>
    <r>
      <rPr>
        <sz val="11"/>
        <color indexed="8"/>
        <rFont val="Calibri"/>
        <family val="2"/>
      </rPr>
      <t>*i</t>
    </r>
    <r>
      <rPr>
        <vertAlign val="subscript"/>
        <sz val="11"/>
        <color indexed="8"/>
        <rFont val="Calibri"/>
        <family val="2"/>
      </rPr>
      <t>N,CB</t>
    </r>
  </si>
  <si>
    <r>
      <t>i</t>
    </r>
    <r>
      <rPr>
        <vertAlign val="subscript"/>
        <sz val="11"/>
        <color indexed="8"/>
        <rFont val="Calibri"/>
        <family val="2"/>
      </rPr>
      <t>P,BIO</t>
    </r>
    <r>
      <rPr>
        <sz val="11"/>
        <color indexed="8"/>
        <rFont val="Calibri"/>
        <family val="2"/>
      </rPr>
      <t>-f</t>
    </r>
    <r>
      <rPr>
        <vertAlign val="subscript"/>
        <sz val="11"/>
        <color indexed="8"/>
        <rFont val="Calibri"/>
        <family val="2"/>
      </rPr>
      <t>E</t>
    </r>
    <r>
      <rPr>
        <sz val="11"/>
        <color indexed="8"/>
        <rFont val="Calibri"/>
        <family val="2"/>
      </rPr>
      <t>*(1-f</t>
    </r>
    <r>
      <rPr>
        <vertAlign val="subscript"/>
        <sz val="11"/>
        <color indexed="8"/>
        <rFont val="Calibri"/>
        <family val="2"/>
      </rPr>
      <t>C</t>
    </r>
    <r>
      <rPr>
        <sz val="11"/>
        <color indexed="8"/>
        <rFont val="Calibri"/>
        <family val="2"/>
      </rPr>
      <t>)*i</t>
    </r>
    <r>
      <rPr>
        <vertAlign val="subscript"/>
        <sz val="11"/>
        <color indexed="8"/>
        <rFont val="Calibri"/>
        <family val="2"/>
      </rPr>
      <t>P,BIO</t>
    </r>
    <r>
      <rPr>
        <sz val="11"/>
        <color indexed="8"/>
        <rFont val="Calibri"/>
        <family val="2"/>
      </rPr>
      <t>-</t>
    </r>
    <r>
      <rPr>
        <sz val="11"/>
        <color indexed="8"/>
        <rFont val="Calibri"/>
        <family val="2"/>
      </rPr>
      <t>f</t>
    </r>
    <r>
      <rPr>
        <vertAlign val="subscript"/>
        <sz val="11"/>
        <color indexed="8"/>
        <rFont val="Calibri"/>
        <family val="2"/>
      </rPr>
      <t>C</t>
    </r>
    <r>
      <rPr>
        <sz val="11"/>
        <color indexed="8"/>
        <rFont val="Calibri"/>
        <family val="2"/>
      </rPr>
      <t>*i</t>
    </r>
    <r>
      <rPr>
        <vertAlign val="subscript"/>
        <sz val="11"/>
        <color indexed="8"/>
        <rFont val="Calibri"/>
        <family val="2"/>
      </rPr>
      <t>P,CB</t>
    </r>
    <r>
      <rPr>
        <sz val="11"/>
        <color indexed="8"/>
        <rFont val="Calibri"/>
        <family val="2"/>
      </rPr>
      <t>-(1-f</t>
    </r>
    <r>
      <rPr>
        <vertAlign val="subscript"/>
        <sz val="11"/>
        <color indexed="8"/>
        <rFont val="Calibri"/>
        <family val="2"/>
      </rPr>
      <t>E</t>
    </r>
    <r>
      <rPr>
        <sz val="11"/>
        <color indexed="8"/>
        <rFont val="Calibri"/>
        <family val="2"/>
      </rPr>
      <t>)*(1-f</t>
    </r>
    <r>
      <rPr>
        <vertAlign val="subscript"/>
        <sz val="11"/>
        <color indexed="8"/>
        <rFont val="Calibri"/>
        <family val="2"/>
      </rPr>
      <t>C</t>
    </r>
    <r>
      <rPr>
        <sz val="11"/>
        <color indexed="8"/>
        <rFont val="Calibri"/>
        <family val="2"/>
      </rPr>
      <t>)*i</t>
    </r>
    <r>
      <rPr>
        <vertAlign val="subscript"/>
        <sz val="11"/>
        <color indexed="8"/>
        <rFont val="Calibri"/>
        <family val="2"/>
      </rPr>
      <t>P,BIO</t>
    </r>
  </si>
  <si>
    <r>
      <t>i</t>
    </r>
    <r>
      <rPr>
        <vertAlign val="subscript"/>
        <sz val="11"/>
        <color indexed="8"/>
        <rFont val="Calibri"/>
        <family val="2"/>
      </rPr>
      <t>P,BIO</t>
    </r>
    <r>
      <rPr>
        <sz val="11"/>
        <color indexed="8"/>
        <rFont val="Calibri"/>
        <family val="2"/>
      </rPr>
      <t>-f</t>
    </r>
    <r>
      <rPr>
        <vertAlign val="subscript"/>
        <sz val="11"/>
        <color indexed="8"/>
        <rFont val="Calibri"/>
        <family val="2"/>
      </rPr>
      <t>E</t>
    </r>
    <r>
      <rPr>
        <sz val="11"/>
        <color indexed="8"/>
        <rFont val="Calibri"/>
        <family val="2"/>
      </rPr>
      <t>*(1-f</t>
    </r>
    <r>
      <rPr>
        <vertAlign val="subscript"/>
        <sz val="11"/>
        <color indexed="8"/>
        <rFont val="Calibri"/>
        <family val="2"/>
      </rPr>
      <t>C</t>
    </r>
    <r>
      <rPr>
        <sz val="11"/>
        <color indexed="8"/>
        <rFont val="Calibri"/>
        <family val="2"/>
      </rPr>
      <t>)*i</t>
    </r>
    <r>
      <rPr>
        <vertAlign val="subscript"/>
        <sz val="11"/>
        <color indexed="8"/>
        <rFont val="Calibri"/>
        <family val="2"/>
      </rPr>
      <t>P,BIO</t>
    </r>
    <r>
      <rPr>
        <sz val="11"/>
        <color indexed="8"/>
        <rFont val="Calibri"/>
        <family val="2"/>
      </rPr>
      <t>-</t>
    </r>
    <r>
      <rPr>
        <sz val="11"/>
        <color indexed="8"/>
        <rFont val="Calibri"/>
        <family val="2"/>
      </rPr>
      <t>f</t>
    </r>
    <r>
      <rPr>
        <vertAlign val="subscript"/>
        <sz val="11"/>
        <color indexed="8"/>
        <rFont val="Calibri"/>
        <family val="2"/>
      </rPr>
      <t>C</t>
    </r>
    <r>
      <rPr>
        <sz val="11"/>
        <color indexed="8"/>
        <rFont val="Calibri"/>
        <family val="2"/>
      </rPr>
      <t>*i</t>
    </r>
    <r>
      <rPr>
        <vertAlign val="subscript"/>
        <sz val="11"/>
        <color indexed="8"/>
        <rFont val="Calibri"/>
        <family val="2"/>
      </rPr>
      <t>P,CB</t>
    </r>
    <r>
      <rPr>
        <sz val="11"/>
        <color indexed="8"/>
        <rFont val="Calibri"/>
        <family val="2"/>
      </rPr>
      <t>-</t>
    </r>
    <r>
      <rPr>
        <sz val="11"/>
        <color indexed="8"/>
        <rFont val="Calibri"/>
        <family val="2"/>
      </rPr>
      <t>(1-f</t>
    </r>
    <r>
      <rPr>
        <vertAlign val="subscript"/>
        <sz val="11"/>
        <color indexed="8"/>
        <rFont val="Calibri"/>
        <family val="2"/>
      </rPr>
      <t>E</t>
    </r>
    <r>
      <rPr>
        <sz val="11"/>
        <color indexed="8"/>
        <rFont val="Calibri"/>
        <family val="2"/>
      </rPr>
      <t>)*(1-f</t>
    </r>
    <r>
      <rPr>
        <vertAlign val="subscript"/>
        <sz val="11"/>
        <color indexed="8"/>
        <rFont val="Calibri"/>
        <family val="2"/>
      </rPr>
      <t>C</t>
    </r>
    <r>
      <rPr>
        <sz val="11"/>
        <color indexed="8"/>
        <rFont val="Calibri"/>
        <family val="2"/>
      </rPr>
      <t>)*i</t>
    </r>
    <r>
      <rPr>
        <vertAlign val="subscript"/>
        <sz val="11"/>
        <color indexed="8"/>
        <rFont val="Calibri"/>
        <family val="2"/>
      </rPr>
      <t>P,BIO</t>
    </r>
  </si>
  <si>
    <t>r91</t>
  </si>
  <si>
    <r>
      <t>i</t>
    </r>
    <r>
      <rPr>
        <vertAlign val="subscript"/>
        <sz val="11"/>
        <rFont val="Calibri"/>
        <family val="2"/>
      </rPr>
      <t>CIT,SB,mono</t>
    </r>
    <r>
      <rPr>
        <sz val="11"/>
        <rFont val="Calibri"/>
        <family val="2"/>
      </rPr>
      <t>-</t>
    </r>
    <r>
      <rPr>
        <sz val="11"/>
        <rFont val="Calibri"/>
        <family val="2"/>
      </rPr>
      <t>i</t>
    </r>
    <r>
      <rPr>
        <vertAlign val="subscript"/>
        <sz val="11"/>
        <rFont val="Calibri"/>
        <family val="2"/>
      </rPr>
      <t>CIT,SB,mono</t>
    </r>
    <r>
      <rPr>
        <sz val="11"/>
        <rFont val="Calibri"/>
        <family val="2"/>
      </rPr>
      <t/>
    </r>
  </si>
  <si>
    <r>
      <t>i</t>
    </r>
    <r>
      <rPr>
        <vertAlign val="subscript"/>
        <sz val="11"/>
        <rFont val="Calibri"/>
        <family val="2"/>
      </rPr>
      <t>CIT,SB,mono</t>
    </r>
    <r>
      <rPr>
        <sz val="11"/>
        <rFont val="Calibri"/>
        <family val="2"/>
      </rPr>
      <t>-</t>
    </r>
    <r>
      <rPr>
        <sz val="11"/>
        <rFont val="Calibri"/>
        <family val="2"/>
      </rPr>
      <t>i</t>
    </r>
    <r>
      <rPr>
        <vertAlign val="subscript"/>
        <sz val="11"/>
        <rFont val="Calibri"/>
        <family val="2"/>
      </rPr>
      <t>CIT,VFA</t>
    </r>
  </si>
  <si>
    <r>
      <t>η</t>
    </r>
    <r>
      <rPr>
        <vertAlign val="subscript"/>
        <sz val="11"/>
        <color indexed="8"/>
        <rFont val="Calibri"/>
        <family val="2"/>
      </rPr>
      <t>FLOC,Process</t>
    </r>
  </si>
  <si>
    <r>
      <t>f</t>
    </r>
    <r>
      <rPr>
        <vertAlign val="subscript"/>
        <sz val="11"/>
        <rFont val="Calibri"/>
        <family val="2"/>
        <scheme val="minor"/>
      </rPr>
      <t>EPS,VSS</t>
    </r>
  </si>
  <si>
    <r>
      <t>M</t>
    </r>
    <r>
      <rPr>
        <vertAlign val="subscript"/>
        <sz val="11"/>
        <rFont val="Calibri"/>
        <family val="2"/>
        <scheme val="minor"/>
      </rPr>
      <t>EPS</t>
    </r>
  </si>
  <si>
    <r>
      <t>i</t>
    </r>
    <r>
      <rPr>
        <vertAlign val="subscript"/>
        <sz val="11"/>
        <color indexed="8"/>
        <rFont val="Calibri"/>
        <family val="2"/>
      </rPr>
      <t>EPS,XBIO</t>
    </r>
  </si>
  <si>
    <r>
      <t>i</t>
    </r>
    <r>
      <rPr>
        <vertAlign val="subscript"/>
        <sz val="11"/>
        <color indexed="8"/>
        <rFont val="Calibri"/>
        <family val="2"/>
      </rPr>
      <t>EPS,XE</t>
    </r>
  </si>
  <si>
    <t>EPS content of biomass</t>
  </si>
  <si>
    <t>EPS content of endogenous decay products</t>
  </si>
  <si>
    <r>
      <t>1000*f</t>
    </r>
    <r>
      <rPr>
        <vertAlign val="subscript"/>
        <sz val="11"/>
        <rFont val="Calibri"/>
        <family val="2"/>
        <scheme val="minor"/>
      </rPr>
      <t>EPS,VSS</t>
    </r>
  </si>
  <si>
    <r>
      <t>Half-saturation of NO</t>
    </r>
    <r>
      <rPr>
        <vertAlign val="subscript"/>
        <sz val="11"/>
        <color rgb="FF000000"/>
        <rFont val="Calibri"/>
        <family val="2"/>
        <scheme val="minor"/>
      </rPr>
      <t>3</t>
    </r>
    <r>
      <rPr>
        <sz val="11"/>
        <color rgb="FF000000"/>
        <rFont val="Calibri"/>
        <family val="2"/>
        <charset val="238"/>
        <scheme val="minor"/>
      </rPr>
      <t xml:space="preserve"> for EPS</t>
    </r>
  </si>
  <si>
    <r>
      <t>Half-saturation of NO</t>
    </r>
    <r>
      <rPr>
        <vertAlign val="subscript"/>
        <sz val="11"/>
        <color rgb="FF000000"/>
        <rFont val="Calibri"/>
        <family val="2"/>
        <scheme val="minor"/>
      </rPr>
      <t>2</t>
    </r>
    <r>
      <rPr>
        <sz val="11"/>
        <color rgb="FF000000"/>
        <rFont val="Calibri"/>
        <family val="2"/>
        <charset val="238"/>
        <scheme val="minor"/>
      </rPr>
      <t xml:space="preserve"> for EPS</t>
    </r>
  </si>
  <si>
    <r>
      <t>K</t>
    </r>
    <r>
      <rPr>
        <vertAlign val="subscript"/>
        <sz val="11"/>
        <rFont val="Calibri"/>
        <family val="2"/>
        <scheme val="minor"/>
      </rPr>
      <t>NO3,EPS</t>
    </r>
  </si>
  <si>
    <r>
      <t>K</t>
    </r>
    <r>
      <rPr>
        <vertAlign val="subscript"/>
        <sz val="11"/>
        <rFont val="Calibri"/>
        <family val="2"/>
        <scheme val="minor"/>
      </rPr>
      <t>NO2,EPS</t>
    </r>
  </si>
  <si>
    <r>
      <t>η</t>
    </r>
    <r>
      <rPr>
        <vertAlign val="subscript"/>
        <sz val="11"/>
        <color indexed="8"/>
        <rFont val="Calibri"/>
        <family val="2"/>
      </rPr>
      <t>EPS,anox</t>
    </r>
  </si>
  <si>
    <r>
      <t>η</t>
    </r>
    <r>
      <rPr>
        <vertAlign val="subscript"/>
        <sz val="11"/>
        <color indexed="8"/>
        <rFont val="Calibri"/>
        <family val="2"/>
      </rPr>
      <t>EPS,ana</t>
    </r>
  </si>
  <si>
    <r>
      <t>Msat</t>
    </r>
    <r>
      <rPr>
        <vertAlign val="subscript"/>
        <sz val="11"/>
        <rFont val="Calibri"/>
        <family val="2"/>
        <scheme val="minor"/>
      </rPr>
      <t>SNO2,KNO2,EPS</t>
    </r>
  </si>
  <si>
    <r>
      <t>Saturation term for NO</t>
    </r>
    <r>
      <rPr>
        <vertAlign val="subscript"/>
        <sz val="11"/>
        <color rgb="FF000000"/>
        <rFont val="Calibri"/>
        <family val="2"/>
        <scheme val="minor"/>
      </rPr>
      <t>2</t>
    </r>
    <r>
      <rPr>
        <sz val="11"/>
        <color rgb="FF000000"/>
        <rFont val="Calibri"/>
        <family val="2"/>
        <charset val="238"/>
        <scheme val="minor"/>
      </rPr>
      <t xml:space="preserve"> (EPS)</t>
    </r>
  </si>
  <si>
    <r>
      <t>Msat(S</t>
    </r>
    <r>
      <rPr>
        <vertAlign val="subscript"/>
        <sz val="11"/>
        <rFont val="Calibri"/>
        <family val="2"/>
        <scheme val="minor"/>
      </rPr>
      <t>NO2</t>
    </r>
    <r>
      <rPr>
        <sz val="11"/>
        <rFont val="Calibri"/>
        <family val="2"/>
        <scheme val="minor"/>
      </rPr>
      <t>;K</t>
    </r>
    <r>
      <rPr>
        <vertAlign val="subscript"/>
        <sz val="11"/>
        <rFont val="Calibri"/>
        <family val="2"/>
        <scheme val="minor"/>
      </rPr>
      <t>NO2,EPS</t>
    </r>
    <r>
      <rPr>
        <sz val="11"/>
        <rFont val="Calibri"/>
        <family val="2"/>
        <scheme val="minor"/>
      </rPr>
      <t>)</t>
    </r>
  </si>
  <si>
    <r>
      <t>Msat</t>
    </r>
    <r>
      <rPr>
        <vertAlign val="subscript"/>
        <sz val="11"/>
        <rFont val="Calibri"/>
        <family val="2"/>
        <scheme val="minor"/>
      </rPr>
      <t>SNO3,KNO3,EPS</t>
    </r>
  </si>
  <si>
    <r>
      <t>Saturation term for NO</t>
    </r>
    <r>
      <rPr>
        <vertAlign val="subscript"/>
        <sz val="11"/>
        <color rgb="FF000000"/>
        <rFont val="Calibri"/>
        <family val="2"/>
        <scheme val="minor"/>
      </rPr>
      <t>3</t>
    </r>
    <r>
      <rPr>
        <sz val="11"/>
        <color rgb="FF000000"/>
        <rFont val="Calibri"/>
        <family val="2"/>
        <charset val="238"/>
        <scheme val="minor"/>
      </rPr>
      <t xml:space="preserve"> (EPS)</t>
    </r>
  </si>
  <si>
    <r>
      <t>Msat(S</t>
    </r>
    <r>
      <rPr>
        <vertAlign val="subscript"/>
        <sz val="11"/>
        <rFont val="Calibri"/>
        <family val="2"/>
        <scheme val="minor"/>
      </rPr>
      <t>NO3</t>
    </r>
    <r>
      <rPr>
        <sz val="11"/>
        <rFont val="Calibri"/>
        <family val="2"/>
        <scheme val="minor"/>
      </rPr>
      <t>;K</t>
    </r>
    <r>
      <rPr>
        <vertAlign val="subscript"/>
        <sz val="11"/>
        <rFont val="Calibri"/>
        <family val="2"/>
        <scheme val="minor"/>
      </rPr>
      <t>NO3,EPS</t>
    </r>
    <r>
      <rPr>
        <sz val="11"/>
        <rFont val="Calibri"/>
        <family val="2"/>
        <scheme val="minor"/>
      </rPr>
      <t>)</t>
    </r>
  </si>
  <si>
    <r>
      <t>Minh</t>
    </r>
    <r>
      <rPr>
        <vertAlign val="subscript"/>
        <sz val="11"/>
        <rFont val="Calibri"/>
        <family val="2"/>
        <scheme val="minor"/>
      </rPr>
      <t>SO2,KO2,EPS</t>
    </r>
  </si>
  <si>
    <r>
      <t>Minh</t>
    </r>
    <r>
      <rPr>
        <vertAlign val="subscript"/>
        <sz val="11"/>
        <rFont val="Calibri"/>
        <family val="2"/>
        <scheme val="minor"/>
      </rPr>
      <t>SNO2,KNO2,EPS</t>
    </r>
  </si>
  <si>
    <r>
      <t>Minh</t>
    </r>
    <r>
      <rPr>
        <vertAlign val="subscript"/>
        <sz val="11"/>
        <rFont val="Calibri"/>
        <family val="2"/>
        <scheme val="minor"/>
      </rPr>
      <t>SNO3,KNO3,EPS</t>
    </r>
  </si>
  <si>
    <r>
      <t>Inhibition term for O</t>
    </r>
    <r>
      <rPr>
        <vertAlign val="subscript"/>
        <sz val="11"/>
        <color rgb="FF000000"/>
        <rFont val="Calibri"/>
        <family val="2"/>
        <scheme val="minor"/>
      </rPr>
      <t>2</t>
    </r>
    <r>
      <rPr>
        <sz val="11"/>
        <color rgb="FF000000"/>
        <rFont val="Calibri"/>
        <family val="2"/>
        <charset val="238"/>
        <scheme val="minor"/>
      </rPr>
      <t xml:space="preserve"> (EPS)</t>
    </r>
  </si>
  <si>
    <r>
      <t>Inhibition term for NO</t>
    </r>
    <r>
      <rPr>
        <vertAlign val="subscript"/>
        <sz val="11"/>
        <color rgb="FF000000"/>
        <rFont val="Calibri"/>
        <family val="2"/>
        <scheme val="minor"/>
      </rPr>
      <t>2</t>
    </r>
    <r>
      <rPr>
        <sz val="11"/>
        <color rgb="FF000000"/>
        <rFont val="Calibri"/>
        <family val="2"/>
        <charset val="238"/>
        <scheme val="minor"/>
      </rPr>
      <t xml:space="preserve"> (EPS)</t>
    </r>
  </si>
  <si>
    <r>
      <t>Inhibition term for NO</t>
    </r>
    <r>
      <rPr>
        <vertAlign val="subscript"/>
        <sz val="11"/>
        <color rgb="FF000000"/>
        <rFont val="Calibri"/>
        <family val="2"/>
        <scheme val="minor"/>
      </rPr>
      <t>3</t>
    </r>
    <r>
      <rPr>
        <sz val="11"/>
        <color rgb="FF000000"/>
        <rFont val="Calibri"/>
        <family val="2"/>
        <charset val="238"/>
        <scheme val="minor"/>
      </rPr>
      <t xml:space="preserve"> (EPS)</t>
    </r>
  </si>
  <si>
    <r>
      <t>Minh(S</t>
    </r>
    <r>
      <rPr>
        <vertAlign val="subscript"/>
        <sz val="11"/>
        <rFont val="Calibri"/>
        <family val="2"/>
        <scheme val="minor"/>
      </rPr>
      <t>O2</t>
    </r>
    <r>
      <rPr>
        <sz val="11"/>
        <rFont val="Calibri"/>
        <family val="2"/>
        <scheme val="minor"/>
      </rPr>
      <t>;K</t>
    </r>
    <r>
      <rPr>
        <vertAlign val="subscript"/>
        <sz val="11"/>
        <rFont val="Calibri"/>
        <family val="2"/>
        <scheme val="minor"/>
      </rPr>
      <t>O2,EPS</t>
    </r>
    <r>
      <rPr>
        <sz val="11"/>
        <rFont val="Calibri"/>
        <family val="2"/>
        <scheme val="minor"/>
      </rPr>
      <t>)</t>
    </r>
  </si>
  <si>
    <r>
      <t>Minh(S</t>
    </r>
    <r>
      <rPr>
        <vertAlign val="subscript"/>
        <sz val="11"/>
        <rFont val="Calibri"/>
        <family val="2"/>
        <scheme val="minor"/>
      </rPr>
      <t>NO2</t>
    </r>
    <r>
      <rPr>
        <sz val="11"/>
        <rFont val="Calibri"/>
        <family val="2"/>
        <scheme val="minor"/>
      </rPr>
      <t>;K</t>
    </r>
    <r>
      <rPr>
        <vertAlign val="subscript"/>
        <sz val="11"/>
        <rFont val="Calibri"/>
        <family val="2"/>
        <scheme val="minor"/>
      </rPr>
      <t>NO2,EPS</t>
    </r>
    <r>
      <rPr>
        <sz val="11"/>
        <rFont val="Calibri"/>
        <family val="2"/>
        <scheme val="minor"/>
      </rPr>
      <t>)</t>
    </r>
  </si>
  <si>
    <r>
      <t>Minh(S</t>
    </r>
    <r>
      <rPr>
        <vertAlign val="subscript"/>
        <sz val="11"/>
        <rFont val="Calibri"/>
        <family val="2"/>
        <scheme val="minor"/>
      </rPr>
      <t>NO3</t>
    </r>
    <r>
      <rPr>
        <sz val="11"/>
        <rFont val="Calibri"/>
        <family val="2"/>
        <scheme val="minor"/>
      </rPr>
      <t>;K</t>
    </r>
    <r>
      <rPr>
        <vertAlign val="subscript"/>
        <sz val="11"/>
        <rFont val="Calibri"/>
        <family val="2"/>
        <scheme val="minor"/>
      </rPr>
      <t>NO3,EPS</t>
    </r>
    <r>
      <rPr>
        <sz val="11"/>
        <rFont val="Calibri"/>
        <family val="2"/>
        <scheme val="minor"/>
      </rPr>
      <t>)</t>
    </r>
  </si>
  <si>
    <t>Gas transfer sign conventions</t>
  </si>
  <si>
    <t>The sign conventions used in gas transfer equations are based on the simple consideration</t>
  </si>
  <si>
    <r>
      <t>above: when G.SV</t>
    </r>
    <r>
      <rPr>
        <vertAlign val="subscript"/>
        <sz val="11"/>
        <color indexed="8"/>
        <rFont val="Calibri"/>
        <family val="2"/>
      </rPr>
      <t>sat,eq</t>
    </r>
    <r>
      <rPr>
        <sz val="11"/>
        <color indexed="8"/>
        <rFont val="Calibri"/>
        <family val="2"/>
      </rPr>
      <t xml:space="preserve"> &gt; L.SV then there is mass transfer from gas to the liquid phase.</t>
    </r>
  </si>
  <si>
    <t>Consequently, the stoichiometric coefficient of G.SVs is negative, and it is positive for</t>
  </si>
  <si>
    <t>the matching L.SVs.</t>
  </si>
  <si>
    <r>
      <t>If the transfer happens to take place to the opposite direction, then G.SV</t>
    </r>
    <r>
      <rPr>
        <vertAlign val="subscript"/>
        <sz val="11"/>
        <color indexed="8"/>
        <rFont val="Calibri"/>
        <family val="2"/>
      </rPr>
      <t>sat,eq</t>
    </r>
    <r>
      <rPr>
        <sz val="11"/>
        <color indexed="8"/>
        <rFont val="Calibri"/>
        <family val="2"/>
      </rPr>
      <t xml:space="preserve"> &lt; L.SV,</t>
    </r>
  </si>
  <si>
    <r>
      <t>therefore r</t>
    </r>
    <r>
      <rPr>
        <vertAlign val="subscript"/>
        <sz val="11"/>
        <color indexed="8"/>
        <rFont val="Calibri"/>
        <family val="2"/>
      </rPr>
      <t>transfer,G.SV</t>
    </r>
    <r>
      <rPr>
        <sz val="11"/>
        <color indexed="8"/>
        <rFont val="Calibri"/>
        <family val="2"/>
      </rPr>
      <t xml:space="preserve"> &lt; 0, and all expressions have their proper signs without adjusting anything.</t>
    </r>
  </si>
  <si>
    <t>Standard barometric pressure</t>
  </si>
  <si>
    <r>
      <t>D</t>
    </r>
    <r>
      <rPr>
        <vertAlign val="subscript"/>
        <sz val="11"/>
        <rFont val="Calibri"/>
        <family val="2"/>
        <scheme val="minor"/>
      </rPr>
      <t>GO2,25</t>
    </r>
  </si>
  <si>
    <r>
      <t>D</t>
    </r>
    <r>
      <rPr>
        <vertAlign val="subscript"/>
        <sz val="11"/>
        <rFont val="Calibri"/>
        <family val="2"/>
        <scheme val="minor"/>
      </rPr>
      <t>GN2,25</t>
    </r>
  </si>
  <si>
    <r>
      <t>D</t>
    </r>
    <r>
      <rPr>
        <vertAlign val="subscript"/>
        <sz val="11"/>
        <rFont val="Calibri"/>
        <family val="2"/>
        <scheme val="minor"/>
      </rPr>
      <t>GNH3,25</t>
    </r>
  </si>
  <si>
    <r>
      <t>D</t>
    </r>
    <r>
      <rPr>
        <vertAlign val="subscript"/>
        <sz val="11"/>
        <rFont val="Calibri"/>
        <family val="2"/>
        <scheme val="minor"/>
      </rPr>
      <t>GCO2,25</t>
    </r>
  </si>
  <si>
    <r>
      <t>D</t>
    </r>
    <r>
      <rPr>
        <vertAlign val="subscript"/>
        <sz val="11"/>
        <rFont val="Calibri"/>
        <family val="2"/>
      </rPr>
      <t>GH2,25</t>
    </r>
  </si>
  <si>
    <r>
      <t>D</t>
    </r>
    <r>
      <rPr>
        <vertAlign val="subscript"/>
        <sz val="11"/>
        <rFont val="Calibri"/>
        <family val="2"/>
      </rPr>
      <t>GCH4,25</t>
    </r>
  </si>
  <si>
    <r>
      <t>D</t>
    </r>
    <r>
      <rPr>
        <vertAlign val="subscript"/>
        <sz val="11"/>
        <rFont val="Calibri"/>
        <family val="2"/>
      </rPr>
      <t>GNO,25</t>
    </r>
  </si>
  <si>
    <r>
      <t>D</t>
    </r>
    <r>
      <rPr>
        <vertAlign val="subscript"/>
        <sz val="11"/>
        <rFont val="Calibri"/>
        <family val="2"/>
      </rPr>
      <t>GN2O,25</t>
    </r>
  </si>
  <si>
    <r>
      <t>D</t>
    </r>
    <r>
      <rPr>
        <vertAlign val="subscript"/>
        <sz val="11"/>
        <rFont val="Calibri"/>
        <family val="2"/>
        <scheme val="minor"/>
      </rPr>
      <t>GH2S,25</t>
    </r>
  </si>
  <si>
    <r>
      <t>σ</t>
    </r>
    <r>
      <rPr>
        <vertAlign val="subscript"/>
        <sz val="11"/>
        <rFont val="Calibri"/>
        <family val="2"/>
        <charset val="238"/>
      </rPr>
      <t>H2O</t>
    </r>
  </si>
  <si>
    <t>Water/air surface tension</t>
  </si>
  <si>
    <r>
      <t>N.m</t>
    </r>
    <r>
      <rPr>
        <vertAlign val="superscript"/>
        <sz val="11"/>
        <rFont val="Calibri"/>
        <family val="2"/>
        <charset val="238"/>
        <scheme val="minor"/>
      </rPr>
      <t>-1</t>
    </r>
  </si>
  <si>
    <t>Density of water</t>
  </si>
  <si>
    <t>Dynamic viscosity of water</t>
  </si>
  <si>
    <r>
      <rPr>
        <sz val="11"/>
        <rFont val="Calibri"/>
        <family val="2"/>
      </rPr>
      <t>ρ</t>
    </r>
    <r>
      <rPr>
        <vertAlign val="subscript"/>
        <sz val="11"/>
        <rFont val="Calibri"/>
        <family val="2"/>
        <scheme val="minor"/>
      </rPr>
      <t>air</t>
    </r>
  </si>
  <si>
    <t>Density of air</t>
  </si>
  <si>
    <r>
      <t>p</t>
    </r>
    <r>
      <rPr>
        <vertAlign val="subscript"/>
        <sz val="11"/>
        <rFont val="Calibri"/>
        <family val="2"/>
      </rPr>
      <t>STP</t>
    </r>
  </si>
  <si>
    <t>Normal barometric pressure</t>
  </si>
  <si>
    <r>
      <t>Carbon dioxide gas (CO</t>
    </r>
    <r>
      <rPr>
        <vertAlign val="subscript"/>
        <sz val="11"/>
        <rFont val="Calibri"/>
        <family val="2"/>
      </rPr>
      <t>2</t>
    </r>
    <r>
      <rPr>
        <sz val="11"/>
        <rFont val="Calibri"/>
        <family val="2"/>
      </rPr>
      <t>)</t>
    </r>
  </si>
  <si>
    <r>
      <t>Methane gas (CH</t>
    </r>
    <r>
      <rPr>
        <vertAlign val="subscript"/>
        <sz val="11"/>
        <color rgb="FF000000"/>
        <rFont val="Calibri"/>
        <family val="2"/>
        <scheme val="minor"/>
      </rPr>
      <t>4</t>
    </r>
    <r>
      <rPr>
        <sz val="11"/>
        <color rgb="FF000000"/>
        <rFont val="Calibri"/>
        <family val="2"/>
        <charset val="238"/>
        <scheme val="minor"/>
      </rPr>
      <t>)</t>
    </r>
  </si>
  <si>
    <r>
      <t>Hydrogen gas (H</t>
    </r>
    <r>
      <rPr>
        <vertAlign val="subscript"/>
        <sz val="11"/>
        <color rgb="FF000000"/>
        <rFont val="Calibri"/>
        <family val="2"/>
        <scheme val="minor"/>
      </rPr>
      <t>2</t>
    </r>
    <r>
      <rPr>
        <sz val="11"/>
        <color rgb="FF000000"/>
        <rFont val="Calibri"/>
        <family val="2"/>
        <charset val="238"/>
        <scheme val="minor"/>
      </rPr>
      <t>)</t>
    </r>
  </si>
  <si>
    <r>
      <t>Oxygen gas (O</t>
    </r>
    <r>
      <rPr>
        <vertAlign val="subscript"/>
        <sz val="11"/>
        <color rgb="FF000000"/>
        <rFont val="Calibri"/>
        <family val="2"/>
        <scheme val="minor"/>
      </rPr>
      <t>2</t>
    </r>
    <r>
      <rPr>
        <sz val="11"/>
        <color rgb="FF000000"/>
        <rFont val="Calibri"/>
        <family val="2"/>
        <charset val="238"/>
        <scheme val="minor"/>
      </rPr>
      <t>)</t>
    </r>
  </si>
  <si>
    <r>
      <t>Ammonia gas (NH</t>
    </r>
    <r>
      <rPr>
        <vertAlign val="subscript"/>
        <sz val="11"/>
        <rFont val="Calibri"/>
        <family val="2"/>
      </rPr>
      <t>3</t>
    </r>
    <r>
      <rPr>
        <sz val="11"/>
        <rFont val="Calibri"/>
        <family val="2"/>
      </rPr>
      <t>)</t>
    </r>
  </si>
  <si>
    <r>
      <t>Nitrogen gas (N</t>
    </r>
    <r>
      <rPr>
        <vertAlign val="subscript"/>
        <sz val="11"/>
        <color rgb="FF000000"/>
        <rFont val="Calibri"/>
        <family val="2"/>
        <scheme val="minor"/>
      </rPr>
      <t>2</t>
    </r>
    <r>
      <rPr>
        <sz val="11"/>
        <color rgb="FF000000"/>
        <rFont val="Calibri"/>
        <family val="2"/>
        <charset val="238"/>
        <scheme val="minor"/>
      </rPr>
      <t>)</t>
    </r>
  </si>
  <si>
    <r>
      <t>Δ</t>
    </r>
    <r>
      <rPr>
        <vertAlign val="subscript"/>
        <sz val="11"/>
        <rFont val="Calibri"/>
        <family val="2"/>
      </rPr>
      <t>atm</t>
    </r>
  </si>
  <si>
    <t>Arbitrary atmosphere ratio</t>
  </si>
  <si>
    <r>
      <t>%v/v / g/m</t>
    </r>
    <r>
      <rPr>
        <vertAlign val="superscript"/>
        <sz val="11"/>
        <rFont val="Calibri"/>
        <family val="2"/>
      </rPr>
      <t>3</t>
    </r>
  </si>
  <si>
    <t>Only used for mass balance check since mass changes in the atmosphere are not calculated</t>
  </si>
  <si>
    <r>
      <t>T</t>
    </r>
    <r>
      <rPr>
        <vertAlign val="subscript"/>
        <sz val="11"/>
        <rFont val="Calibri"/>
        <family val="2"/>
        <scheme val="minor"/>
      </rPr>
      <t>st,K</t>
    </r>
  </si>
  <si>
    <t>Standard ambient air temperature - 25°C in Kelvin</t>
  </si>
  <si>
    <t>25°C at 101325 Pa: SATP (Standard Ambient Temperature and Pressure) - EPA</t>
  </si>
  <si>
    <r>
      <t>T</t>
    </r>
    <r>
      <rPr>
        <vertAlign val="subscript"/>
        <sz val="11"/>
        <rFont val="Calibri"/>
        <family val="2"/>
        <scheme val="minor"/>
      </rPr>
      <t>NTP,K</t>
    </r>
  </si>
  <si>
    <t>Normal condition (NTP) temperature - 20°C in Kelvin</t>
  </si>
  <si>
    <t>20°C at 101325 Pa: NTP (Normal Temperature and Pressure) - EPA, NIST</t>
  </si>
  <si>
    <r>
      <t>T</t>
    </r>
    <r>
      <rPr>
        <vertAlign val="subscript"/>
        <sz val="11"/>
        <rFont val="Calibri"/>
        <family val="2"/>
        <scheme val="minor"/>
      </rPr>
      <t>STP,K</t>
    </r>
  </si>
  <si>
    <t>Standard condition (STP) temperature - 0°C in Kelvin</t>
  </si>
  <si>
    <t>0°C at 101325 Pa: IUPAC STP called Normal condition - NIST, ISO10780</t>
  </si>
  <si>
    <r>
      <t>H</t>
    </r>
    <r>
      <rPr>
        <vertAlign val="subscript"/>
        <sz val="11"/>
        <rFont val="Calibri"/>
        <family val="2"/>
        <scheme val="minor"/>
      </rPr>
      <t>STP</t>
    </r>
  </si>
  <si>
    <r>
      <t>MM</t>
    </r>
    <r>
      <rPr>
        <vertAlign val="subscript"/>
        <sz val="11"/>
        <rFont val="Calibri"/>
        <family val="2"/>
        <scheme val="minor"/>
      </rPr>
      <t>FeOH3</t>
    </r>
  </si>
  <si>
    <r>
      <t>MM</t>
    </r>
    <r>
      <rPr>
        <vertAlign val="subscript"/>
        <sz val="11"/>
        <rFont val="Calibri"/>
        <family val="2"/>
        <scheme val="minor"/>
      </rPr>
      <t>AlOH3</t>
    </r>
  </si>
  <si>
    <r>
      <t>MM</t>
    </r>
    <r>
      <rPr>
        <vertAlign val="subscript"/>
        <sz val="11"/>
        <rFont val="Calibri"/>
        <family val="2"/>
        <scheme val="minor"/>
      </rPr>
      <t>AlPO4</t>
    </r>
  </si>
  <si>
    <r>
      <t>K</t>
    </r>
    <r>
      <rPr>
        <vertAlign val="subscript"/>
        <sz val="11"/>
        <rFont val="Calibri"/>
        <family val="2"/>
        <charset val="238"/>
        <scheme val="minor"/>
      </rPr>
      <t>NH3,param</t>
    </r>
  </si>
  <si>
    <r>
      <t>K</t>
    </r>
    <r>
      <rPr>
        <vertAlign val="subscript"/>
        <sz val="11"/>
        <rFont val="Calibri"/>
        <family val="2"/>
        <charset val="238"/>
        <scheme val="minor"/>
      </rPr>
      <t>NO2,param</t>
    </r>
  </si>
  <si>
    <r>
      <t>K</t>
    </r>
    <r>
      <rPr>
        <vertAlign val="subscript"/>
        <sz val="11"/>
        <rFont val="Calibri"/>
        <family val="2"/>
        <charset val="238"/>
        <scheme val="minor"/>
      </rPr>
      <t>Ac,param</t>
    </r>
  </si>
  <si>
    <r>
      <t>K</t>
    </r>
    <r>
      <rPr>
        <vertAlign val="subscript"/>
        <sz val="11"/>
        <rFont val="Calibri"/>
        <family val="2"/>
        <charset val="238"/>
        <scheme val="minor"/>
      </rPr>
      <t>H2S,param</t>
    </r>
  </si>
  <si>
    <r>
      <t>D</t>
    </r>
    <r>
      <rPr>
        <vertAlign val="subscript"/>
        <sz val="11"/>
        <rFont val="Calibri"/>
        <family val="2"/>
        <charset val="238"/>
        <scheme val="minor"/>
      </rPr>
      <t>SVFA</t>
    </r>
  </si>
  <si>
    <r>
      <t>cm</t>
    </r>
    <r>
      <rPr>
        <vertAlign val="superscript"/>
        <sz val="11"/>
        <rFont val="Calibri"/>
        <family val="2"/>
        <charset val="238"/>
        <scheme val="minor"/>
      </rPr>
      <t>2</t>
    </r>
    <r>
      <rPr>
        <sz val="11"/>
        <rFont val="Calibri"/>
        <family val="2"/>
        <scheme val="minor"/>
      </rPr>
      <t>.s</t>
    </r>
    <r>
      <rPr>
        <vertAlign val="superscript"/>
        <sz val="11"/>
        <rFont val="Calibri"/>
        <family val="2"/>
        <charset val="238"/>
        <scheme val="minor"/>
      </rPr>
      <t>-1</t>
    </r>
  </si>
  <si>
    <r>
      <t>D</t>
    </r>
    <r>
      <rPr>
        <vertAlign val="subscript"/>
        <sz val="11"/>
        <rFont val="Calibri"/>
        <family val="2"/>
        <charset val="238"/>
        <scheme val="minor"/>
      </rPr>
      <t>SA</t>
    </r>
  </si>
  <si>
    <r>
      <t>D</t>
    </r>
    <r>
      <rPr>
        <vertAlign val="subscript"/>
        <sz val="11"/>
        <rFont val="Calibri"/>
        <family val="2"/>
        <charset val="238"/>
        <scheme val="minor"/>
      </rPr>
      <t>SBSA</t>
    </r>
  </si>
  <si>
    <r>
      <t>D</t>
    </r>
    <r>
      <rPr>
        <vertAlign val="subscript"/>
        <sz val="11"/>
        <rFont val="Calibri"/>
        <family val="2"/>
        <charset val="238"/>
        <scheme val="minor"/>
      </rPr>
      <t>SB</t>
    </r>
  </si>
  <si>
    <r>
      <t>D</t>
    </r>
    <r>
      <rPr>
        <vertAlign val="subscript"/>
        <sz val="11"/>
        <rFont val="Calibri"/>
        <family val="2"/>
        <charset val="238"/>
        <scheme val="minor"/>
      </rPr>
      <t>SB,mono</t>
    </r>
  </si>
  <si>
    <r>
      <t>D</t>
    </r>
    <r>
      <rPr>
        <vertAlign val="subscript"/>
        <sz val="11"/>
        <rFont val="Calibri"/>
        <family val="2"/>
        <charset val="238"/>
        <scheme val="minor"/>
      </rPr>
      <t>SB,poly</t>
    </r>
  </si>
  <si>
    <r>
      <t>D</t>
    </r>
    <r>
      <rPr>
        <vertAlign val="subscript"/>
        <sz val="11"/>
        <rFont val="Calibri"/>
        <family val="2"/>
        <charset val="238"/>
        <scheme val="minor"/>
      </rPr>
      <t>SS</t>
    </r>
  </si>
  <si>
    <r>
      <t>D</t>
    </r>
    <r>
      <rPr>
        <vertAlign val="subscript"/>
        <sz val="11"/>
        <rFont val="Calibri"/>
        <family val="2"/>
        <charset val="238"/>
        <scheme val="minor"/>
      </rPr>
      <t>SF</t>
    </r>
  </si>
  <si>
    <r>
      <t>D</t>
    </r>
    <r>
      <rPr>
        <vertAlign val="subscript"/>
        <sz val="11"/>
        <rFont val="Calibri"/>
        <family val="2"/>
        <charset val="238"/>
        <scheme val="minor"/>
      </rPr>
      <t>SBSC</t>
    </r>
  </si>
  <si>
    <r>
      <t>D</t>
    </r>
    <r>
      <rPr>
        <vertAlign val="subscript"/>
        <sz val="11"/>
        <rFont val="Calibri"/>
        <family val="2"/>
        <charset val="238"/>
        <scheme val="minor"/>
      </rPr>
      <t>SMEOL</t>
    </r>
  </si>
  <si>
    <r>
      <t>D</t>
    </r>
    <r>
      <rPr>
        <vertAlign val="subscript"/>
        <sz val="11"/>
        <rFont val="Calibri"/>
        <family val="2"/>
        <charset val="238"/>
        <scheme val="minor"/>
      </rPr>
      <t>SU</t>
    </r>
  </si>
  <si>
    <r>
      <t>D</t>
    </r>
    <r>
      <rPr>
        <vertAlign val="subscript"/>
        <sz val="11"/>
        <rFont val="Calibri"/>
        <family val="2"/>
        <charset val="238"/>
        <scheme val="minor"/>
      </rPr>
      <t>SI</t>
    </r>
  </si>
  <si>
    <r>
      <t>D</t>
    </r>
    <r>
      <rPr>
        <vertAlign val="subscript"/>
        <sz val="11"/>
        <rFont val="Calibri"/>
        <family val="2"/>
        <charset val="238"/>
        <scheme val="minor"/>
      </rPr>
      <t>SNHx</t>
    </r>
  </si>
  <si>
    <r>
      <t>D</t>
    </r>
    <r>
      <rPr>
        <vertAlign val="subscript"/>
        <sz val="11"/>
        <rFont val="Calibri"/>
        <family val="2"/>
        <charset val="238"/>
        <scheme val="minor"/>
      </rPr>
      <t>SNH4</t>
    </r>
  </si>
  <si>
    <r>
      <t>D</t>
    </r>
    <r>
      <rPr>
        <vertAlign val="subscript"/>
        <sz val="11"/>
        <rFont val="Calibri"/>
        <family val="2"/>
        <charset val="238"/>
        <scheme val="minor"/>
      </rPr>
      <t>SNH</t>
    </r>
  </si>
  <si>
    <r>
      <t>D</t>
    </r>
    <r>
      <rPr>
        <vertAlign val="subscript"/>
        <sz val="11"/>
        <rFont val="Calibri"/>
        <family val="2"/>
        <charset val="238"/>
        <scheme val="minor"/>
      </rPr>
      <t>NH3</t>
    </r>
  </si>
  <si>
    <r>
      <t>D</t>
    </r>
    <r>
      <rPr>
        <vertAlign val="subscript"/>
        <sz val="11"/>
        <rFont val="Calibri"/>
        <family val="2"/>
        <charset val="238"/>
        <scheme val="minor"/>
      </rPr>
      <t>NO3</t>
    </r>
  </si>
  <si>
    <r>
      <t>D</t>
    </r>
    <r>
      <rPr>
        <vertAlign val="subscript"/>
        <sz val="11"/>
        <rFont val="Calibri"/>
        <family val="2"/>
        <charset val="238"/>
        <scheme val="minor"/>
      </rPr>
      <t>PO4</t>
    </r>
  </si>
  <si>
    <r>
      <t>D</t>
    </r>
    <r>
      <rPr>
        <vertAlign val="subscript"/>
        <sz val="11"/>
        <rFont val="Calibri"/>
        <family val="2"/>
        <charset val="238"/>
        <scheme val="minor"/>
      </rPr>
      <t>SN2</t>
    </r>
  </si>
  <si>
    <r>
      <t>D</t>
    </r>
    <r>
      <rPr>
        <vertAlign val="subscript"/>
        <sz val="11"/>
        <rFont val="Calibri"/>
        <family val="2"/>
        <charset val="238"/>
        <scheme val="minor"/>
      </rPr>
      <t>NUS</t>
    </r>
  </si>
  <si>
    <r>
      <t>D</t>
    </r>
    <r>
      <rPr>
        <vertAlign val="subscript"/>
        <sz val="11"/>
        <rFont val="Calibri"/>
        <family val="2"/>
        <charset val="238"/>
        <scheme val="minor"/>
      </rPr>
      <t>NBS</t>
    </r>
  </si>
  <si>
    <r>
      <t>D</t>
    </r>
    <r>
      <rPr>
        <vertAlign val="subscript"/>
        <sz val="11"/>
        <rFont val="Calibri"/>
        <family val="2"/>
        <charset val="238"/>
        <scheme val="minor"/>
      </rPr>
      <t>SUS</t>
    </r>
  </si>
  <si>
    <r>
      <t>D</t>
    </r>
    <r>
      <rPr>
        <vertAlign val="subscript"/>
        <sz val="11"/>
        <rFont val="Calibri"/>
        <family val="2"/>
        <charset val="238"/>
        <scheme val="minor"/>
      </rPr>
      <t>SNOx</t>
    </r>
  </si>
  <si>
    <r>
      <t>D</t>
    </r>
    <r>
      <rPr>
        <vertAlign val="subscript"/>
        <sz val="11"/>
        <rFont val="Calibri"/>
        <family val="2"/>
        <charset val="238"/>
        <scheme val="minor"/>
      </rPr>
      <t>SNO2</t>
    </r>
  </si>
  <si>
    <r>
      <t>D</t>
    </r>
    <r>
      <rPr>
        <vertAlign val="subscript"/>
        <sz val="11"/>
        <rFont val="Calibri"/>
        <family val="2"/>
        <charset val="238"/>
        <scheme val="minor"/>
      </rPr>
      <t>SNO3</t>
    </r>
  </si>
  <si>
    <r>
      <t>D</t>
    </r>
    <r>
      <rPr>
        <vertAlign val="subscript"/>
        <sz val="11"/>
        <rFont val="Calibri"/>
        <family val="2"/>
        <charset val="238"/>
        <scheme val="minor"/>
      </rPr>
      <t>SN,B</t>
    </r>
  </si>
  <si>
    <r>
      <t>D</t>
    </r>
    <r>
      <rPr>
        <vertAlign val="subscript"/>
        <sz val="11"/>
        <rFont val="Calibri"/>
        <family val="2"/>
        <charset val="238"/>
        <scheme val="minor"/>
      </rPr>
      <t>SND</t>
    </r>
  </si>
  <si>
    <r>
      <t>D</t>
    </r>
    <r>
      <rPr>
        <vertAlign val="subscript"/>
        <sz val="11"/>
        <rFont val="Calibri"/>
        <family val="2"/>
        <charset val="238"/>
        <scheme val="minor"/>
      </rPr>
      <t>SPO4</t>
    </r>
  </si>
  <si>
    <r>
      <t>D</t>
    </r>
    <r>
      <rPr>
        <vertAlign val="subscript"/>
        <sz val="11"/>
        <rFont val="Calibri"/>
        <family val="2"/>
        <charset val="238"/>
        <scheme val="minor"/>
      </rPr>
      <t>SPO</t>
    </r>
  </si>
  <si>
    <r>
      <t>D</t>
    </r>
    <r>
      <rPr>
        <vertAlign val="subscript"/>
        <sz val="11"/>
        <rFont val="Calibri"/>
        <family val="2"/>
        <charset val="238"/>
        <scheme val="minor"/>
      </rPr>
      <t>SP,B</t>
    </r>
  </si>
  <si>
    <r>
      <t>D</t>
    </r>
    <r>
      <rPr>
        <vertAlign val="subscript"/>
        <sz val="11"/>
        <rFont val="Calibri"/>
        <family val="2"/>
        <charset val="238"/>
        <scheme val="minor"/>
      </rPr>
      <t>SO2</t>
    </r>
  </si>
  <si>
    <r>
      <t>D</t>
    </r>
    <r>
      <rPr>
        <vertAlign val="subscript"/>
        <sz val="11"/>
        <rFont val="Calibri"/>
        <family val="2"/>
        <charset val="238"/>
        <scheme val="minor"/>
      </rPr>
      <t>SCH4</t>
    </r>
  </si>
  <si>
    <r>
      <t>D</t>
    </r>
    <r>
      <rPr>
        <vertAlign val="subscript"/>
        <sz val="11"/>
        <rFont val="Calibri"/>
        <family val="2"/>
        <charset val="238"/>
        <scheme val="minor"/>
      </rPr>
      <t>SH2</t>
    </r>
  </si>
  <si>
    <r>
      <t>D</t>
    </r>
    <r>
      <rPr>
        <vertAlign val="subscript"/>
        <sz val="11"/>
        <rFont val="Calibri"/>
        <family val="2"/>
        <charset val="238"/>
        <scheme val="minor"/>
      </rPr>
      <t>SCO2</t>
    </r>
  </si>
  <si>
    <r>
      <t>D</t>
    </r>
    <r>
      <rPr>
        <vertAlign val="subscript"/>
        <sz val="11"/>
        <rFont val="Calibri"/>
        <family val="2"/>
        <charset val="238"/>
        <scheme val="minor"/>
      </rPr>
      <t>SK</t>
    </r>
  </si>
  <si>
    <r>
      <t>D</t>
    </r>
    <r>
      <rPr>
        <vertAlign val="subscript"/>
        <sz val="11"/>
        <rFont val="Calibri"/>
        <family val="2"/>
        <charset val="238"/>
        <scheme val="minor"/>
      </rPr>
      <t>SCa</t>
    </r>
  </si>
  <si>
    <r>
      <t>D</t>
    </r>
    <r>
      <rPr>
        <vertAlign val="subscript"/>
        <sz val="11"/>
        <rFont val="Calibri"/>
        <family val="2"/>
        <charset val="238"/>
        <scheme val="minor"/>
      </rPr>
      <t>SMg</t>
    </r>
  </si>
  <si>
    <r>
      <t>D</t>
    </r>
    <r>
      <rPr>
        <vertAlign val="subscript"/>
        <sz val="11"/>
        <rFont val="Calibri"/>
        <family val="2"/>
        <charset val="238"/>
        <scheme val="minor"/>
      </rPr>
      <t>SCAT</t>
    </r>
  </si>
  <si>
    <r>
      <t>D</t>
    </r>
    <r>
      <rPr>
        <vertAlign val="subscript"/>
        <sz val="11"/>
        <rFont val="Calibri"/>
        <family val="2"/>
        <charset val="238"/>
        <scheme val="minor"/>
      </rPr>
      <t>SAN</t>
    </r>
  </si>
  <si>
    <r>
      <t>D</t>
    </r>
    <r>
      <rPr>
        <vertAlign val="subscript"/>
        <sz val="11"/>
        <rFont val="Calibri"/>
        <family val="2"/>
        <charset val="238"/>
        <scheme val="minor"/>
      </rPr>
      <t>SH2S</t>
    </r>
  </si>
  <si>
    <r>
      <t>D</t>
    </r>
    <r>
      <rPr>
        <vertAlign val="subscript"/>
        <sz val="11"/>
        <rFont val="Calibri"/>
        <family val="2"/>
        <charset val="238"/>
        <scheme val="minor"/>
      </rPr>
      <t>SSO4</t>
    </r>
  </si>
  <si>
    <r>
      <t>D</t>
    </r>
    <r>
      <rPr>
        <vertAlign val="subscript"/>
        <sz val="11"/>
        <rFont val="Calibri"/>
        <family val="2"/>
        <charset val="238"/>
        <scheme val="minor"/>
      </rPr>
      <t>SFe2</t>
    </r>
  </si>
  <si>
    <r>
      <t>D</t>
    </r>
    <r>
      <rPr>
        <vertAlign val="subscript"/>
        <sz val="11"/>
        <rFont val="Calibri"/>
        <family val="2"/>
        <charset val="238"/>
        <scheme val="minor"/>
      </rPr>
      <t>SALK</t>
    </r>
  </si>
  <si>
    <r>
      <t>D</t>
    </r>
    <r>
      <rPr>
        <vertAlign val="subscript"/>
        <sz val="11"/>
        <rFont val="Calibri"/>
        <family val="2"/>
        <charset val="238"/>
        <scheme val="minor"/>
      </rPr>
      <t>SMM,index</t>
    </r>
  </si>
  <si>
    <r>
      <t>D</t>
    </r>
    <r>
      <rPr>
        <vertAlign val="subscript"/>
        <sz val="11"/>
        <rFont val="Calibri"/>
        <family val="2"/>
        <charset val="238"/>
        <scheme val="minor"/>
      </rPr>
      <t>CB</t>
    </r>
  </si>
  <si>
    <r>
      <t>D</t>
    </r>
    <r>
      <rPr>
        <vertAlign val="subscript"/>
        <sz val="11"/>
        <rFont val="Calibri"/>
        <family val="2"/>
        <charset val="238"/>
        <scheme val="minor"/>
      </rPr>
      <t>CU</t>
    </r>
  </si>
  <si>
    <t>Other parameters - gas transfer via bubbles</t>
  </si>
  <si>
    <r>
      <t>k</t>
    </r>
    <r>
      <rPr>
        <vertAlign val="subscript"/>
        <sz val="11"/>
        <rFont val="Calibri"/>
        <family val="2"/>
      </rPr>
      <t>L</t>
    </r>
    <r>
      <rPr>
        <sz val="11"/>
        <rFont val="Calibri"/>
        <family val="2"/>
      </rPr>
      <t>a</t>
    </r>
    <r>
      <rPr>
        <vertAlign val="subscript"/>
        <sz val="11"/>
        <rFont val="Calibri"/>
        <family val="2"/>
        <charset val="238"/>
      </rPr>
      <t>GH2S</t>
    </r>
    <r>
      <rPr>
        <vertAlign val="subscript"/>
        <sz val="11"/>
        <rFont val="Calibri"/>
        <family val="2"/>
      </rPr>
      <t>,bub</t>
    </r>
  </si>
  <si>
    <t>H2S mass transfer coefficient for gas bubbles from PU code</t>
  </si>
  <si>
    <r>
      <t>d</t>
    </r>
    <r>
      <rPr>
        <vertAlign val="superscript"/>
        <sz val="11"/>
        <rFont val="Calibri"/>
        <family val="2"/>
        <charset val="238"/>
      </rPr>
      <t>-1</t>
    </r>
  </si>
  <si>
    <r>
      <t>k</t>
    </r>
    <r>
      <rPr>
        <vertAlign val="subscript"/>
        <sz val="11"/>
        <rFont val="Calibri"/>
        <family val="2"/>
      </rPr>
      <t>L</t>
    </r>
    <r>
      <rPr>
        <sz val="11"/>
        <rFont val="Calibri"/>
        <family val="2"/>
      </rPr>
      <t>a</t>
    </r>
    <r>
      <rPr>
        <vertAlign val="subscript"/>
        <sz val="11"/>
        <rFont val="Calibri"/>
        <family val="2"/>
        <charset val="238"/>
      </rPr>
      <t>G</t>
    </r>
    <r>
      <rPr>
        <vertAlign val="subscript"/>
        <sz val="11"/>
        <rFont val="Calibri"/>
        <family val="2"/>
      </rPr>
      <t>O2,bub</t>
    </r>
  </si>
  <si>
    <t>O2 mass transfer coefficient for gas bubbles from PU code</t>
  </si>
  <si>
    <r>
      <t>k</t>
    </r>
    <r>
      <rPr>
        <vertAlign val="subscript"/>
        <sz val="11"/>
        <rFont val="Calibri"/>
        <family val="2"/>
      </rPr>
      <t>L</t>
    </r>
    <r>
      <rPr>
        <sz val="11"/>
        <rFont val="Calibri"/>
        <family val="2"/>
      </rPr>
      <t>a</t>
    </r>
    <r>
      <rPr>
        <vertAlign val="subscript"/>
        <sz val="11"/>
        <rFont val="Calibri"/>
        <family val="2"/>
        <charset val="238"/>
      </rPr>
      <t>GC</t>
    </r>
    <r>
      <rPr>
        <vertAlign val="subscript"/>
        <sz val="11"/>
        <rFont val="Calibri"/>
        <family val="2"/>
      </rPr>
      <t>O2,bub</t>
    </r>
  </si>
  <si>
    <t>CO2 mass transfer coefficient for gas bubbles from PU code</t>
  </si>
  <si>
    <r>
      <t>k</t>
    </r>
    <r>
      <rPr>
        <vertAlign val="subscript"/>
        <sz val="11"/>
        <rFont val="Calibri"/>
        <family val="2"/>
      </rPr>
      <t>L</t>
    </r>
    <r>
      <rPr>
        <sz val="11"/>
        <rFont val="Calibri"/>
        <family val="2"/>
      </rPr>
      <t>a</t>
    </r>
    <r>
      <rPr>
        <vertAlign val="subscript"/>
        <sz val="11"/>
        <rFont val="Calibri"/>
        <family val="2"/>
        <charset val="238"/>
      </rPr>
      <t>GCH4</t>
    </r>
    <r>
      <rPr>
        <vertAlign val="subscript"/>
        <sz val="11"/>
        <rFont val="Calibri"/>
        <family val="2"/>
      </rPr>
      <t>,bub</t>
    </r>
  </si>
  <si>
    <t>CH4 mass transfer coefficient for gas bubbles from PU code</t>
  </si>
  <si>
    <r>
      <t>k</t>
    </r>
    <r>
      <rPr>
        <vertAlign val="subscript"/>
        <sz val="11"/>
        <rFont val="Calibri"/>
        <family val="2"/>
      </rPr>
      <t>L</t>
    </r>
    <r>
      <rPr>
        <sz val="11"/>
        <rFont val="Calibri"/>
        <family val="2"/>
      </rPr>
      <t>a</t>
    </r>
    <r>
      <rPr>
        <vertAlign val="subscript"/>
        <sz val="11"/>
        <rFont val="Calibri"/>
        <family val="2"/>
        <charset val="238"/>
      </rPr>
      <t>GH2</t>
    </r>
    <r>
      <rPr>
        <vertAlign val="subscript"/>
        <sz val="11"/>
        <rFont val="Calibri"/>
        <family val="2"/>
      </rPr>
      <t>,bub</t>
    </r>
  </si>
  <si>
    <t>H2 mass transfer coefficient for gas bubbles from PU code</t>
  </si>
  <si>
    <r>
      <t>k</t>
    </r>
    <r>
      <rPr>
        <vertAlign val="subscript"/>
        <sz val="11"/>
        <rFont val="Calibri"/>
        <family val="2"/>
      </rPr>
      <t>L</t>
    </r>
    <r>
      <rPr>
        <sz val="11"/>
        <rFont val="Calibri"/>
        <family val="2"/>
      </rPr>
      <t>a</t>
    </r>
    <r>
      <rPr>
        <vertAlign val="subscript"/>
        <sz val="11"/>
        <rFont val="Calibri"/>
        <family val="2"/>
        <charset val="238"/>
      </rPr>
      <t>GNH3</t>
    </r>
    <r>
      <rPr>
        <vertAlign val="subscript"/>
        <sz val="11"/>
        <rFont val="Calibri"/>
        <family val="2"/>
      </rPr>
      <t>,bub</t>
    </r>
  </si>
  <si>
    <t>NH3 mass transfer coefficient for gas bubbles from PU code</t>
  </si>
  <si>
    <r>
      <t>k</t>
    </r>
    <r>
      <rPr>
        <vertAlign val="subscript"/>
        <sz val="11"/>
        <rFont val="Calibri"/>
        <family val="2"/>
      </rPr>
      <t>L</t>
    </r>
    <r>
      <rPr>
        <sz val="11"/>
        <rFont val="Calibri"/>
        <family val="2"/>
      </rPr>
      <t>a</t>
    </r>
    <r>
      <rPr>
        <vertAlign val="subscript"/>
        <sz val="11"/>
        <rFont val="Calibri"/>
        <family val="2"/>
        <charset val="238"/>
      </rPr>
      <t>GN2</t>
    </r>
    <r>
      <rPr>
        <vertAlign val="subscript"/>
        <sz val="11"/>
        <rFont val="Calibri"/>
        <family val="2"/>
      </rPr>
      <t>,bub</t>
    </r>
  </si>
  <si>
    <t>N2 mass transfer coefficient for gas bubbles from PU code</t>
  </si>
  <si>
    <r>
      <t>S</t>
    </r>
    <r>
      <rPr>
        <vertAlign val="subscript"/>
        <sz val="11"/>
        <rFont val="Calibri"/>
        <family val="2"/>
        <charset val="238"/>
      </rPr>
      <t>G</t>
    </r>
    <r>
      <rPr>
        <vertAlign val="subscript"/>
        <sz val="11"/>
        <rFont val="Calibri"/>
        <family val="2"/>
      </rPr>
      <t>H2S,bub,sat</t>
    </r>
  </si>
  <si>
    <t>H2S saturation concentration at gas bubble interface</t>
  </si>
  <si>
    <r>
      <t>S</t>
    </r>
    <r>
      <rPr>
        <vertAlign val="subscript"/>
        <sz val="11"/>
        <rFont val="Calibri"/>
        <family val="2"/>
        <charset val="238"/>
      </rPr>
      <t>G</t>
    </r>
    <r>
      <rPr>
        <vertAlign val="subscript"/>
        <sz val="11"/>
        <rFont val="Calibri"/>
        <family val="2"/>
      </rPr>
      <t>O2,bub,sat</t>
    </r>
  </si>
  <si>
    <t>O2 saturation concentration at gas bubble interface</t>
  </si>
  <si>
    <r>
      <t>S</t>
    </r>
    <r>
      <rPr>
        <vertAlign val="subscript"/>
        <sz val="11"/>
        <rFont val="Calibri"/>
        <family val="2"/>
        <charset val="238"/>
      </rPr>
      <t>G</t>
    </r>
    <r>
      <rPr>
        <vertAlign val="subscript"/>
        <sz val="11"/>
        <rFont val="Calibri"/>
        <family val="2"/>
      </rPr>
      <t>CO2,bub,sat</t>
    </r>
  </si>
  <si>
    <t>CO2 saturation concentration at gas bubble interface</t>
  </si>
  <si>
    <r>
      <t>S</t>
    </r>
    <r>
      <rPr>
        <vertAlign val="subscript"/>
        <sz val="11"/>
        <rFont val="Calibri"/>
        <family val="2"/>
        <charset val="238"/>
      </rPr>
      <t>G</t>
    </r>
    <r>
      <rPr>
        <vertAlign val="subscript"/>
        <sz val="11"/>
        <rFont val="Calibri"/>
        <family val="2"/>
      </rPr>
      <t>CH4,bub,sat</t>
    </r>
  </si>
  <si>
    <t>CH4 saturation concentration at gas bubble interface</t>
  </si>
  <si>
    <r>
      <t>S</t>
    </r>
    <r>
      <rPr>
        <vertAlign val="subscript"/>
        <sz val="11"/>
        <rFont val="Calibri"/>
        <family val="2"/>
        <charset val="238"/>
      </rPr>
      <t>G</t>
    </r>
    <r>
      <rPr>
        <vertAlign val="subscript"/>
        <sz val="11"/>
        <rFont val="Calibri"/>
        <family val="2"/>
      </rPr>
      <t>H2,bub,sat</t>
    </r>
  </si>
  <si>
    <t>H2 saturation concentration at gas bubble interface</t>
  </si>
  <si>
    <r>
      <t>S</t>
    </r>
    <r>
      <rPr>
        <vertAlign val="subscript"/>
        <sz val="11"/>
        <rFont val="Calibri"/>
        <family val="2"/>
        <charset val="238"/>
      </rPr>
      <t>G</t>
    </r>
    <r>
      <rPr>
        <vertAlign val="subscript"/>
        <sz val="11"/>
        <rFont val="Calibri"/>
        <family val="2"/>
      </rPr>
      <t>NH3,bub,sat</t>
    </r>
  </si>
  <si>
    <t>NH3 saturation concentration at gas bubble interface</t>
  </si>
  <si>
    <r>
      <t>S</t>
    </r>
    <r>
      <rPr>
        <vertAlign val="subscript"/>
        <sz val="11"/>
        <rFont val="Calibri"/>
        <family val="2"/>
        <charset val="238"/>
      </rPr>
      <t>G</t>
    </r>
    <r>
      <rPr>
        <vertAlign val="subscript"/>
        <sz val="11"/>
        <rFont val="Calibri"/>
        <family val="2"/>
      </rPr>
      <t>N2,bub,sat</t>
    </r>
  </si>
  <si>
    <t>N2 saturation concentration at gas bubble interface</t>
  </si>
  <si>
    <t>Other parameters - gas transfer via reactor surface</t>
  </si>
  <si>
    <r>
      <t>k</t>
    </r>
    <r>
      <rPr>
        <vertAlign val="subscript"/>
        <sz val="11"/>
        <rFont val="Calibri"/>
        <family val="2"/>
      </rPr>
      <t>L</t>
    </r>
    <r>
      <rPr>
        <sz val="11"/>
        <rFont val="Calibri"/>
        <family val="2"/>
      </rPr>
      <t>a</t>
    </r>
    <r>
      <rPr>
        <vertAlign val="subscript"/>
        <sz val="11"/>
        <rFont val="Calibri"/>
        <family val="2"/>
        <charset val="238"/>
      </rPr>
      <t>GH2S</t>
    </r>
    <r>
      <rPr>
        <vertAlign val="subscript"/>
        <sz val="11"/>
        <rFont val="Calibri"/>
        <family val="2"/>
      </rPr>
      <t>,sur</t>
    </r>
  </si>
  <si>
    <t>H2S mass transfer coefficient at liquid surface from PU code</t>
  </si>
  <si>
    <r>
      <t>k</t>
    </r>
    <r>
      <rPr>
        <vertAlign val="subscript"/>
        <sz val="11"/>
        <rFont val="Calibri"/>
        <family val="2"/>
      </rPr>
      <t>L</t>
    </r>
    <r>
      <rPr>
        <sz val="11"/>
        <rFont val="Calibri"/>
        <family val="2"/>
      </rPr>
      <t>a</t>
    </r>
    <r>
      <rPr>
        <vertAlign val="subscript"/>
        <sz val="11"/>
        <rFont val="Calibri"/>
        <family val="2"/>
        <charset val="238"/>
      </rPr>
      <t>G</t>
    </r>
    <r>
      <rPr>
        <vertAlign val="subscript"/>
        <sz val="11"/>
        <rFont val="Calibri"/>
        <family val="2"/>
      </rPr>
      <t>O2,sur</t>
    </r>
  </si>
  <si>
    <t>O2 mass transfer coefficient at liquid surface from PU code</t>
  </si>
  <si>
    <r>
      <t>k</t>
    </r>
    <r>
      <rPr>
        <vertAlign val="subscript"/>
        <sz val="11"/>
        <rFont val="Calibri"/>
        <family val="2"/>
      </rPr>
      <t>L</t>
    </r>
    <r>
      <rPr>
        <sz val="11"/>
        <rFont val="Calibri"/>
        <family val="2"/>
      </rPr>
      <t>a</t>
    </r>
    <r>
      <rPr>
        <vertAlign val="subscript"/>
        <sz val="11"/>
        <rFont val="Calibri"/>
        <family val="2"/>
        <charset val="238"/>
      </rPr>
      <t>GC</t>
    </r>
    <r>
      <rPr>
        <vertAlign val="subscript"/>
        <sz val="11"/>
        <rFont val="Calibri"/>
        <family val="2"/>
      </rPr>
      <t>O2,sur</t>
    </r>
  </si>
  <si>
    <t>CO2 mass transfer coefficient at liquid surface from PU code</t>
  </si>
  <si>
    <r>
      <t>k</t>
    </r>
    <r>
      <rPr>
        <vertAlign val="subscript"/>
        <sz val="11"/>
        <rFont val="Calibri"/>
        <family val="2"/>
      </rPr>
      <t>L</t>
    </r>
    <r>
      <rPr>
        <sz val="11"/>
        <rFont val="Calibri"/>
        <family val="2"/>
      </rPr>
      <t>a</t>
    </r>
    <r>
      <rPr>
        <vertAlign val="subscript"/>
        <sz val="11"/>
        <rFont val="Calibri"/>
        <family val="2"/>
        <charset val="238"/>
      </rPr>
      <t>GCH4</t>
    </r>
    <r>
      <rPr>
        <vertAlign val="subscript"/>
        <sz val="11"/>
        <rFont val="Calibri"/>
        <family val="2"/>
      </rPr>
      <t>,sur</t>
    </r>
  </si>
  <si>
    <t>CH4 mass transfer coefficient at liquid surface from PU code</t>
  </si>
  <si>
    <r>
      <t>k</t>
    </r>
    <r>
      <rPr>
        <vertAlign val="subscript"/>
        <sz val="11"/>
        <rFont val="Calibri"/>
        <family val="2"/>
      </rPr>
      <t>L</t>
    </r>
    <r>
      <rPr>
        <sz val="11"/>
        <rFont val="Calibri"/>
        <family val="2"/>
      </rPr>
      <t>a</t>
    </r>
    <r>
      <rPr>
        <vertAlign val="subscript"/>
        <sz val="11"/>
        <rFont val="Calibri"/>
        <family val="2"/>
        <charset val="238"/>
      </rPr>
      <t>GH2</t>
    </r>
    <r>
      <rPr>
        <vertAlign val="subscript"/>
        <sz val="11"/>
        <rFont val="Calibri"/>
        <family val="2"/>
      </rPr>
      <t>,sur</t>
    </r>
  </si>
  <si>
    <t>H2 mass transfer coefficient at liquid surface from PU code</t>
  </si>
  <si>
    <r>
      <t>k</t>
    </r>
    <r>
      <rPr>
        <vertAlign val="subscript"/>
        <sz val="11"/>
        <rFont val="Calibri"/>
        <family val="2"/>
      </rPr>
      <t>L</t>
    </r>
    <r>
      <rPr>
        <sz val="11"/>
        <rFont val="Calibri"/>
        <family val="2"/>
      </rPr>
      <t>a</t>
    </r>
    <r>
      <rPr>
        <vertAlign val="subscript"/>
        <sz val="11"/>
        <rFont val="Calibri"/>
        <family val="2"/>
        <charset val="238"/>
      </rPr>
      <t>GNH3</t>
    </r>
    <r>
      <rPr>
        <vertAlign val="subscript"/>
        <sz val="11"/>
        <rFont val="Calibri"/>
        <family val="2"/>
      </rPr>
      <t>,sur</t>
    </r>
  </si>
  <si>
    <t>NH3 mass transfer coefficient at liquid surface from PU code</t>
  </si>
  <si>
    <r>
      <t>k</t>
    </r>
    <r>
      <rPr>
        <vertAlign val="subscript"/>
        <sz val="11"/>
        <rFont val="Calibri"/>
        <family val="2"/>
      </rPr>
      <t>L</t>
    </r>
    <r>
      <rPr>
        <sz val="11"/>
        <rFont val="Calibri"/>
        <family val="2"/>
      </rPr>
      <t>a</t>
    </r>
    <r>
      <rPr>
        <vertAlign val="subscript"/>
        <sz val="11"/>
        <rFont val="Calibri"/>
        <family val="2"/>
        <charset val="238"/>
      </rPr>
      <t>GN2</t>
    </r>
    <r>
      <rPr>
        <vertAlign val="subscript"/>
        <sz val="11"/>
        <rFont val="Calibri"/>
        <family val="2"/>
      </rPr>
      <t>,sur</t>
    </r>
  </si>
  <si>
    <t>N2 mass transfer coefficient at liquid surface from PU code</t>
  </si>
  <si>
    <r>
      <t>S</t>
    </r>
    <r>
      <rPr>
        <vertAlign val="subscript"/>
        <sz val="11"/>
        <rFont val="Calibri"/>
        <family val="2"/>
        <charset val="238"/>
      </rPr>
      <t>G</t>
    </r>
    <r>
      <rPr>
        <vertAlign val="subscript"/>
        <sz val="11"/>
        <rFont val="Calibri"/>
        <family val="2"/>
      </rPr>
      <t>H2S,sur,sat</t>
    </r>
  </si>
  <si>
    <t>H2S saturation concentration at atmospheric interface</t>
  </si>
  <si>
    <r>
      <t>f(G</t>
    </r>
    <r>
      <rPr>
        <vertAlign val="subscript"/>
        <sz val="11"/>
        <rFont val="Calibri"/>
        <family val="2"/>
      </rPr>
      <t>H2S,atm</t>
    </r>
    <r>
      <rPr>
        <sz val="11"/>
        <rFont val="Calibri"/>
        <family val="2"/>
      </rPr>
      <t>)</t>
    </r>
  </si>
  <si>
    <r>
      <t>S</t>
    </r>
    <r>
      <rPr>
        <vertAlign val="subscript"/>
        <sz val="11"/>
        <rFont val="Calibri"/>
        <family val="2"/>
        <charset val="238"/>
      </rPr>
      <t>G</t>
    </r>
    <r>
      <rPr>
        <vertAlign val="subscript"/>
        <sz val="11"/>
        <rFont val="Calibri"/>
        <family val="2"/>
      </rPr>
      <t>O2,sur,sat</t>
    </r>
  </si>
  <si>
    <t>O2 saturation concentration at atmospheric interface</t>
  </si>
  <si>
    <r>
      <t>f(G</t>
    </r>
    <r>
      <rPr>
        <vertAlign val="subscript"/>
        <sz val="11"/>
        <rFont val="Calibri"/>
        <family val="2"/>
      </rPr>
      <t>O2,atm</t>
    </r>
    <r>
      <rPr>
        <sz val="11"/>
        <rFont val="Calibri"/>
        <family val="2"/>
      </rPr>
      <t>)</t>
    </r>
  </si>
  <si>
    <r>
      <t>S</t>
    </r>
    <r>
      <rPr>
        <vertAlign val="subscript"/>
        <sz val="11"/>
        <rFont val="Calibri"/>
        <family val="2"/>
        <charset val="238"/>
      </rPr>
      <t>G</t>
    </r>
    <r>
      <rPr>
        <vertAlign val="subscript"/>
        <sz val="11"/>
        <rFont val="Calibri"/>
        <family val="2"/>
      </rPr>
      <t>CO2,sur,sat</t>
    </r>
  </si>
  <si>
    <t>CO2 saturation concentration at atmospheric interface</t>
  </si>
  <si>
    <r>
      <t>f(G</t>
    </r>
    <r>
      <rPr>
        <vertAlign val="subscript"/>
        <sz val="11"/>
        <rFont val="Calibri"/>
        <family val="2"/>
      </rPr>
      <t>CO2,atm</t>
    </r>
    <r>
      <rPr>
        <sz val="11"/>
        <rFont val="Calibri"/>
        <family val="2"/>
      </rPr>
      <t>)</t>
    </r>
  </si>
  <si>
    <r>
      <t>S</t>
    </r>
    <r>
      <rPr>
        <vertAlign val="subscript"/>
        <sz val="11"/>
        <rFont val="Calibri"/>
        <family val="2"/>
        <charset val="238"/>
      </rPr>
      <t>G</t>
    </r>
    <r>
      <rPr>
        <vertAlign val="subscript"/>
        <sz val="11"/>
        <rFont val="Calibri"/>
        <family val="2"/>
      </rPr>
      <t>CH4,sur,sat</t>
    </r>
  </si>
  <si>
    <t>CH4 saturation concentration at atmospheric interface</t>
  </si>
  <si>
    <r>
      <t>f(G</t>
    </r>
    <r>
      <rPr>
        <vertAlign val="subscript"/>
        <sz val="11"/>
        <rFont val="Calibri"/>
        <family val="2"/>
      </rPr>
      <t>CH4,atm</t>
    </r>
    <r>
      <rPr>
        <sz val="11"/>
        <rFont val="Calibri"/>
        <family val="2"/>
      </rPr>
      <t>)</t>
    </r>
  </si>
  <si>
    <r>
      <t>S</t>
    </r>
    <r>
      <rPr>
        <vertAlign val="subscript"/>
        <sz val="11"/>
        <rFont val="Calibri"/>
        <family val="2"/>
        <charset val="238"/>
      </rPr>
      <t>G</t>
    </r>
    <r>
      <rPr>
        <vertAlign val="subscript"/>
        <sz val="11"/>
        <rFont val="Calibri"/>
        <family val="2"/>
      </rPr>
      <t>H2,sur,sat</t>
    </r>
  </si>
  <si>
    <t>H2 saturation concentration at atmospheric interface</t>
  </si>
  <si>
    <r>
      <t>f(G</t>
    </r>
    <r>
      <rPr>
        <vertAlign val="subscript"/>
        <sz val="11"/>
        <rFont val="Calibri"/>
        <family val="2"/>
      </rPr>
      <t>H2,atm</t>
    </r>
    <r>
      <rPr>
        <sz val="11"/>
        <rFont val="Calibri"/>
        <family val="2"/>
      </rPr>
      <t>)</t>
    </r>
  </si>
  <si>
    <r>
      <t>S</t>
    </r>
    <r>
      <rPr>
        <vertAlign val="subscript"/>
        <sz val="11"/>
        <rFont val="Calibri"/>
        <family val="2"/>
        <charset val="238"/>
      </rPr>
      <t>G</t>
    </r>
    <r>
      <rPr>
        <vertAlign val="subscript"/>
        <sz val="11"/>
        <rFont val="Calibri"/>
        <family val="2"/>
      </rPr>
      <t>NH3,sur,sat</t>
    </r>
  </si>
  <si>
    <t>NH3 saturation concentration at atmospheric interface</t>
  </si>
  <si>
    <r>
      <t>f(G</t>
    </r>
    <r>
      <rPr>
        <vertAlign val="subscript"/>
        <sz val="11"/>
        <rFont val="Calibri"/>
        <family val="2"/>
      </rPr>
      <t>NH3,atm</t>
    </r>
    <r>
      <rPr>
        <sz val="11"/>
        <rFont val="Calibri"/>
        <family val="2"/>
      </rPr>
      <t>)</t>
    </r>
  </si>
  <si>
    <r>
      <t>S</t>
    </r>
    <r>
      <rPr>
        <vertAlign val="subscript"/>
        <sz val="11"/>
        <rFont val="Calibri"/>
        <family val="2"/>
        <charset val="238"/>
      </rPr>
      <t>G</t>
    </r>
    <r>
      <rPr>
        <vertAlign val="subscript"/>
        <sz val="11"/>
        <rFont val="Calibri"/>
        <family val="2"/>
      </rPr>
      <t>N2,sur,sat</t>
    </r>
  </si>
  <si>
    <t>N2 saturation concentration at atmospheric interface</t>
  </si>
  <si>
    <r>
      <t>f(G</t>
    </r>
    <r>
      <rPr>
        <vertAlign val="subscript"/>
        <sz val="11"/>
        <rFont val="Calibri"/>
        <family val="2"/>
      </rPr>
      <t>N2,atm</t>
    </r>
    <r>
      <rPr>
        <sz val="11"/>
        <rFont val="Calibri"/>
        <family val="2"/>
      </rPr>
      <t>)</t>
    </r>
  </si>
  <si>
    <r>
      <t>K</t>
    </r>
    <r>
      <rPr>
        <vertAlign val="subscript"/>
        <sz val="11"/>
        <rFont val="Calibri"/>
        <family val="2"/>
        <scheme val="minor"/>
      </rPr>
      <t>W,param</t>
    </r>
    <r>
      <rPr>
        <sz val="11"/>
        <rFont val="Calibri"/>
        <family val="2"/>
        <scheme val="minor"/>
      </rPr>
      <t>*Exp(dH</t>
    </r>
    <r>
      <rPr>
        <vertAlign val="subscript"/>
        <sz val="11"/>
        <rFont val="Calibri"/>
        <family val="2"/>
        <scheme val="minor"/>
      </rPr>
      <t>diss,H2O</t>
    </r>
    <r>
      <rPr>
        <sz val="11"/>
        <rFont val="Calibri"/>
        <family val="2"/>
        <scheme val="minor"/>
      </rPr>
      <t>/R*(1/T</t>
    </r>
    <r>
      <rPr>
        <vertAlign val="subscript"/>
        <sz val="11"/>
        <rFont val="Calibri"/>
        <family val="2"/>
        <scheme val="minor"/>
      </rPr>
      <t>st,K</t>
    </r>
    <r>
      <rPr>
        <sz val="11"/>
        <rFont val="Calibri"/>
        <family val="2"/>
        <scheme val="minor"/>
      </rPr>
      <t>-1/T</t>
    </r>
    <r>
      <rPr>
        <vertAlign val="subscript"/>
        <sz val="11"/>
        <rFont val="Calibri"/>
        <family val="2"/>
        <scheme val="minor"/>
      </rPr>
      <t>K</t>
    </r>
    <r>
      <rPr>
        <sz val="11"/>
        <rFont val="Calibri"/>
        <family val="2"/>
        <scheme val="minor"/>
      </rPr>
      <t>))</t>
    </r>
  </si>
  <si>
    <r>
      <t>K</t>
    </r>
    <r>
      <rPr>
        <vertAlign val="subscript"/>
        <sz val="11"/>
        <rFont val="Calibri"/>
        <family val="2"/>
        <scheme val="minor"/>
      </rPr>
      <t>P3,param</t>
    </r>
    <r>
      <rPr>
        <sz val="11"/>
        <rFont val="Calibri"/>
        <family val="2"/>
        <scheme val="minor"/>
      </rPr>
      <t>*Exp(dH</t>
    </r>
    <r>
      <rPr>
        <vertAlign val="subscript"/>
        <sz val="11"/>
        <rFont val="Calibri"/>
        <family val="2"/>
        <scheme val="minor"/>
      </rPr>
      <t>diss,PO4,3</t>
    </r>
    <r>
      <rPr>
        <sz val="11"/>
        <rFont val="Calibri"/>
        <family val="2"/>
        <scheme val="minor"/>
      </rPr>
      <t>/R*(1/T</t>
    </r>
    <r>
      <rPr>
        <vertAlign val="subscript"/>
        <sz val="11"/>
        <rFont val="Calibri"/>
        <family val="2"/>
        <scheme val="minor"/>
      </rPr>
      <t>st,K</t>
    </r>
    <r>
      <rPr>
        <sz val="11"/>
        <rFont val="Calibri"/>
        <family val="2"/>
        <scheme val="minor"/>
      </rPr>
      <t>-1/T</t>
    </r>
    <r>
      <rPr>
        <vertAlign val="subscript"/>
        <sz val="11"/>
        <rFont val="Calibri"/>
        <family val="2"/>
        <scheme val="minor"/>
      </rPr>
      <t>K</t>
    </r>
    <r>
      <rPr>
        <sz val="11"/>
        <rFont val="Calibri"/>
        <family val="2"/>
        <scheme val="minor"/>
      </rPr>
      <t>))</t>
    </r>
  </si>
  <si>
    <r>
      <t>K</t>
    </r>
    <r>
      <rPr>
        <vertAlign val="subscript"/>
        <sz val="11"/>
        <rFont val="Calibri"/>
        <family val="2"/>
        <scheme val="minor"/>
      </rPr>
      <t>NO2,param</t>
    </r>
    <r>
      <rPr>
        <sz val="11"/>
        <rFont val="Calibri"/>
        <family val="2"/>
        <scheme val="minor"/>
      </rPr>
      <t>*Exp(dH</t>
    </r>
    <r>
      <rPr>
        <vertAlign val="subscript"/>
        <sz val="11"/>
        <rFont val="Calibri"/>
        <family val="2"/>
        <scheme val="minor"/>
      </rPr>
      <t>diss,NO2</t>
    </r>
    <r>
      <rPr>
        <sz val="11"/>
        <rFont val="Calibri"/>
        <family val="2"/>
        <scheme val="minor"/>
      </rPr>
      <t>/R*(1/T</t>
    </r>
    <r>
      <rPr>
        <vertAlign val="subscript"/>
        <sz val="11"/>
        <rFont val="Calibri"/>
        <family val="2"/>
        <scheme val="minor"/>
      </rPr>
      <t>st,K</t>
    </r>
    <r>
      <rPr>
        <sz val="11"/>
        <rFont val="Calibri"/>
        <family val="2"/>
        <scheme val="minor"/>
      </rPr>
      <t>-1/T</t>
    </r>
    <r>
      <rPr>
        <vertAlign val="subscript"/>
        <sz val="11"/>
        <rFont val="Calibri"/>
        <family val="2"/>
        <scheme val="minor"/>
      </rPr>
      <t>K</t>
    </r>
    <r>
      <rPr>
        <sz val="11"/>
        <rFont val="Calibri"/>
        <family val="2"/>
        <scheme val="minor"/>
      </rPr>
      <t>))</t>
    </r>
  </si>
  <si>
    <r>
      <t>k</t>
    </r>
    <r>
      <rPr>
        <vertAlign val="subscript"/>
        <sz val="11"/>
        <rFont val="Calibri"/>
        <family val="2"/>
        <scheme val="minor"/>
      </rPr>
      <t>transfer,GCO2,bub</t>
    </r>
  </si>
  <si>
    <r>
      <t>Gas transfer rate for CO</t>
    </r>
    <r>
      <rPr>
        <vertAlign val="subscript"/>
        <sz val="11"/>
        <color rgb="FF000000"/>
        <rFont val="Calibri"/>
        <family val="2"/>
        <scheme val="minor"/>
      </rPr>
      <t>2</t>
    </r>
    <r>
      <rPr>
        <sz val="11"/>
        <color rgb="FF000000"/>
        <rFont val="Calibri"/>
        <family val="2"/>
        <charset val="238"/>
        <scheme val="minor"/>
      </rPr>
      <t xml:space="preserve"> - bubbles</t>
    </r>
  </si>
  <si>
    <r>
      <t>k</t>
    </r>
    <r>
      <rPr>
        <vertAlign val="subscript"/>
        <sz val="11"/>
        <rFont val="Calibri"/>
        <family val="2"/>
      </rPr>
      <t>L</t>
    </r>
    <r>
      <rPr>
        <sz val="11"/>
        <rFont val="Calibri"/>
        <family val="2"/>
      </rPr>
      <t>a</t>
    </r>
    <r>
      <rPr>
        <vertAlign val="subscript"/>
        <sz val="11"/>
        <rFont val="Calibri"/>
        <family val="2"/>
      </rPr>
      <t>GCO2,bub</t>
    </r>
    <r>
      <rPr>
        <sz val="11"/>
        <rFont val="Calibri"/>
        <family val="2"/>
      </rPr>
      <t>*(S</t>
    </r>
    <r>
      <rPr>
        <vertAlign val="subscript"/>
        <sz val="11"/>
        <rFont val="Calibri"/>
        <family val="2"/>
      </rPr>
      <t>GCO2,bub,sat</t>
    </r>
    <r>
      <rPr>
        <sz val="11"/>
        <rFont val="Calibri"/>
        <family val="2"/>
      </rPr>
      <t xml:space="preserve"> - [H</t>
    </r>
    <r>
      <rPr>
        <vertAlign val="subscript"/>
        <sz val="11"/>
        <rFont val="Calibri"/>
        <family val="2"/>
      </rPr>
      <t>2</t>
    </r>
    <r>
      <rPr>
        <sz val="11"/>
        <rFont val="Calibri"/>
        <family val="2"/>
      </rPr>
      <t>CO</t>
    </r>
    <r>
      <rPr>
        <vertAlign val="subscript"/>
        <sz val="11"/>
        <rFont val="Calibri"/>
        <family val="2"/>
      </rPr>
      <t>3</t>
    </r>
    <r>
      <rPr>
        <sz val="11"/>
        <rFont val="Calibri"/>
        <family val="2"/>
      </rPr>
      <t>]*MM</t>
    </r>
    <r>
      <rPr>
        <vertAlign val="subscript"/>
        <sz val="11"/>
        <rFont val="Calibri"/>
        <family val="2"/>
      </rPr>
      <t>EQ,GCO2</t>
    </r>
    <r>
      <rPr>
        <sz val="11"/>
        <rFont val="Calibri"/>
        <family val="2"/>
      </rPr>
      <t>*c</t>
    </r>
    <r>
      <rPr>
        <vertAlign val="subscript"/>
        <sz val="11"/>
        <rFont val="Calibri"/>
        <family val="2"/>
      </rPr>
      <t>L,m3</t>
    </r>
    <r>
      <rPr>
        <sz val="11"/>
        <rFont val="Calibri"/>
        <family val="2"/>
      </rPr>
      <t>)</t>
    </r>
  </si>
  <si>
    <r>
      <t>k</t>
    </r>
    <r>
      <rPr>
        <vertAlign val="subscript"/>
        <sz val="11"/>
        <rFont val="Calibri"/>
        <family val="2"/>
        <scheme val="minor"/>
      </rPr>
      <t>transfer,GNH3,bub</t>
    </r>
  </si>
  <si>
    <r>
      <t>Gas transfer rate for NH</t>
    </r>
    <r>
      <rPr>
        <vertAlign val="subscript"/>
        <sz val="11"/>
        <color rgb="FF000000"/>
        <rFont val="Calibri"/>
        <family val="2"/>
        <scheme val="minor"/>
      </rPr>
      <t>3</t>
    </r>
    <r>
      <rPr>
        <sz val="11"/>
        <color rgb="FF000000"/>
        <rFont val="Calibri"/>
        <family val="2"/>
        <charset val="238"/>
        <scheme val="minor"/>
      </rPr>
      <t xml:space="preserve"> - bubbles</t>
    </r>
  </si>
  <si>
    <r>
      <t>k</t>
    </r>
    <r>
      <rPr>
        <vertAlign val="subscript"/>
        <sz val="11"/>
        <rFont val="Calibri"/>
        <family val="2"/>
      </rPr>
      <t>L</t>
    </r>
    <r>
      <rPr>
        <sz val="11"/>
        <rFont val="Calibri"/>
        <family val="2"/>
      </rPr>
      <t>a</t>
    </r>
    <r>
      <rPr>
        <vertAlign val="subscript"/>
        <sz val="11"/>
        <rFont val="Calibri"/>
        <family val="2"/>
      </rPr>
      <t>GNH3,bub</t>
    </r>
    <r>
      <rPr>
        <sz val="11"/>
        <rFont val="Calibri"/>
        <family val="2"/>
      </rPr>
      <t>*(S</t>
    </r>
    <r>
      <rPr>
        <vertAlign val="subscript"/>
        <sz val="11"/>
        <rFont val="Calibri"/>
        <family val="2"/>
      </rPr>
      <t>GNH3,bub,sat</t>
    </r>
    <r>
      <rPr>
        <sz val="11"/>
        <rFont val="Calibri"/>
        <family val="2"/>
      </rPr>
      <t xml:space="preserve"> - [NH</t>
    </r>
    <r>
      <rPr>
        <vertAlign val="subscript"/>
        <sz val="11"/>
        <rFont val="Calibri"/>
        <family val="2"/>
      </rPr>
      <t>3</t>
    </r>
    <r>
      <rPr>
        <sz val="11"/>
        <rFont val="Calibri"/>
        <family val="2"/>
      </rPr>
      <t>]*MM</t>
    </r>
    <r>
      <rPr>
        <vertAlign val="subscript"/>
        <sz val="11"/>
        <rFont val="Calibri"/>
        <family val="2"/>
      </rPr>
      <t>EQ,GNH3</t>
    </r>
    <r>
      <rPr>
        <sz val="11"/>
        <rFont val="Calibri"/>
        <family val="2"/>
      </rPr>
      <t>*c</t>
    </r>
    <r>
      <rPr>
        <vertAlign val="subscript"/>
        <sz val="11"/>
        <rFont val="Calibri"/>
        <family val="2"/>
      </rPr>
      <t>L,m3</t>
    </r>
    <r>
      <rPr>
        <sz val="11"/>
        <rFont val="Calibri"/>
        <family val="2"/>
      </rPr>
      <t>)</t>
    </r>
  </si>
  <si>
    <r>
      <t>k</t>
    </r>
    <r>
      <rPr>
        <vertAlign val="subscript"/>
        <sz val="11"/>
        <rFont val="Calibri"/>
        <family val="2"/>
        <scheme val="minor"/>
      </rPr>
      <t>transfer,GCO2,sur</t>
    </r>
  </si>
  <si>
    <r>
      <t>Gas transfer rate for CO</t>
    </r>
    <r>
      <rPr>
        <vertAlign val="subscript"/>
        <sz val="11"/>
        <color rgb="FF000000"/>
        <rFont val="Calibri"/>
        <family val="2"/>
        <scheme val="minor"/>
      </rPr>
      <t>2</t>
    </r>
    <r>
      <rPr>
        <sz val="11"/>
        <color rgb="FF000000"/>
        <rFont val="Calibri"/>
        <family val="2"/>
        <charset val="238"/>
        <scheme val="minor"/>
      </rPr>
      <t xml:space="preserve"> - surface</t>
    </r>
  </si>
  <si>
    <r>
      <t>k</t>
    </r>
    <r>
      <rPr>
        <vertAlign val="subscript"/>
        <sz val="11"/>
        <rFont val="Calibri"/>
        <family val="2"/>
        <scheme val="minor"/>
      </rPr>
      <t>transfer,GNH3,sur</t>
    </r>
  </si>
  <si>
    <r>
      <t>Gas transfer rate for NH</t>
    </r>
    <r>
      <rPr>
        <vertAlign val="subscript"/>
        <sz val="11"/>
        <color rgb="FF000000"/>
        <rFont val="Calibri"/>
        <family val="2"/>
        <scheme val="minor"/>
      </rPr>
      <t>3</t>
    </r>
    <r>
      <rPr>
        <sz val="11"/>
        <color rgb="FF000000"/>
        <rFont val="Calibri"/>
        <family val="2"/>
        <charset val="238"/>
        <scheme val="minor"/>
      </rPr>
      <t xml:space="preserve"> - surface</t>
    </r>
  </si>
  <si>
    <r>
      <t>m.d</t>
    </r>
    <r>
      <rPr>
        <vertAlign val="superscript"/>
        <sz val="11"/>
        <rFont val="Calibri"/>
        <family val="2"/>
        <scheme val="minor"/>
      </rPr>
      <t>-1</t>
    </r>
  </si>
  <si>
    <r>
      <t>T+T</t>
    </r>
    <r>
      <rPr>
        <vertAlign val="subscript"/>
        <sz val="11"/>
        <rFont val="Calibri"/>
        <family val="2"/>
        <scheme val="minor"/>
      </rPr>
      <t>STP,K</t>
    </r>
  </si>
  <si>
    <r>
      <t>G</t>
    </r>
    <r>
      <rPr>
        <b/>
        <vertAlign val="subscript"/>
        <sz val="11"/>
        <rFont val="Calibri"/>
        <family val="2"/>
        <charset val="238"/>
      </rPr>
      <t>CO2,atm</t>
    </r>
  </si>
  <si>
    <r>
      <t>G</t>
    </r>
    <r>
      <rPr>
        <b/>
        <vertAlign val="subscript"/>
        <sz val="11"/>
        <rFont val="Calibri"/>
        <family val="2"/>
        <charset val="238"/>
      </rPr>
      <t>CH4,atm</t>
    </r>
  </si>
  <si>
    <r>
      <t>G</t>
    </r>
    <r>
      <rPr>
        <b/>
        <vertAlign val="subscript"/>
        <sz val="11"/>
        <rFont val="Calibri"/>
        <family val="2"/>
        <charset val="238"/>
      </rPr>
      <t>H2,atm</t>
    </r>
  </si>
  <si>
    <r>
      <t>G</t>
    </r>
    <r>
      <rPr>
        <b/>
        <vertAlign val="subscript"/>
        <sz val="11"/>
        <rFont val="Calibri"/>
        <family val="2"/>
        <charset val="238"/>
      </rPr>
      <t>O2,atm</t>
    </r>
  </si>
  <si>
    <r>
      <t>G</t>
    </r>
    <r>
      <rPr>
        <b/>
        <vertAlign val="subscript"/>
        <sz val="11"/>
        <rFont val="Calibri"/>
        <family val="2"/>
        <charset val="238"/>
      </rPr>
      <t>NH3,atm</t>
    </r>
  </si>
  <si>
    <r>
      <t>G</t>
    </r>
    <r>
      <rPr>
        <b/>
        <vertAlign val="subscript"/>
        <sz val="11"/>
        <rFont val="Calibri"/>
        <family val="2"/>
        <charset val="238"/>
      </rPr>
      <t>N2,atm</t>
    </r>
  </si>
  <si>
    <r>
      <t>g TIC</t>
    </r>
    <r>
      <rPr>
        <sz val="11"/>
        <color theme="1"/>
        <rFont val="Calibri"/>
        <family val="2"/>
        <charset val="238"/>
        <scheme val="minor"/>
      </rPr>
      <t>.</t>
    </r>
    <r>
      <rPr>
        <sz val="11"/>
        <color theme="1"/>
        <rFont val="Calibri"/>
        <family val="2"/>
        <scheme val="minor"/>
      </rPr>
      <t>m</t>
    </r>
    <r>
      <rPr>
        <vertAlign val="superscript"/>
        <sz val="11"/>
        <color theme="1"/>
        <rFont val="Calibri"/>
        <family val="2"/>
        <scheme val="minor"/>
      </rPr>
      <t>-3</t>
    </r>
  </si>
  <si>
    <r>
      <t>g COD.m</t>
    </r>
    <r>
      <rPr>
        <vertAlign val="superscript"/>
        <sz val="11"/>
        <color theme="1"/>
        <rFont val="Calibri"/>
        <family val="2"/>
        <scheme val="minor"/>
      </rPr>
      <t>-3</t>
    </r>
  </si>
  <si>
    <r>
      <t>g O</t>
    </r>
    <r>
      <rPr>
        <vertAlign val="subscript"/>
        <sz val="11"/>
        <color theme="1"/>
        <rFont val="Calibri"/>
        <family val="2"/>
        <scheme val="minor"/>
      </rPr>
      <t>2</t>
    </r>
    <r>
      <rPr>
        <sz val="11"/>
        <color theme="1"/>
        <rFont val="Calibri"/>
        <family val="2"/>
        <scheme val="minor"/>
      </rPr>
      <t>.m</t>
    </r>
    <r>
      <rPr>
        <vertAlign val="superscript"/>
        <sz val="11"/>
        <color theme="1"/>
        <rFont val="Calibri"/>
        <family val="2"/>
        <scheme val="minor"/>
      </rPr>
      <t>-3</t>
    </r>
  </si>
  <si>
    <r>
      <t>g N.m</t>
    </r>
    <r>
      <rPr>
        <vertAlign val="superscript"/>
        <sz val="11"/>
        <color theme="1"/>
        <rFont val="Calibri"/>
        <family val="2"/>
        <scheme val="minor"/>
      </rPr>
      <t>-3</t>
    </r>
  </si>
  <si>
    <t>Balancing</t>
  </si>
  <si>
    <r>
      <t>G</t>
    </r>
    <r>
      <rPr>
        <b/>
        <vertAlign val="subscript"/>
        <sz val="11"/>
        <rFont val="Calibri"/>
        <family val="2"/>
      </rPr>
      <t>CH4,atm</t>
    </r>
  </si>
  <si>
    <r>
      <t>G</t>
    </r>
    <r>
      <rPr>
        <b/>
        <vertAlign val="subscript"/>
        <sz val="11"/>
        <rFont val="Calibri"/>
        <family val="2"/>
      </rPr>
      <t>H2,atm</t>
    </r>
  </si>
  <si>
    <r>
      <t>G</t>
    </r>
    <r>
      <rPr>
        <b/>
        <vertAlign val="subscript"/>
        <sz val="11"/>
        <rFont val="Calibri"/>
        <family val="2"/>
      </rPr>
      <t>O2,atm</t>
    </r>
  </si>
  <si>
    <r>
      <t>G</t>
    </r>
    <r>
      <rPr>
        <b/>
        <vertAlign val="subscript"/>
        <sz val="11"/>
        <rFont val="Calibri"/>
        <family val="2"/>
      </rPr>
      <t>NH3,atm</t>
    </r>
  </si>
  <si>
    <r>
      <t>G</t>
    </r>
    <r>
      <rPr>
        <b/>
        <vertAlign val="subscript"/>
        <sz val="11"/>
        <rFont val="Calibri"/>
        <family val="2"/>
      </rPr>
      <t>N2,atm</t>
    </r>
  </si>
  <si>
    <t>r92</t>
  </si>
  <si>
    <t>r93</t>
  </si>
  <si>
    <t>r94</t>
  </si>
  <si>
    <t>r95</t>
  </si>
  <si>
    <t>r96</t>
  </si>
  <si>
    <t>r97</t>
  </si>
  <si>
    <t>Carbon dioxide gas transfer - surface</t>
  </si>
  <si>
    <t>Methane gas transfer - surface</t>
  </si>
  <si>
    <t>Hydrogen gas transfer - surface</t>
  </si>
  <si>
    <t>Oxygen gas transfer - surface</t>
  </si>
  <si>
    <t>Ammonia absorption - surface</t>
  </si>
  <si>
    <t>Nitrogen gas transfer - surface</t>
  </si>
  <si>
    <t>Carbon dioxide gas transfer - bubbles</t>
  </si>
  <si>
    <t>Methane gas transfer - bubbles</t>
  </si>
  <si>
    <t>Hydrogen gas transfer - bubbles</t>
  </si>
  <si>
    <t>Oxygen gas transfer - bubbles</t>
  </si>
  <si>
    <t>Ammonia absorption - bubbles</t>
  </si>
  <si>
    <t>Nitrogen gas transfer - bubbles</t>
  </si>
  <si>
    <r>
      <t>k</t>
    </r>
    <r>
      <rPr>
        <vertAlign val="subscript"/>
        <sz val="11"/>
        <rFont val="Calibri"/>
        <family val="2"/>
        <scheme val="minor"/>
      </rPr>
      <t>L</t>
    </r>
    <r>
      <rPr>
        <sz val="11"/>
        <rFont val="Calibri"/>
        <family val="2"/>
        <scheme val="minor"/>
      </rPr>
      <t>a</t>
    </r>
    <r>
      <rPr>
        <vertAlign val="subscript"/>
        <sz val="11"/>
        <rFont val="Calibri"/>
        <family val="2"/>
        <charset val="238"/>
        <scheme val="minor"/>
      </rPr>
      <t>G</t>
    </r>
    <r>
      <rPr>
        <vertAlign val="subscript"/>
        <sz val="11"/>
        <rFont val="Calibri"/>
        <family val="2"/>
        <scheme val="minor"/>
      </rPr>
      <t>CH4,bub</t>
    </r>
    <r>
      <rPr>
        <sz val="11"/>
        <rFont val="Calibri"/>
        <family val="2"/>
        <scheme val="minor"/>
      </rPr>
      <t>*(S</t>
    </r>
    <r>
      <rPr>
        <vertAlign val="subscript"/>
        <sz val="11"/>
        <rFont val="Calibri"/>
        <family val="2"/>
        <charset val="238"/>
        <scheme val="minor"/>
      </rPr>
      <t>G</t>
    </r>
    <r>
      <rPr>
        <vertAlign val="subscript"/>
        <sz val="11"/>
        <rFont val="Calibri"/>
        <family val="2"/>
        <scheme val="minor"/>
      </rPr>
      <t xml:space="preserve">CH4,bub,sat </t>
    </r>
    <r>
      <rPr>
        <sz val="11"/>
        <rFont val="Calibri"/>
        <family val="2"/>
        <scheme val="minor"/>
      </rPr>
      <t>- S</t>
    </r>
    <r>
      <rPr>
        <vertAlign val="subscript"/>
        <sz val="11"/>
        <rFont val="Calibri"/>
        <family val="2"/>
        <scheme val="minor"/>
      </rPr>
      <t>CH4</t>
    </r>
    <r>
      <rPr>
        <sz val="11"/>
        <rFont val="Calibri"/>
        <family val="2"/>
        <scheme val="minor"/>
      </rPr>
      <t>)</t>
    </r>
  </si>
  <si>
    <r>
      <t>k</t>
    </r>
    <r>
      <rPr>
        <vertAlign val="subscript"/>
        <sz val="11"/>
        <rFont val="Calibri"/>
        <family val="2"/>
        <scheme val="minor"/>
      </rPr>
      <t>L</t>
    </r>
    <r>
      <rPr>
        <sz val="11"/>
        <rFont val="Calibri"/>
        <family val="2"/>
        <scheme val="minor"/>
      </rPr>
      <t>a</t>
    </r>
    <r>
      <rPr>
        <vertAlign val="subscript"/>
        <sz val="11"/>
        <rFont val="Calibri"/>
        <family val="2"/>
        <charset val="238"/>
        <scheme val="minor"/>
      </rPr>
      <t>GH2</t>
    </r>
    <r>
      <rPr>
        <vertAlign val="subscript"/>
        <sz val="11"/>
        <rFont val="Calibri"/>
        <family val="2"/>
        <scheme val="minor"/>
      </rPr>
      <t>,bub</t>
    </r>
    <r>
      <rPr>
        <sz val="11"/>
        <rFont val="Calibri"/>
        <family val="2"/>
        <scheme val="minor"/>
      </rPr>
      <t>*(S</t>
    </r>
    <r>
      <rPr>
        <vertAlign val="subscript"/>
        <sz val="11"/>
        <rFont val="Calibri"/>
        <family val="2"/>
        <charset val="238"/>
        <scheme val="minor"/>
      </rPr>
      <t>GH2</t>
    </r>
    <r>
      <rPr>
        <vertAlign val="subscript"/>
        <sz val="11"/>
        <rFont val="Calibri"/>
        <family val="2"/>
        <scheme val="minor"/>
      </rPr>
      <t xml:space="preserve">,bub,sat </t>
    </r>
    <r>
      <rPr>
        <sz val="11"/>
        <rFont val="Calibri"/>
        <family val="2"/>
        <scheme val="minor"/>
      </rPr>
      <t>- S</t>
    </r>
    <r>
      <rPr>
        <vertAlign val="subscript"/>
        <sz val="11"/>
        <rFont val="Calibri"/>
        <family val="2"/>
        <scheme val="minor"/>
      </rPr>
      <t>H2</t>
    </r>
    <r>
      <rPr>
        <sz val="11"/>
        <rFont val="Calibri"/>
        <family val="2"/>
        <scheme val="minor"/>
      </rPr>
      <t>)</t>
    </r>
  </si>
  <si>
    <r>
      <t>k</t>
    </r>
    <r>
      <rPr>
        <vertAlign val="subscript"/>
        <sz val="11"/>
        <rFont val="Calibri"/>
        <family val="2"/>
      </rPr>
      <t>L</t>
    </r>
    <r>
      <rPr>
        <sz val="11"/>
        <rFont val="Calibri"/>
        <family val="2"/>
      </rPr>
      <t>a</t>
    </r>
    <r>
      <rPr>
        <vertAlign val="subscript"/>
        <sz val="11"/>
        <rFont val="Calibri"/>
        <family val="2"/>
      </rPr>
      <t>GO2,bub</t>
    </r>
    <r>
      <rPr>
        <sz val="11"/>
        <rFont val="Calibri"/>
        <family val="2"/>
      </rPr>
      <t>*(S</t>
    </r>
    <r>
      <rPr>
        <vertAlign val="subscript"/>
        <sz val="11"/>
        <rFont val="Calibri"/>
        <family val="2"/>
        <charset val="238"/>
      </rPr>
      <t>G</t>
    </r>
    <r>
      <rPr>
        <vertAlign val="subscript"/>
        <sz val="11"/>
        <rFont val="Calibri"/>
        <family val="2"/>
      </rPr>
      <t xml:space="preserve">O2,bub,sat </t>
    </r>
    <r>
      <rPr>
        <sz val="11"/>
        <rFont val="Calibri"/>
        <family val="2"/>
      </rPr>
      <t>- S</t>
    </r>
    <r>
      <rPr>
        <vertAlign val="subscript"/>
        <sz val="11"/>
        <rFont val="Calibri"/>
        <family val="2"/>
      </rPr>
      <t>O2</t>
    </r>
    <r>
      <rPr>
        <sz val="11"/>
        <rFont val="Calibri"/>
        <family val="2"/>
      </rPr>
      <t>)</t>
    </r>
  </si>
  <si>
    <r>
      <t>k</t>
    </r>
    <r>
      <rPr>
        <vertAlign val="subscript"/>
        <sz val="11"/>
        <rFont val="Calibri"/>
        <family val="2"/>
        <scheme val="minor"/>
      </rPr>
      <t>L</t>
    </r>
    <r>
      <rPr>
        <sz val="11"/>
        <rFont val="Calibri"/>
        <family val="2"/>
        <scheme val="minor"/>
      </rPr>
      <t>a</t>
    </r>
    <r>
      <rPr>
        <vertAlign val="subscript"/>
        <sz val="11"/>
        <rFont val="Calibri"/>
        <family val="2"/>
        <charset val="238"/>
        <scheme val="minor"/>
      </rPr>
      <t>G</t>
    </r>
    <r>
      <rPr>
        <vertAlign val="subscript"/>
        <sz val="11"/>
        <rFont val="Calibri"/>
        <family val="2"/>
        <scheme val="minor"/>
      </rPr>
      <t>N2,bub</t>
    </r>
    <r>
      <rPr>
        <sz val="11"/>
        <rFont val="Calibri"/>
        <family val="2"/>
        <scheme val="minor"/>
      </rPr>
      <t>*(S</t>
    </r>
    <r>
      <rPr>
        <vertAlign val="subscript"/>
        <sz val="11"/>
        <rFont val="Calibri"/>
        <family val="2"/>
        <charset val="238"/>
        <scheme val="minor"/>
      </rPr>
      <t>G</t>
    </r>
    <r>
      <rPr>
        <vertAlign val="subscript"/>
        <sz val="11"/>
        <rFont val="Calibri"/>
        <family val="2"/>
        <scheme val="minor"/>
      </rPr>
      <t xml:space="preserve">N2,bub,sat </t>
    </r>
    <r>
      <rPr>
        <sz val="11"/>
        <rFont val="Calibri"/>
        <family val="2"/>
        <scheme val="minor"/>
      </rPr>
      <t>- S</t>
    </r>
    <r>
      <rPr>
        <vertAlign val="subscript"/>
        <sz val="11"/>
        <rFont val="Calibri"/>
        <family val="2"/>
        <scheme val="minor"/>
      </rPr>
      <t>N2</t>
    </r>
    <r>
      <rPr>
        <sz val="11"/>
        <rFont val="Calibri"/>
        <family val="2"/>
        <scheme val="minor"/>
      </rPr>
      <t>)</t>
    </r>
  </si>
  <si>
    <r>
      <t>k</t>
    </r>
    <r>
      <rPr>
        <vertAlign val="subscript"/>
        <sz val="11"/>
        <rFont val="Calibri"/>
        <family val="2"/>
      </rPr>
      <t>L</t>
    </r>
    <r>
      <rPr>
        <sz val="11"/>
        <rFont val="Calibri"/>
        <family val="2"/>
      </rPr>
      <t>a</t>
    </r>
    <r>
      <rPr>
        <vertAlign val="subscript"/>
        <sz val="11"/>
        <rFont val="Calibri"/>
        <family val="2"/>
      </rPr>
      <t>GCH4,sur</t>
    </r>
    <r>
      <rPr>
        <sz val="11"/>
        <rFont val="Calibri"/>
        <family val="2"/>
      </rPr>
      <t>*(S</t>
    </r>
    <r>
      <rPr>
        <vertAlign val="subscript"/>
        <sz val="11"/>
        <rFont val="Calibri"/>
        <family val="2"/>
      </rPr>
      <t>GCH4,sur,sat</t>
    </r>
    <r>
      <rPr>
        <sz val="11"/>
        <rFont val="Calibri"/>
        <family val="2"/>
      </rPr>
      <t xml:space="preserve"> - S</t>
    </r>
    <r>
      <rPr>
        <vertAlign val="subscript"/>
        <sz val="11"/>
        <rFont val="Calibri"/>
        <family val="2"/>
      </rPr>
      <t>CH4</t>
    </r>
    <r>
      <rPr>
        <sz val="11"/>
        <rFont val="Calibri"/>
        <family val="2"/>
      </rPr>
      <t>)</t>
    </r>
  </si>
  <si>
    <r>
      <t>k</t>
    </r>
    <r>
      <rPr>
        <vertAlign val="subscript"/>
        <sz val="11"/>
        <rFont val="Calibri"/>
        <family val="2"/>
      </rPr>
      <t>L</t>
    </r>
    <r>
      <rPr>
        <sz val="11"/>
        <rFont val="Calibri"/>
        <family val="2"/>
      </rPr>
      <t>a</t>
    </r>
    <r>
      <rPr>
        <vertAlign val="subscript"/>
        <sz val="11"/>
        <rFont val="Calibri"/>
        <family val="2"/>
      </rPr>
      <t>GH2,sur</t>
    </r>
    <r>
      <rPr>
        <sz val="11"/>
        <rFont val="Calibri"/>
        <family val="2"/>
      </rPr>
      <t>*(S</t>
    </r>
    <r>
      <rPr>
        <vertAlign val="subscript"/>
        <sz val="11"/>
        <rFont val="Calibri"/>
        <family val="2"/>
      </rPr>
      <t>GH2,sur,sat</t>
    </r>
    <r>
      <rPr>
        <sz val="11"/>
        <rFont val="Calibri"/>
        <family val="2"/>
      </rPr>
      <t xml:space="preserve"> - S</t>
    </r>
    <r>
      <rPr>
        <vertAlign val="subscript"/>
        <sz val="11"/>
        <rFont val="Calibri"/>
        <family val="2"/>
      </rPr>
      <t>H2</t>
    </r>
    <r>
      <rPr>
        <sz val="11"/>
        <rFont val="Calibri"/>
        <family val="2"/>
      </rPr>
      <t>)</t>
    </r>
  </si>
  <si>
    <r>
      <t>k</t>
    </r>
    <r>
      <rPr>
        <vertAlign val="subscript"/>
        <sz val="11"/>
        <rFont val="Calibri"/>
        <family val="2"/>
      </rPr>
      <t>L</t>
    </r>
    <r>
      <rPr>
        <sz val="11"/>
        <rFont val="Calibri"/>
        <family val="2"/>
      </rPr>
      <t>a</t>
    </r>
    <r>
      <rPr>
        <vertAlign val="subscript"/>
        <sz val="11"/>
        <rFont val="Calibri"/>
        <family val="2"/>
      </rPr>
      <t>GO2,sur</t>
    </r>
    <r>
      <rPr>
        <sz val="11"/>
        <rFont val="Calibri"/>
        <family val="2"/>
      </rPr>
      <t>*(S</t>
    </r>
    <r>
      <rPr>
        <vertAlign val="subscript"/>
        <sz val="11"/>
        <rFont val="Calibri"/>
        <family val="2"/>
      </rPr>
      <t>GO2,sur,sat</t>
    </r>
    <r>
      <rPr>
        <sz val="11"/>
        <rFont val="Calibri"/>
        <family val="2"/>
      </rPr>
      <t xml:space="preserve"> - S</t>
    </r>
    <r>
      <rPr>
        <vertAlign val="subscript"/>
        <sz val="11"/>
        <rFont val="Calibri"/>
        <family val="2"/>
      </rPr>
      <t>O2</t>
    </r>
    <r>
      <rPr>
        <sz val="11"/>
        <rFont val="Calibri"/>
        <family val="2"/>
      </rPr>
      <t>)</t>
    </r>
  </si>
  <si>
    <r>
      <t>k</t>
    </r>
    <r>
      <rPr>
        <vertAlign val="subscript"/>
        <sz val="11"/>
        <rFont val="Calibri"/>
        <family val="2"/>
      </rPr>
      <t>L</t>
    </r>
    <r>
      <rPr>
        <sz val="11"/>
        <rFont val="Calibri"/>
        <family val="2"/>
      </rPr>
      <t>a</t>
    </r>
    <r>
      <rPr>
        <vertAlign val="subscript"/>
        <sz val="11"/>
        <rFont val="Calibri"/>
        <family val="2"/>
      </rPr>
      <t>GN2,sur</t>
    </r>
    <r>
      <rPr>
        <sz val="11"/>
        <rFont val="Calibri"/>
        <family val="2"/>
      </rPr>
      <t>*(S</t>
    </r>
    <r>
      <rPr>
        <vertAlign val="subscript"/>
        <sz val="11"/>
        <rFont val="Calibri"/>
        <family val="2"/>
      </rPr>
      <t>GN2,sur,sat</t>
    </r>
    <r>
      <rPr>
        <sz val="11"/>
        <rFont val="Calibri"/>
        <family val="2"/>
      </rPr>
      <t xml:space="preserve"> - S</t>
    </r>
    <r>
      <rPr>
        <vertAlign val="subscript"/>
        <sz val="11"/>
        <rFont val="Calibri"/>
        <family val="2"/>
      </rPr>
      <t>N2</t>
    </r>
    <r>
      <rPr>
        <sz val="11"/>
        <rFont val="Calibri"/>
        <family val="2"/>
      </rPr>
      <t>)</t>
    </r>
  </si>
  <si>
    <r>
      <t>-Δ</t>
    </r>
    <r>
      <rPr>
        <vertAlign val="subscript"/>
        <sz val="11"/>
        <rFont val="Calibri"/>
        <family val="2"/>
      </rPr>
      <t>atm</t>
    </r>
  </si>
  <si>
    <r>
      <t>1/</t>
    </r>
    <r>
      <rPr>
        <sz val="11"/>
        <rFont val="Calibri"/>
        <family val="2"/>
      </rPr>
      <t>Δ</t>
    </r>
    <r>
      <rPr>
        <vertAlign val="subscript"/>
        <sz val="12.65"/>
        <rFont val="Calibri"/>
        <family val="2"/>
      </rPr>
      <t>atm</t>
    </r>
  </si>
  <si>
    <r>
      <t>-1/</t>
    </r>
    <r>
      <rPr>
        <sz val="11"/>
        <rFont val="Calibri"/>
        <family val="2"/>
      </rPr>
      <t>Δ</t>
    </r>
    <r>
      <rPr>
        <vertAlign val="subscript"/>
        <sz val="12.65"/>
        <rFont val="Calibri"/>
        <family val="2"/>
      </rPr>
      <t>atm</t>
    </r>
  </si>
  <si>
    <r>
      <t>-EEQ</t>
    </r>
    <r>
      <rPr>
        <vertAlign val="subscript"/>
        <sz val="11"/>
        <rFont val="Calibri"/>
        <family val="2"/>
        <scheme val="minor"/>
      </rPr>
      <t>N2</t>
    </r>
    <r>
      <rPr>
        <sz val="11"/>
        <rFont val="Calibri"/>
        <family val="2"/>
        <scheme val="minor"/>
      </rPr>
      <t>/Δ</t>
    </r>
    <r>
      <rPr>
        <vertAlign val="subscript"/>
        <sz val="11"/>
        <rFont val="Calibri"/>
        <family val="2"/>
        <scheme val="minor"/>
      </rPr>
      <t>atm</t>
    </r>
  </si>
  <si>
    <r>
      <t>i</t>
    </r>
    <r>
      <rPr>
        <vertAlign val="subscript"/>
        <sz val="11"/>
        <rFont val="Calibri"/>
        <family val="2"/>
        <scheme val="minor"/>
      </rPr>
      <t>CIT,CH4</t>
    </r>
    <r>
      <rPr>
        <sz val="11"/>
        <rFont val="Calibri"/>
        <family val="2"/>
        <scheme val="minor"/>
      </rPr>
      <t>/</t>
    </r>
    <r>
      <rPr>
        <sz val="11"/>
        <rFont val="Calibri"/>
        <family val="2"/>
      </rPr>
      <t>Δ</t>
    </r>
    <r>
      <rPr>
        <vertAlign val="subscript"/>
        <sz val="11"/>
        <rFont val="Calibri"/>
        <family val="2"/>
      </rPr>
      <t>atm</t>
    </r>
  </si>
  <si>
    <t>1</t>
  </si>
  <si>
    <r>
      <t>-EEQ</t>
    </r>
    <r>
      <rPr>
        <vertAlign val="subscript"/>
        <sz val="11"/>
        <rFont val="Calibri"/>
        <family val="2"/>
      </rPr>
      <t>N2</t>
    </r>
  </si>
  <si>
    <r>
      <t>f</t>
    </r>
    <r>
      <rPr>
        <vertAlign val="subscript"/>
        <sz val="11"/>
        <rFont val="Calibri"/>
        <family val="2"/>
        <scheme val="minor"/>
      </rPr>
      <t>kL,GN2</t>
    </r>
  </si>
  <si>
    <r>
      <t>f</t>
    </r>
    <r>
      <rPr>
        <vertAlign val="subscript"/>
        <sz val="11"/>
        <rFont val="Calibri"/>
        <family val="2"/>
        <scheme val="minor"/>
      </rPr>
      <t>kL,GCO2</t>
    </r>
  </si>
  <si>
    <r>
      <t>f</t>
    </r>
    <r>
      <rPr>
        <vertAlign val="subscript"/>
        <sz val="11"/>
        <rFont val="Calibri"/>
        <family val="2"/>
        <scheme val="minor"/>
      </rPr>
      <t>kL,GCH4</t>
    </r>
  </si>
  <si>
    <r>
      <t>f</t>
    </r>
    <r>
      <rPr>
        <vertAlign val="subscript"/>
        <sz val="11"/>
        <rFont val="Calibri"/>
        <family val="2"/>
        <scheme val="minor"/>
      </rPr>
      <t>kL,GH2</t>
    </r>
  </si>
  <si>
    <r>
      <t>f</t>
    </r>
    <r>
      <rPr>
        <vertAlign val="subscript"/>
        <sz val="11"/>
        <rFont val="Calibri"/>
        <family val="2"/>
        <scheme val="minor"/>
      </rPr>
      <t>kL,GNH3</t>
    </r>
  </si>
  <si>
    <t>Used to compensate for the high solubility of NH3 gas</t>
  </si>
  <si>
    <r>
      <t>g N</t>
    </r>
    <r>
      <rPr>
        <sz val="11"/>
        <color theme="1"/>
        <rFont val="Calibri"/>
        <family val="2"/>
        <scheme val="minor"/>
      </rPr>
      <t>.m</t>
    </r>
    <r>
      <rPr>
        <vertAlign val="superscript"/>
        <sz val="11"/>
        <color theme="1"/>
        <rFont val="Calibri"/>
        <family val="2"/>
        <scheme val="minor"/>
      </rPr>
      <t>-3</t>
    </r>
  </si>
  <si>
    <r>
      <t>G</t>
    </r>
    <r>
      <rPr>
        <b/>
        <vertAlign val="subscript"/>
        <sz val="11"/>
        <rFont val="Calibri"/>
        <family val="2"/>
      </rPr>
      <t>CO2,atm</t>
    </r>
  </si>
  <si>
    <r>
      <t>Slope</t>
    </r>
    <r>
      <rPr>
        <vertAlign val="subscript"/>
        <sz val="11"/>
        <rFont val="Calibri"/>
        <family val="2"/>
        <scheme val="minor"/>
      </rPr>
      <t>IS,corr</t>
    </r>
  </si>
  <si>
    <t>Slope of correction</t>
  </si>
  <si>
    <r>
      <t>y</t>
    </r>
    <r>
      <rPr>
        <vertAlign val="subscript"/>
        <sz val="11"/>
        <rFont val="Calibri"/>
        <family val="2"/>
        <scheme val="minor"/>
      </rPr>
      <t>fmono</t>
    </r>
  </si>
  <si>
    <r>
      <t>Intercept of f</t>
    </r>
    <r>
      <rPr>
        <vertAlign val="subscript"/>
        <sz val="11"/>
        <color rgb="FF000000"/>
        <rFont val="Calibri"/>
        <family val="2"/>
        <scheme val="minor"/>
      </rPr>
      <t>mono</t>
    </r>
    <r>
      <rPr>
        <sz val="11"/>
        <color rgb="FF000000"/>
        <rFont val="Calibri"/>
        <family val="2"/>
        <charset val="238"/>
        <scheme val="minor"/>
      </rPr>
      <t xml:space="preserve"> correction</t>
    </r>
  </si>
  <si>
    <r>
      <t>f</t>
    </r>
    <r>
      <rPr>
        <vertAlign val="subscript"/>
        <sz val="11"/>
        <rFont val="Calibri"/>
        <family val="2"/>
        <scheme val="minor"/>
      </rPr>
      <t>mono,ISlim</t>
    </r>
    <r>
      <rPr>
        <sz val="11"/>
        <rFont val="Calibri"/>
        <family val="2"/>
        <scheme val="minor"/>
      </rPr>
      <t xml:space="preserve"> - IS</t>
    </r>
    <r>
      <rPr>
        <vertAlign val="subscript"/>
        <sz val="11"/>
        <rFont val="Calibri"/>
        <family val="2"/>
        <scheme val="minor"/>
      </rPr>
      <t>lim</t>
    </r>
    <r>
      <rPr>
        <sz val="11"/>
        <rFont val="Calibri"/>
        <family val="2"/>
        <scheme val="minor"/>
      </rPr>
      <t>*Slope</t>
    </r>
    <r>
      <rPr>
        <vertAlign val="subscript"/>
        <sz val="11"/>
        <rFont val="Calibri"/>
        <family val="2"/>
        <scheme val="minor"/>
      </rPr>
      <t>IS,corr</t>
    </r>
  </si>
  <si>
    <r>
      <t>y</t>
    </r>
    <r>
      <rPr>
        <vertAlign val="subscript"/>
        <sz val="11"/>
        <rFont val="Calibri"/>
        <family val="2"/>
        <scheme val="minor"/>
      </rPr>
      <t>fdi</t>
    </r>
  </si>
  <si>
    <r>
      <t>Intercept of f</t>
    </r>
    <r>
      <rPr>
        <vertAlign val="subscript"/>
        <sz val="11"/>
        <color rgb="FF000000"/>
        <rFont val="Calibri"/>
        <family val="2"/>
        <scheme val="minor"/>
      </rPr>
      <t>di</t>
    </r>
    <r>
      <rPr>
        <sz val="11"/>
        <color rgb="FF000000"/>
        <rFont val="Calibri"/>
        <family val="2"/>
        <charset val="238"/>
        <scheme val="minor"/>
      </rPr>
      <t xml:space="preserve"> correction</t>
    </r>
  </si>
  <si>
    <r>
      <t>f</t>
    </r>
    <r>
      <rPr>
        <vertAlign val="subscript"/>
        <sz val="11"/>
        <rFont val="Calibri"/>
        <family val="2"/>
        <scheme val="minor"/>
      </rPr>
      <t>di,ISlim</t>
    </r>
    <r>
      <rPr>
        <sz val="11"/>
        <rFont val="Calibri"/>
        <family val="2"/>
        <scheme val="minor"/>
      </rPr>
      <t xml:space="preserve"> - IS</t>
    </r>
    <r>
      <rPr>
        <vertAlign val="subscript"/>
        <sz val="11"/>
        <rFont val="Calibri"/>
        <family val="2"/>
        <scheme val="minor"/>
      </rPr>
      <t>lim</t>
    </r>
    <r>
      <rPr>
        <sz val="11"/>
        <rFont val="Calibri"/>
        <family val="2"/>
        <scheme val="minor"/>
      </rPr>
      <t>*Slope</t>
    </r>
    <r>
      <rPr>
        <vertAlign val="subscript"/>
        <sz val="11"/>
        <rFont val="Calibri"/>
        <family val="2"/>
        <scheme val="minor"/>
      </rPr>
      <t>IS,corr</t>
    </r>
  </si>
  <si>
    <r>
      <t>y</t>
    </r>
    <r>
      <rPr>
        <vertAlign val="subscript"/>
        <sz val="11"/>
        <rFont val="Calibri"/>
        <family val="2"/>
        <scheme val="minor"/>
      </rPr>
      <t>ftri</t>
    </r>
  </si>
  <si>
    <r>
      <t>Intercept of f</t>
    </r>
    <r>
      <rPr>
        <vertAlign val="subscript"/>
        <sz val="11"/>
        <color rgb="FF000000"/>
        <rFont val="Calibri"/>
        <family val="2"/>
        <scheme val="minor"/>
      </rPr>
      <t>tri</t>
    </r>
    <r>
      <rPr>
        <sz val="11"/>
        <color rgb="FF000000"/>
        <rFont val="Calibri"/>
        <family val="2"/>
        <charset val="238"/>
        <scheme val="minor"/>
      </rPr>
      <t xml:space="preserve"> correction</t>
    </r>
  </si>
  <si>
    <r>
      <t>f</t>
    </r>
    <r>
      <rPr>
        <vertAlign val="subscript"/>
        <sz val="11"/>
        <rFont val="Calibri"/>
        <family val="2"/>
        <scheme val="minor"/>
      </rPr>
      <t>tri,ISlim</t>
    </r>
    <r>
      <rPr>
        <sz val="11"/>
        <rFont val="Calibri"/>
        <family val="2"/>
        <scheme val="minor"/>
      </rPr>
      <t xml:space="preserve"> - IS</t>
    </r>
    <r>
      <rPr>
        <vertAlign val="subscript"/>
        <sz val="11"/>
        <rFont val="Calibri"/>
        <family val="2"/>
        <scheme val="minor"/>
      </rPr>
      <t>lim</t>
    </r>
    <r>
      <rPr>
        <sz val="11"/>
        <rFont val="Calibri"/>
        <family val="2"/>
        <scheme val="minor"/>
      </rPr>
      <t>*Slope</t>
    </r>
    <r>
      <rPr>
        <vertAlign val="subscript"/>
        <sz val="11"/>
        <rFont val="Calibri"/>
        <family val="2"/>
        <scheme val="minor"/>
      </rPr>
      <t>IS,corr</t>
    </r>
  </si>
  <si>
    <r>
      <t>f</t>
    </r>
    <r>
      <rPr>
        <vertAlign val="subscript"/>
        <sz val="11"/>
        <rFont val="Calibri"/>
        <family val="2"/>
        <scheme val="minor"/>
      </rPr>
      <t>mono,ISlim</t>
    </r>
  </si>
  <si>
    <r>
      <t>Monovalent activity coefficient at IS</t>
    </r>
    <r>
      <rPr>
        <vertAlign val="subscript"/>
        <sz val="11"/>
        <rFont val="Calibri"/>
        <family val="2"/>
        <scheme val="minor"/>
      </rPr>
      <t>lim</t>
    </r>
  </si>
  <si>
    <r>
      <t>f</t>
    </r>
    <r>
      <rPr>
        <vertAlign val="subscript"/>
        <sz val="11"/>
        <rFont val="Calibri"/>
        <family val="2"/>
        <scheme val="minor"/>
      </rPr>
      <t>di,ISlim</t>
    </r>
  </si>
  <si>
    <r>
      <t>Divalent activity coefficient at IS</t>
    </r>
    <r>
      <rPr>
        <vertAlign val="subscript"/>
        <sz val="11"/>
        <rFont val="Calibri"/>
        <family val="2"/>
        <scheme val="minor"/>
      </rPr>
      <t>lim</t>
    </r>
  </si>
  <si>
    <r>
      <t>f</t>
    </r>
    <r>
      <rPr>
        <vertAlign val="subscript"/>
        <sz val="11"/>
        <rFont val="Calibri"/>
        <family val="2"/>
        <scheme val="minor"/>
      </rPr>
      <t>tri,ISlim</t>
    </r>
  </si>
  <si>
    <r>
      <t>Trivalent activity coefficient at IS</t>
    </r>
    <r>
      <rPr>
        <vertAlign val="subscript"/>
        <sz val="11"/>
        <rFont val="Calibri"/>
        <family val="2"/>
        <scheme val="minor"/>
      </rPr>
      <t>lim</t>
    </r>
  </si>
  <si>
    <r>
      <t>If(IS &lt; IS</t>
    </r>
    <r>
      <rPr>
        <vertAlign val="subscript"/>
        <sz val="11"/>
        <rFont val="Calibri"/>
        <family val="2"/>
        <scheme val="minor"/>
      </rPr>
      <t>lim</t>
    </r>
    <r>
      <rPr>
        <sz val="11"/>
        <rFont val="Calibri"/>
        <family val="2"/>
        <scheme val="minor"/>
      </rPr>
      <t>; 10^(-A</t>
    </r>
    <r>
      <rPr>
        <vertAlign val="subscript"/>
        <sz val="11"/>
        <rFont val="Calibri"/>
        <family val="2"/>
        <scheme val="minor"/>
      </rPr>
      <t>Davies</t>
    </r>
    <r>
      <rPr>
        <sz val="11"/>
        <rFont val="Calibri"/>
        <family val="2"/>
        <scheme val="minor"/>
      </rPr>
      <t>*1^(2)*(IS^(0.5)/(1+1.5*IS^(0.5))-0.3*IS)); Slope</t>
    </r>
    <r>
      <rPr>
        <vertAlign val="subscript"/>
        <sz val="11"/>
        <rFont val="Calibri"/>
        <family val="2"/>
        <scheme val="minor"/>
      </rPr>
      <t>IS,corr</t>
    </r>
    <r>
      <rPr>
        <sz val="11"/>
        <rFont val="Calibri"/>
        <family val="2"/>
        <scheme val="minor"/>
      </rPr>
      <t xml:space="preserve"> * IS + y</t>
    </r>
    <r>
      <rPr>
        <vertAlign val="subscript"/>
        <sz val="11"/>
        <rFont val="Calibri"/>
        <family val="2"/>
        <scheme val="minor"/>
      </rPr>
      <t>fmono</t>
    </r>
    <r>
      <rPr>
        <sz val="11"/>
        <rFont val="Calibri"/>
        <family val="2"/>
        <scheme val="minor"/>
      </rPr>
      <t>)</t>
    </r>
  </si>
  <si>
    <r>
      <t>If(IS &lt; IS</t>
    </r>
    <r>
      <rPr>
        <vertAlign val="subscript"/>
        <sz val="11"/>
        <rFont val="Calibri"/>
        <family val="2"/>
        <scheme val="minor"/>
      </rPr>
      <t>lim</t>
    </r>
    <r>
      <rPr>
        <sz val="11"/>
        <rFont val="Calibri"/>
        <family val="2"/>
        <scheme val="minor"/>
      </rPr>
      <t>; 10^(-A</t>
    </r>
    <r>
      <rPr>
        <vertAlign val="subscript"/>
        <sz val="11"/>
        <rFont val="Calibri"/>
        <family val="2"/>
        <scheme val="minor"/>
      </rPr>
      <t>Davies</t>
    </r>
    <r>
      <rPr>
        <sz val="11"/>
        <rFont val="Calibri"/>
        <family val="2"/>
        <scheme val="minor"/>
      </rPr>
      <t>*2^(2)*(IS^(0.5)/(1+1.5*IS^(0.5))-0.3*IS)); Slope</t>
    </r>
    <r>
      <rPr>
        <vertAlign val="subscript"/>
        <sz val="11"/>
        <rFont val="Calibri"/>
        <family val="2"/>
        <scheme val="minor"/>
      </rPr>
      <t>IS,corr</t>
    </r>
    <r>
      <rPr>
        <sz val="11"/>
        <rFont val="Calibri"/>
        <family val="2"/>
        <scheme val="minor"/>
      </rPr>
      <t xml:space="preserve"> * IS + y</t>
    </r>
    <r>
      <rPr>
        <vertAlign val="subscript"/>
        <sz val="11"/>
        <rFont val="Calibri"/>
        <family val="2"/>
        <scheme val="minor"/>
      </rPr>
      <t>fdi</t>
    </r>
    <r>
      <rPr>
        <sz val="11"/>
        <rFont val="Calibri"/>
        <family val="2"/>
        <scheme val="minor"/>
      </rPr>
      <t>)</t>
    </r>
  </si>
  <si>
    <r>
      <t>If(IS &lt; IS</t>
    </r>
    <r>
      <rPr>
        <vertAlign val="subscript"/>
        <sz val="11"/>
        <rFont val="Calibri"/>
        <family val="2"/>
        <scheme val="minor"/>
      </rPr>
      <t>lim</t>
    </r>
    <r>
      <rPr>
        <sz val="11"/>
        <rFont val="Calibri"/>
        <family val="2"/>
        <scheme val="minor"/>
      </rPr>
      <t>; 10^(-A</t>
    </r>
    <r>
      <rPr>
        <vertAlign val="subscript"/>
        <sz val="11"/>
        <rFont val="Calibri"/>
        <family val="2"/>
        <scheme val="minor"/>
      </rPr>
      <t>Davies</t>
    </r>
    <r>
      <rPr>
        <sz val="11"/>
        <rFont val="Calibri"/>
        <family val="2"/>
        <scheme val="minor"/>
      </rPr>
      <t>*3^(2)*(IS^(0.5)/(1+1.5*IS^(0.5))-0.3*IS)); Slope</t>
    </r>
    <r>
      <rPr>
        <vertAlign val="subscript"/>
        <sz val="11"/>
        <rFont val="Calibri"/>
        <family val="2"/>
        <scheme val="minor"/>
      </rPr>
      <t>IS,corr</t>
    </r>
    <r>
      <rPr>
        <sz val="11"/>
        <rFont val="Calibri"/>
        <family val="2"/>
        <scheme val="minor"/>
      </rPr>
      <t xml:space="preserve"> * IS + y</t>
    </r>
    <r>
      <rPr>
        <vertAlign val="subscript"/>
        <sz val="11"/>
        <rFont val="Calibri"/>
        <family val="2"/>
        <scheme val="minor"/>
      </rPr>
      <t>ftri</t>
    </r>
    <r>
      <rPr>
        <sz val="11"/>
        <rFont val="Calibri"/>
        <family val="2"/>
        <scheme val="minor"/>
      </rPr>
      <t>)</t>
    </r>
  </si>
  <si>
    <r>
      <t>MJ.m</t>
    </r>
    <r>
      <rPr>
        <vertAlign val="superscript"/>
        <sz val="11"/>
        <rFont val="Calibri"/>
        <family val="2"/>
        <scheme val="minor"/>
      </rPr>
      <t>-3</t>
    </r>
    <r>
      <rPr>
        <sz val="11"/>
        <rFont val="Calibri"/>
        <family val="2"/>
        <scheme val="minor"/>
      </rPr>
      <t>.K</t>
    </r>
    <r>
      <rPr>
        <vertAlign val="superscript"/>
        <sz val="11"/>
        <rFont val="Calibri"/>
        <family val="2"/>
        <scheme val="minor"/>
      </rPr>
      <t>-1</t>
    </r>
  </si>
  <si>
    <r>
      <t>Ki</t>
    </r>
    <r>
      <rPr>
        <vertAlign val="subscript"/>
        <sz val="11"/>
        <rFont val="Calibri"/>
        <family val="2"/>
        <scheme val="minor"/>
      </rPr>
      <t>O2,AHO,AS</t>
    </r>
  </si>
  <si>
    <r>
      <t>Half-inhibition of O</t>
    </r>
    <r>
      <rPr>
        <vertAlign val="subscript"/>
        <sz val="11"/>
        <color rgb="FF000000"/>
        <rFont val="Calibri"/>
        <family val="2"/>
        <scheme val="minor"/>
      </rPr>
      <t>2</t>
    </r>
    <r>
      <rPr>
        <sz val="11"/>
        <color rgb="FF000000"/>
        <rFont val="Calibri"/>
        <family val="2"/>
        <charset val="238"/>
        <scheme val="minor"/>
      </rPr>
      <t xml:space="preserve"> for AHOs under anaerobic conditions (AS)</t>
    </r>
  </si>
  <si>
    <r>
      <t>Ki</t>
    </r>
    <r>
      <rPr>
        <vertAlign val="subscript"/>
        <sz val="11"/>
        <rFont val="Calibri"/>
        <family val="2"/>
        <scheme val="minor"/>
      </rPr>
      <t>O2,EPS</t>
    </r>
  </si>
  <si>
    <r>
      <t>Half-inhibition of O</t>
    </r>
    <r>
      <rPr>
        <vertAlign val="subscript"/>
        <sz val="11"/>
        <color rgb="FF000000"/>
        <rFont val="Calibri"/>
        <family val="2"/>
        <scheme val="minor"/>
      </rPr>
      <t>2</t>
    </r>
    <r>
      <rPr>
        <sz val="11"/>
        <color rgb="FF000000"/>
        <rFont val="Calibri"/>
        <family val="2"/>
        <charset val="238"/>
        <scheme val="minor"/>
      </rPr>
      <t xml:space="preserve"> for EPS</t>
    </r>
  </si>
  <si>
    <r>
      <t>AHO</t>
    </r>
    <r>
      <rPr>
        <sz val="11"/>
        <color indexed="8"/>
        <rFont val="Calibri"/>
        <family val="2"/>
      </rPr>
      <t xml:space="preserve"> storage of S</t>
    </r>
    <r>
      <rPr>
        <vertAlign val="subscript"/>
        <sz val="11"/>
        <color indexed="8"/>
        <rFont val="Calibri"/>
        <family val="2"/>
      </rPr>
      <t>B,mono</t>
    </r>
  </si>
  <si>
    <r>
      <t>AHO</t>
    </r>
    <r>
      <rPr>
        <sz val="11"/>
        <color indexed="8"/>
        <rFont val="Calibri"/>
        <family val="2"/>
      </rPr>
      <t xml:space="preserve"> storage of S</t>
    </r>
    <r>
      <rPr>
        <vertAlign val="subscript"/>
        <sz val="11"/>
        <color indexed="8"/>
        <rFont val="Calibri"/>
        <family val="2"/>
      </rPr>
      <t>VFA</t>
    </r>
  </si>
  <si>
    <r>
      <t>q</t>
    </r>
    <r>
      <rPr>
        <vertAlign val="subscript"/>
        <sz val="11"/>
        <color indexed="8"/>
        <rFont val="Calibri"/>
        <family val="2"/>
      </rPr>
      <t>AHO,STO</t>
    </r>
    <r>
      <rPr>
        <sz val="11"/>
        <color indexed="8"/>
        <rFont val="Calibri"/>
        <family val="2"/>
      </rPr>
      <t>*X</t>
    </r>
    <r>
      <rPr>
        <vertAlign val="subscript"/>
        <sz val="11"/>
        <color indexed="8"/>
        <rFont val="Calibri"/>
        <family val="2"/>
      </rPr>
      <t>AHO</t>
    </r>
    <r>
      <rPr>
        <sz val="11"/>
        <color indexed="8"/>
        <rFont val="Calibri"/>
        <family val="2"/>
      </rPr>
      <t>*S</t>
    </r>
    <r>
      <rPr>
        <vertAlign val="subscript"/>
        <sz val="11"/>
        <color indexed="8"/>
        <rFont val="Calibri"/>
        <family val="2"/>
      </rPr>
      <t>B,mono</t>
    </r>
    <r>
      <rPr>
        <sz val="11"/>
        <color indexed="8"/>
        <rFont val="Calibri"/>
        <family val="2"/>
      </rPr>
      <t>/(S</t>
    </r>
    <r>
      <rPr>
        <vertAlign val="subscript"/>
        <sz val="11"/>
        <color indexed="8"/>
        <rFont val="Calibri"/>
        <family val="2"/>
      </rPr>
      <t>VFA</t>
    </r>
    <r>
      <rPr>
        <sz val="11"/>
        <color indexed="8"/>
        <rFont val="Calibri"/>
        <family val="2"/>
      </rPr>
      <t>+S</t>
    </r>
    <r>
      <rPr>
        <vertAlign val="subscript"/>
        <sz val="11"/>
        <color indexed="8"/>
        <rFont val="Calibri"/>
        <family val="2"/>
      </rPr>
      <t>B,mono</t>
    </r>
    <r>
      <rPr>
        <sz val="11"/>
        <color indexed="8"/>
        <rFont val="Calibri"/>
        <family val="2"/>
      </rPr>
      <t>)*Msat</t>
    </r>
    <r>
      <rPr>
        <vertAlign val="subscript"/>
        <sz val="11"/>
        <color indexed="8"/>
        <rFont val="Calibri"/>
        <family val="2"/>
      </rPr>
      <t>SB,KSB,mono</t>
    </r>
    <r>
      <rPr>
        <sz val="11"/>
        <color indexed="8"/>
        <rFont val="Calibri"/>
        <family val="2"/>
      </rPr>
      <t>*Loginh</t>
    </r>
    <r>
      <rPr>
        <vertAlign val="subscript"/>
        <sz val="11"/>
        <color indexed="8"/>
        <rFont val="Calibri"/>
        <family val="2"/>
      </rPr>
      <t>XSTO,XAHO,max</t>
    </r>
    <r>
      <rPr>
        <sz val="11"/>
        <color indexed="8"/>
        <rFont val="Calibri"/>
        <family val="2"/>
      </rPr>
      <t>*(Msat</t>
    </r>
    <r>
      <rPr>
        <vertAlign val="subscript"/>
        <sz val="11"/>
        <color indexed="8"/>
        <rFont val="Calibri"/>
        <family val="2"/>
      </rPr>
      <t>SO2,KO2,AHO</t>
    </r>
    <r>
      <rPr>
        <sz val="11"/>
        <color indexed="8"/>
        <rFont val="Calibri"/>
        <family val="2"/>
      </rPr>
      <t>+η</t>
    </r>
    <r>
      <rPr>
        <vertAlign val="subscript"/>
        <sz val="11"/>
        <color indexed="8"/>
        <rFont val="Calibri"/>
        <family val="2"/>
      </rPr>
      <t>STO,AHO,anox</t>
    </r>
    <r>
      <rPr>
        <sz val="11"/>
        <color indexed="8"/>
        <rFont val="Calibri"/>
        <family val="2"/>
      </rPr>
      <t>*Msat</t>
    </r>
    <r>
      <rPr>
        <vertAlign val="subscript"/>
        <sz val="11"/>
        <color indexed="8"/>
        <rFont val="Calibri"/>
        <family val="2"/>
      </rPr>
      <t>SNO2,KNO2,AHO</t>
    </r>
    <r>
      <rPr>
        <sz val="11"/>
        <color indexed="8"/>
        <rFont val="Calibri"/>
        <family val="2"/>
      </rPr>
      <t>*Minh</t>
    </r>
    <r>
      <rPr>
        <vertAlign val="subscript"/>
        <sz val="11"/>
        <color indexed="8"/>
        <rFont val="Calibri"/>
        <family val="2"/>
      </rPr>
      <t>SO2,KO2,AHO</t>
    </r>
    <r>
      <rPr>
        <sz val="11"/>
        <color indexed="8"/>
        <rFont val="Calibri"/>
        <family val="2"/>
      </rPr>
      <t>+η</t>
    </r>
    <r>
      <rPr>
        <vertAlign val="subscript"/>
        <sz val="11"/>
        <color indexed="8"/>
        <rFont val="Calibri"/>
        <family val="2"/>
      </rPr>
      <t>STO,AHO,anox</t>
    </r>
    <r>
      <rPr>
        <sz val="11"/>
        <color indexed="8"/>
        <rFont val="Calibri"/>
        <family val="2"/>
      </rPr>
      <t>*Msat</t>
    </r>
    <r>
      <rPr>
        <vertAlign val="subscript"/>
        <sz val="11"/>
        <color indexed="8"/>
        <rFont val="Calibri"/>
        <family val="2"/>
      </rPr>
      <t>SNO3,KNO3,AHO</t>
    </r>
    <r>
      <rPr>
        <sz val="11"/>
        <color indexed="8"/>
        <rFont val="Calibri"/>
        <family val="2"/>
      </rPr>
      <t>*Minh</t>
    </r>
    <r>
      <rPr>
        <vertAlign val="subscript"/>
        <sz val="11"/>
        <color indexed="8"/>
        <rFont val="Calibri"/>
        <family val="2"/>
      </rPr>
      <t>SNO2,KNO2,AHO</t>
    </r>
    <r>
      <rPr>
        <sz val="11"/>
        <color indexed="8"/>
        <rFont val="Calibri"/>
        <family val="2"/>
      </rPr>
      <t>*Minh</t>
    </r>
    <r>
      <rPr>
        <vertAlign val="subscript"/>
        <sz val="11"/>
        <color indexed="8"/>
        <rFont val="Calibri"/>
        <family val="2"/>
      </rPr>
      <t>SO2,KO2,AHO</t>
    </r>
    <r>
      <rPr>
        <sz val="11"/>
        <color indexed="8"/>
        <rFont val="Calibri"/>
        <family val="2"/>
      </rPr>
      <t>+η</t>
    </r>
    <r>
      <rPr>
        <vertAlign val="subscript"/>
        <sz val="11"/>
        <color indexed="8"/>
        <rFont val="Calibri"/>
        <family val="2"/>
      </rPr>
      <t>STO,AHO,ana</t>
    </r>
    <r>
      <rPr>
        <sz val="11"/>
        <color indexed="8"/>
        <rFont val="Calibri"/>
        <family val="2"/>
      </rPr>
      <t>*Minh</t>
    </r>
    <r>
      <rPr>
        <vertAlign val="subscript"/>
        <sz val="11"/>
        <color indexed="8"/>
        <rFont val="Calibri"/>
        <family val="2"/>
      </rPr>
      <t>SNO2,KNO2,AHO</t>
    </r>
    <r>
      <rPr>
        <sz val="11"/>
        <color indexed="8"/>
        <rFont val="Calibri"/>
        <family val="2"/>
      </rPr>
      <t>*Minh</t>
    </r>
    <r>
      <rPr>
        <vertAlign val="subscript"/>
        <sz val="11"/>
        <color indexed="8"/>
        <rFont val="Calibri"/>
        <family val="2"/>
      </rPr>
      <t>SNO3,KNO3,AHO</t>
    </r>
    <r>
      <rPr>
        <sz val="11"/>
        <color indexed="8"/>
        <rFont val="Calibri"/>
        <family val="2"/>
      </rPr>
      <t>*Minh</t>
    </r>
    <r>
      <rPr>
        <vertAlign val="subscript"/>
        <sz val="11"/>
        <color indexed="8"/>
        <rFont val="Calibri"/>
        <family val="2"/>
      </rPr>
      <t>SO2,KiO2,AHO</t>
    </r>
    <r>
      <rPr>
        <sz val="11"/>
        <color indexed="8"/>
        <rFont val="Calibri"/>
        <family val="2"/>
      </rPr>
      <t>)</t>
    </r>
  </si>
  <si>
    <r>
      <t>q</t>
    </r>
    <r>
      <rPr>
        <vertAlign val="subscript"/>
        <sz val="11"/>
        <color indexed="8"/>
        <rFont val="Calibri"/>
        <family val="2"/>
      </rPr>
      <t>AHO,STO</t>
    </r>
    <r>
      <rPr>
        <sz val="11"/>
        <color indexed="8"/>
        <rFont val="Calibri"/>
        <family val="2"/>
      </rPr>
      <t>*X</t>
    </r>
    <r>
      <rPr>
        <vertAlign val="subscript"/>
        <sz val="11"/>
        <color indexed="8"/>
        <rFont val="Calibri"/>
        <family val="2"/>
      </rPr>
      <t>AHO</t>
    </r>
    <r>
      <rPr>
        <sz val="11"/>
        <color indexed="8"/>
        <rFont val="Calibri"/>
        <family val="2"/>
      </rPr>
      <t>*S</t>
    </r>
    <r>
      <rPr>
        <vertAlign val="subscript"/>
        <sz val="11"/>
        <color indexed="8"/>
        <rFont val="Calibri"/>
        <family val="2"/>
      </rPr>
      <t>VFA</t>
    </r>
    <r>
      <rPr>
        <sz val="11"/>
        <color indexed="8"/>
        <rFont val="Calibri"/>
        <family val="2"/>
      </rPr>
      <t>/(S</t>
    </r>
    <r>
      <rPr>
        <vertAlign val="subscript"/>
        <sz val="11"/>
        <color indexed="8"/>
        <rFont val="Calibri"/>
        <family val="2"/>
      </rPr>
      <t>VFA</t>
    </r>
    <r>
      <rPr>
        <sz val="11"/>
        <color indexed="8"/>
        <rFont val="Calibri"/>
        <family val="2"/>
      </rPr>
      <t>+S</t>
    </r>
    <r>
      <rPr>
        <vertAlign val="subscript"/>
        <sz val="11"/>
        <color indexed="8"/>
        <rFont val="Calibri"/>
        <family val="2"/>
      </rPr>
      <t>B,mono</t>
    </r>
    <r>
      <rPr>
        <sz val="11"/>
        <color indexed="8"/>
        <rFont val="Calibri"/>
        <family val="2"/>
      </rPr>
      <t>)*Msat</t>
    </r>
    <r>
      <rPr>
        <vertAlign val="subscript"/>
        <sz val="11"/>
        <color indexed="8"/>
        <rFont val="Calibri"/>
        <family val="2"/>
      </rPr>
      <t>SVFA,KVFA</t>
    </r>
    <r>
      <rPr>
        <sz val="11"/>
        <color indexed="8"/>
        <rFont val="Calibri"/>
        <family val="2"/>
      </rPr>
      <t>*Loginh</t>
    </r>
    <r>
      <rPr>
        <vertAlign val="subscript"/>
        <sz val="11"/>
        <color indexed="8"/>
        <rFont val="Calibri"/>
        <family val="2"/>
      </rPr>
      <t>XSTO,XAHO,max</t>
    </r>
    <r>
      <rPr>
        <sz val="11"/>
        <color indexed="8"/>
        <rFont val="Calibri"/>
        <family val="2"/>
      </rPr>
      <t>*(Msat</t>
    </r>
    <r>
      <rPr>
        <vertAlign val="subscript"/>
        <sz val="11"/>
        <color indexed="8"/>
        <rFont val="Calibri"/>
        <family val="2"/>
      </rPr>
      <t>SO2,KO2,AHO</t>
    </r>
    <r>
      <rPr>
        <sz val="11"/>
        <color indexed="8"/>
        <rFont val="Calibri"/>
        <family val="2"/>
      </rPr>
      <t>+η</t>
    </r>
    <r>
      <rPr>
        <vertAlign val="subscript"/>
        <sz val="11"/>
        <color indexed="8"/>
        <rFont val="Calibri"/>
        <family val="2"/>
      </rPr>
      <t>STO,AHO,anox</t>
    </r>
    <r>
      <rPr>
        <sz val="11"/>
        <color indexed="8"/>
        <rFont val="Calibri"/>
        <family val="2"/>
      </rPr>
      <t>*Msat</t>
    </r>
    <r>
      <rPr>
        <vertAlign val="subscript"/>
        <sz val="11"/>
        <color indexed="8"/>
        <rFont val="Calibri"/>
        <family val="2"/>
      </rPr>
      <t>SNO2,KNO2,AHO</t>
    </r>
    <r>
      <rPr>
        <sz val="11"/>
        <color indexed="8"/>
        <rFont val="Calibri"/>
        <family val="2"/>
      </rPr>
      <t>*Minh</t>
    </r>
    <r>
      <rPr>
        <vertAlign val="subscript"/>
        <sz val="11"/>
        <color indexed="8"/>
        <rFont val="Calibri"/>
        <family val="2"/>
      </rPr>
      <t>SO2,KO2,AHO</t>
    </r>
    <r>
      <rPr>
        <sz val="11"/>
        <color indexed="8"/>
        <rFont val="Calibri"/>
        <family val="2"/>
      </rPr>
      <t>+η</t>
    </r>
    <r>
      <rPr>
        <vertAlign val="subscript"/>
        <sz val="11"/>
        <color indexed="8"/>
        <rFont val="Calibri"/>
        <family val="2"/>
      </rPr>
      <t>STO,AHO,anox</t>
    </r>
    <r>
      <rPr>
        <sz val="11"/>
        <color indexed="8"/>
        <rFont val="Calibri"/>
        <family val="2"/>
      </rPr>
      <t>*Msat</t>
    </r>
    <r>
      <rPr>
        <vertAlign val="subscript"/>
        <sz val="11"/>
        <color indexed="8"/>
        <rFont val="Calibri"/>
        <family val="2"/>
      </rPr>
      <t>SNO3,KNO3,AHO</t>
    </r>
    <r>
      <rPr>
        <sz val="11"/>
        <color indexed="8"/>
        <rFont val="Calibri"/>
        <family val="2"/>
      </rPr>
      <t>*Minh</t>
    </r>
    <r>
      <rPr>
        <vertAlign val="subscript"/>
        <sz val="11"/>
        <color indexed="8"/>
        <rFont val="Calibri"/>
        <family val="2"/>
      </rPr>
      <t>SNO2,KNO2,AHO</t>
    </r>
    <r>
      <rPr>
        <sz val="11"/>
        <color indexed="8"/>
        <rFont val="Calibri"/>
        <family val="2"/>
      </rPr>
      <t>*Minh</t>
    </r>
    <r>
      <rPr>
        <vertAlign val="subscript"/>
        <sz val="11"/>
        <color indexed="8"/>
        <rFont val="Calibri"/>
        <family val="2"/>
      </rPr>
      <t>SO2,KO2,AHO</t>
    </r>
    <r>
      <rPr>
        <sz val="11"/>
        <color indexed="8"/>
        <rFont val="Calibri"/>
        <family val="2"/>
      </rPr>
      <t>+η</t>
    </r>
    <r>
      <rPr>
        <vertAlign val="subscript"/>
        <sz val="11"/>
        <color indexed="8"/>
        <rFont val="Calibri"/>
        <family val="2"/>
      </rPr>
      <t>STO,AHO,ana</t>
    </r>
    <r>
      <rPr>
        <sz val="11"/>
        <color indexed="8"/>
        <rFont val="Calibri"/>
        <family val="2"/>
      </rPr>
      <t>*Minh</t>
    </r>
    <r>
      <rPr>
        <vertAlign val="subscript"/>
        <sz val="11"/>
        <color indexed="8"/>
        <rFont val="Calibri"/>
        <family val="2"/>
      </rPr>
      <t>SNO2,KNO2,AHO</t>
    </r>
    <r>
      <rPr>
        <sz val="11"/>
        <color indexed="8"/>
        <rFont val="Calibri"/>
        <family val="2"/>
      </rPr>
      <t>*Minh</t>
    </r>
    <r>
      <rPr>
        <vertAlign val="subscript"/>
        <sz val="11"/>
        <color indexed="8"/>
        <rFont val="Calibri"/>
        <family val="2"/>
      </rPr>
      <t>SNO3,KNO3,AHO</t>
    </r>
    <r>
      <rPr>
        <sz val="11"/>
        <color indexed="8"/>
        <rFont val="Calibri"/>
        <family val="2"/>
      </rPr>
      <t>*Minh</t>
    </r>
    <r>
      <rPr>
        <vertAlign val="subscript"/>
        <sz val="11"/>
        <color indexed="8"/>
        <rFont val="Calibri"/>
        <family val="2"/>
      </rPr>
      <t>SO2,KiO2,AHO</t>
    </r>
    <r>
      <rPr>
        <sz val="11"/>
        <color indexed="8"/>
        <rFont val="Calibri"/>
        <family val="2"/>
      </rPr>
      <t>)</t>
    </r>
  </si>
  <si>
    <r>
      <t>Ki</t>
    </r>
    <r>
      <rPr>
        <vertAlign val="subscript"/>
        <sz val="11"/>
        <rFont val="Calibri"/>
        <family val="2"/>
        <scheme val="minor"/>
      </rPr>
      <t>O2,AHO</t>
    </r>
  </si>
  <si>
    <r>
      <t>Half-inhibition of O</t>
    </r>
    <r>
      <rPr>
        <vertAlign val="subscript"/>
        <sz val="11"/>
        <color rgb="FF000000"/>
        <rFont val="Calibri"/>
        <family val="2"/>
        <scheme val="minor"/>
      </rPr>
      <t>2</t>
    </r>
    <r>
      <rPr>
        <sz val="11"/>
        <color rgb="FF000000"/>
        <rFont val="Calibri"/>
        <family val="2"/>
        <charset val="238"/>
        <scheme val="minor"/>
      </rPr>
      <t xml:space="preserve"> for AHOs under anaerobic conditions</t>
    </r>
  </si>
  <si>
    <r>
      <t>Minh</t>
    </r>
    <r>
      <rPr>
        <vertAlign val="subscript"/>
        <sz val="11"/>
        <rFont val="Calibri"/>
        <family val="2"/>
        <scheme val="minor"/>
      </rPr>
      <t>SO2,KiO2,EPS</t>
    </r>
  </si>
  <si>
    <r>
      <t>Inhibition term for O</t>
    </r>
    <r>
      <rPr>
        <vertAlign val="subscript"/>
        <sz val="11"/>
        <color rgb="FF000000"/>
        <rFont val="Calibri"/>
        <family val="2"/>
        <scheme val="minor"/>
      </rPr>
      <t>2</t>
    </r>
    <r>
      <rPr>
        <sz val="11"/>
        <color rgb="FF000000"/>
        <rFont val="Calibri"/>
        <family val="2"/>
        <charset val="238"/>
        <scheme val="minor"/>
      </rPr>
      <t xml:space="preserve"> under anaerobic conditions (EPS)</t>
    </r>
  </si>
  <si>
    <r>
      <t>Minh(S</t>
    </r>
    <r>
      <rPr>
        <vertAlign val="subscript"/>
        <sz val="11"/>
        <rFont val="Calibri"/>
        <family val="2"/>
        <scheme val="minor"/>
      </rPr>
      <t>O2</t>
    </r>
    <r>
      <rPr>
        <sz val="11"/>
        <rFont val="Calibri"/>
        <family val="2"/>
        <scheme val="minor"/>
      </rPr>
      <t>;Ki</t>
    </r>
    <r>
      <rPr>
        <vertAlign val="subscript"/>
        <sz val="11"/>
        <rFont val="Calibri"/>
        <family val="2"/>
        <scheme val="minor"/>
      </rPr>
      <t>O2,EPS</t>
    </r>
    <r>
      <rPr>
        <sz val="11"/>
        <rFont val="Calibri"/>
        <family val="2"/>
        <scheme val="minor"/>
      </rPr>
      <t>)</t>
    </r>
  </si>
  <si>
    <r>
      <t>Minh</t>
    </r>
    <r>
      <rPr>
        <vertAlign val="subscript"/>
        <sz val="11"/>
        <rFont val="Calibri"/>
        <family val="2"/>
        <scheme val="minor"/>
      </rPr>
      <t>SO2,KiO2,AHO</t>
    </r>
  </si>
  <si>
    <r>
      <t>Inhibition term for O</t>
    </r>
    <r>
      <rPr>
        <vertAlign val="subscript"/>
        <sz val="11"/>
        <color rgb="FF000000"/>
        <rFont val="Calibri"/>
        <family val="2"/>
        <scheme val="minor"/>
      </rPr>
      <t>2</t>
    </r>
    <r>
      <rPr>
        <sz val="11"/>
        <color rgb="FF000000"/>
        <rFont val="Calibri"/>
        <family val="2"/>
        <charset val="238"/>
        <scheme val="minor"/>
      </rPr>
      <t xml:space="preserve"> under anaerobic conditions (AHO)</t>
    </r>
  </si>
  <si>
    <r>
      <t>Minh(S</t>
    </r>
    <r>
      <rPr>
        <vertAlign val="subscript"/>
        <sz val="11"/>
        <rFont val="Calibri"/>
        <family val="2"/>
        <scheme val="minor"/>
      </rPr>
      <t>O2</t>
    </r>
    <r>
      <rPr>
        <sz val="11"/>
        <rFont val="Calibri"/>
        <family val="2"/>
        <scheme val="minor"/>
      </rPr>
      <t>;Ki</t>
    </r>
    <r>
      <rPr>
        <vertAlign val="subscript"/>
        <sz val="11"/>
        <rFont val="Calibri"/>
        <family val="2"/>
        <scheme val="minor"/>
      </rPr>
      <t>O2,AHO</t>
    </r>
    <r>
      <rPr>
        <sz val="11"/>
        <rFont val="Calibri"/>
        <family val="2"/>
        <scheme val="minor"/>
      </rPr>
      <t>)</t>
    </r>
  </si>
  <si>
    <r>
      <t>(Msat</t>
    </r>
    <r>
      <rPr>
        <vertAlign val="subscript"/>
        <sz val="11"/>
        <rFont val="Calibri"/>
        <family val="2"/>
        <scheme val="minor"/>
      </rPr>
      <t>SO2,KO2,EPS</t>
    </r>
    <r>
      <rPr>
        <sz val="11"/>
        <rFont val="Calibri"/>
        <family val="2"/>
        <scheme val="minor"/>
      </rPr>
      <t>+η</t>
    </r>
    <r>
      <rPr>
        <vertAlign val="subscript"/>
        <sz val="11"/>
        <rFont val="Calibri"/>
        <family val="2"/>
        <scheme val="minor"/>
      </rPr>
      <t>EPS,anox</t>
    </r>
    <r>
      <rPr>
        <sz val="11"/>
        <rFont val="Calibri"/>
        <family val="2"/>
        <scheme val="minor"/>
      </rPr>
      <t>*Msat</t>
    </r>
    <r>
      <rPr>
        <vertAlign val="subscript"/>
        <sz val="11"/>
        <rFont val="Calibri"/>
        <family val="2"/>
        <scheme val="minor"/>
      </rPr>
      <t>SNO2,KNO2,EPS</t>
    </r>
    <r>
      <rPr>
        <sz val="11"/>
        <rFont val="Calibri"/>
        <family val="2"/>
        <scheme val="minor"/>
      </rPr>
      <t>*Minh</t>
    </r>
    <r>
      <rPr>
        <vertAlign val="subscript"/>
        <sz val="11"/>
        <rFont val="Calibri"/>
        <family val="2"/>
        <scheme val="minor"/>
      </rPr>
      <t>SO2,KO2,EPS</t>
    </r>
    <r>
      <rPr>
        <sz val="11"/>
        <rFont val="Calibri"/>
        <family val="2"/>
        <scheme val="minor"/>
      </rPr>
      <t>+η</t>
    </r>
    <r>
      <rPr>
        <vertAlign val="subscript"/>
        <sz val="11"/>
        <rFont val="Calibri"/>
        <family val="2"/>
        <scheme val="minor"/>
      </rPr>
      <t>EPS,anox</t>
    </r>
    <r>
      <rPr>
        <sz val="11"/>
        <rFont val="Calibri"/>
        <family val="2"/>
        <scheme val="minor"/>
      </rPr>
      <t>*Msat</t>
    </r>
    <r>
      <rPr>
        <vertAlign val="subscript"/>
        <sz val="11"/>
        <rFont val="Calibri"/>
        <family val="2"/>
        <scheme val="minor"/>
      </rPr>
      <t>SNO3,KNO3,EPS</t>
    </r>
    <r>
      <rPr>
        <sz val="11"/>
        <rFont val="Calibri"/>
        <family val="2"/>
        <scheme val="minor"/>
      </rPr>
      <t>*Minh</t>
    </r>
    <r>
      <rPr>
        <vertAlign val="subscript"/>
        <sz val="11"/>
        <rFont val="Calibri"/>
        <family val="2"/>
        <scheme val="minor"/>
      </rPr>
      <t>SNO2,KNO2,EPS</t>
    </r>
    <r>
      <rPr>
        <sz val="11"/>
        <rFont val="Calibri"/>
        <family val="2"/>
        <scheme val="minor"/>
      </rPr>
      <t>*Minh</t>
    </r>
    <r>
      <rPr>
        <vertAlign val="subscript"/>
        <sz val="11"/>
        <rFont val="Calibri"/>
        <family val="2"/>
        <scheme val="minor"/>
      </rPr>
      <t>SO2,KO2,EPS</t>
    </r>
    <r>
      <rPr>
        <sz val="11"/>
        <rFont val="Calibri"/>
        <family val="2"/>
        <scheme val="minor"/>
      </rPr>
      <t>+η</t>
    </r>
    <r>
      <rPr>
        <vertAlign val="subscript"/>
        <sz val="11"/>
        <rFont val="Calibri"/>
        <family val="2"/>
        <scheme val="minor"/>
      </rPr>
      <t>EPS,ana</t>
    </r>
    <r>
      <rPr>
        <sz val="11"/>
        <rFont val="Calibri"/>
        <family val="2"/>
        <scheme val="minor"/>
      </rPr>
      <t>*Minh</t>
    </r>
    <r>
      <rPr>
        <vertAlign val="subscript"/>
        <sz val="11"/>
        <rFont val="Calibri"/>
        <family val="2"/>
        <scheme val="minor"/>
      </rPr>
      <t>SNO3,KNO3,EPS</t>
    </r>
    <r>
      <rPr>
        <sz val="11"/>
        <rFont val="Calibri"/>
        <family val="2"/>
        <scheme val="minor"/>
      </rPr>
      <t>*Minh</t>
    </r>
    <r>
      <rPr>
        <vertAlign val="subscript"/>
        <sz val="11"/>
        <rFont val="Calibri"/>
        <family val="2"/>
        <scheme val="minor"/>
      </rPr>
      <t>SNO2,KNO2,EPS</t>
    </r>
    <r>
      <rPr>
        <sz val="11"/>
        <rFont val="Calibri"/>
        <family val="2"/>
        <scheme val="minor"/>
      </rPr>
      <t>*Minh</t>
    </r>
    <r>
      <rPr>
        <vertAlign val="subscript"/>
        <sz val="11"/>
        <rFont val="Calibri"/>
        <family val="2"/>
        <scheme val="minor"/>
      </rPr>
      <t>SO2,KiO2,EPS</t>
    </r>
    <r>
      <rPr>
        <sz val="11"/>
        <rFont val="Calibri"/>
        <family val="2"/>
        <scheme val="minor"/>
      </rPr>
      <t>)*i</t>
    </r>
    <r>
      <rPr>
        <vertAlign val="subscript"/>
        <sz val="11"/>
        <rFont val="Calibri"/>
        <family val="2"/>
        <scheme val="minor"/>
      </rPr>
      <t>EPS,XBIO</t>
    </r>
    <r>
      <rPr>
        <sz val="11"/>
        <rFont val="Calibri"/>
        <family val="2"/>
        <scheme val="minor"/>
      </rPr>
      <t>*X</t>
    </r>
    <r>
      <rPr>
        <vertAlign val="subscript"/>
        <sz val="11"/>
        <rFont val="Calibri"/>
        <family val="2"/>
        <scheme val="minor"/>
      </rPr>
      <t>BIO</t>
    </r>
    <r>
      <rPr>
        <sz val="11"/>
        <rFont val="Calibri"/>
        <family val="2"/>
        <scheme val="minor"/>
      </rPr>
      <t>/X</t>
    </r>
    <r>
      <rPr>
        <vertAlign val="subscript"/>
        <sz val="11"/>
        <rFont val="Calibri"/>
        <family val="2"/>
        <scheme val="minor"/>
      </rPr>
      <t>VSS</t>
    </r>
    <r>
      <rPr>
        <sz val="11"/>
        <rFont val="Calibri"/>
        <family val="2"/>
        <scheme val="minor"/>
      </rPr>
      <t>+i</t>
    </r>
    <r>
      <rPr>
        <vertAlign val="subscript"/>
        <sz val="11"/>
        <rFont val="Calibri"/>
        <family val="2"/>
        <scheme val="minor"/>
      </rPr>
      <t>EPS,XE</t>
    </r>
    <r>
      <rPr>
        <sz val="11"/>
        <rFont val="Calibri"/>
        <family val="2"/>
        <scheme val="minor"/>
      </rPr>
      <t>*X</t>
    </r>
    <r>
      <rPr>
        <vertAlign val="subscript"/>
        <sz val="11"/>
        <rFont val="Calibri"/>
        <family val="2"/>
        <scheme val="minor"/>
      </rPr>
      <t>E</t>
    </r>
    <r>
      <rPr>
        <sz val="11"/>
        <rFont val="Calibri"/>
        <family val="2"/>
        <scheme val="minor"/>
      </rPr>
      <t>/X</t>
    </r>
    <r>
      <rPr>
        <vertAlign val="subscript"/>
        <sz val="11"/>
        <rFont val="Calibri"/>
        <family val="2"/>
        <scheme val="minor"/>
      </rPr>
      <t>VSS</t>
    </r>
  </si>
  <si>
    <t>Flocculation of colloidal biodegradable substrate with polymers</t>
  </si>
  <si>
    <t>Flocculation of colloidal unbiodegradable organics with polymers</t>
  </si>
  <si>
    <t>r98</t>
  </si>
  <si>
    <t>r99</t>
  </si>
  <si>
    <t>only if polymers are added, in three compartments clarifier and primary</t>
  </si>
  <si>
    <r>
      <t>rate</t>
    </r>
    <r>
      <rPr>
        <vertAlign val="subscript"/>
        <sz val="11"/>
        <rFont val="Calibri"/>
        <family val="2"/>
      </rPr>
      <t>FLOC,CB,polymer</t>
    </r>
  </si>
  <si>
    <r>
      <t>rate</t>
    </r>
    <r>
      <rPr>
        <vertAlign val="subscript"/>
        <sz val="11"/>
        <rFont val="Calibri"/>
        <family val="2"/>
      </rPr>
      <t>FLOC,CU,polymer</t>
    </r>
  </si>
  <si>
    <t>only if polymers are added, calculated in three compartments clarifier and primary</t>
  </si>
  <si>
    <t>Two-step whole-plant model</t>
  </si>
  <si>
    <r>
      <t>MJ.m</t>
    </r>
    <r>
      <rPr>
        <vertAlign val="superscript"/>
        <sz val="11"/>
        <rFont val="Calibri"/>
        <family val="2"/>
      </rPr>
      <t>-3</t>
    </r>
  </si>
  <si>
    <t>Rate of flocculation of colloidal biodegradable substrate with polymers</t>
  </si>
  <si>
    <t>Rate of flocculation of colloidal unbiodegradable substrate with polymers</t>
  </si>
  <si>
    <r>
      <t>f(C</t>
    </r>
    <r>
      <rPr>
        <vertAlign val="subscript"/>
        <sz val="11"/>
        <rFont val="Calibri"/>
        <family val="2"/>
      </rPr>
      <t>B</t>
    </r>
    <r>
      <rPr>
        <sz val="11"/>
        <rFont val="Calibri"/>
        <family val="2"/>
      </rPr>
      <t>)</t>
    </r>
  </si>
  <si>
    <r>
      <t>f(C</t>
    </r>
    <r>
      <rPr>
        <vertAlign val="subscript"/>
        <sz val="11"/>
        <rFont val="Calibri"/>
        <family val="2"/>
      </rPr>
      <t>U</t>
    </r>
    <r>
      <rPr>
        <sz val="11"/>
        <rFont val="Calibri"/>
        <family val="2"/>
      </rPr>
      <t>)</t>
    </r>
  </si>
  <si>
    <t>Flocculation depends on modeled EPS</t>
  </si>
  <si>
    <t>Polymer</t>
  </si>
  <si>
    <r>
      <t>q</t>
    </r>
    <r>
      <rPr>
        <vertAlign val="subscript"/>
        <sz val="11"/>
        <rFont val="Calibri"/>
        <family val="2"/>
        <scheme val="minor"/>
      </rPr>
      <t>HFOH,DESORP</t>
    </r>
  </si>
  <si>
    <r>
      <t>Rate of X</t>
    </r>
    <r>
      <rPr>
        <vertAlign val="subscript"/>
        <sz val="11"/>
        <color rgb="FF000000"/>
        <rFont val="Calibri"/>
        <family val="2"/>
        <scheme val="minor"/>
      </rPr>
      <t>HFO,H,P</t>
    </r>
    <r>
      <rPr>
        <sz val="11"/>
        <color rgb="FF000000"/>
        <rFont val="Calibri"/>
        <family val="2"/>
        <charset val="238"/>
        <scheme val="minor"/>
      </rPr>
      <t xml:space="preserve"> desorption</t>
    </r>
  </si>
  <si>
    <r>
      <t>q</t>
    </r>
    <r>
      <rPr>
        <vertAlign val="subscript"/>
        <sz val="11"/>
        <rFont val="Calibri"/>
        <family val="2"/>
        <scheme val="minor"/>
      </rPr>
      <t>HFOL,DESORP</t>
    </r>
  </si>
  <si>
    <r>
      <t>Rate of X</t>
    </r>
    <r>
      <rPr>
        <vertAlign val="subscript"/>
        <sz val="11"/>
        <color rgb="FF000000"/>
        <rFont val="Calibri"/>
        <family val="2"/>
        <scheme val="minor"/>
      </rPr>
      <t>HFO,L,P</t>
    </r>
    <r>
      <rPr>
        <sz val="11"/>
        <color rgb="FF000000"/>
        <rFont val="Calibri"/>
        <family val="2"/>
        <charset val="238"/>
        <scheme val="minor"/>
      </rPr>
      <t xml:space="preserve"> desorption</t>
    </r>
  </si>
  <si>
    <r>
      <t>q</t>
    </r>
    <r>
      <rPr>
        <vertAlign val="subscript"/>
        <sz val="11"/>
        <rFont val="Calibri"/>
        <family val="2"/>
        <scheme val="minor"/>
      </rPr>
      <t>HFO,DISS</t>
    </r>
  </si>
  <si>
    <r>
      <t>Rate of X</t>
    </r>
    <r>
      <rPr>
        <vertAlign val="subscript"/>
        <sz val="11"/>
        <color rgb="FF000000"/>
        <rFont val="Calibri"/>
        <family val="2"/>
        <scheme val="minor"/>
      </rPr>
      <t>HFO,H,P,old</t>
    </r>
    <r>
      <rPr>
        <sz val="11"/>
        <color rgb="FF000000"/>
        <rFont val="Calibri"/>
        <family val="2"/>
        <charset val="238"/>
        <scheme val="minor"/>
      </rPr>
      <t xml:space="preserve"> and X</t>
    </r>
    <r>
      <rPr>
        <vertAlign val="subscript"/>
        <sz val="11"/>
        <color rgb="FF000000"/>
        <rFont val="Calibri"/>
        <family val="2"/>
        <scheme val="minor"/>
      </rPr>
      <t>HFO,L,P,old</t>
    </r>
    <r>
      <rPr>
        <sz val="11"/>
        <color rgb="FF000000"/>
        <rFont val="Calibri"/>
        <family val="2"/>
        <charset val="238"/>
        <scheme val="minor"/>
      </rPr>
      <t xml:space="preserve"> redissolution</t>
    </r>
  </si>
  <si>
    <r>
      <t>Half-inhibition of PO</t>
    </r>
    <r>
      <rPr>
        <vertAlign val="subscript"/>
        <sz val="11"/>
        <color rgb="FF000000"/>
        <rFont val="Calibri"/>
        <family val="2"/>
        <scheme val="minor"/>
      </rPr>
      <t>4</t>
    </r>
    <r>
      <rPr>
        <sz val="11"/>
        <color rgb="FF000000"/>
        <rFont val="Calibri"/>
        <family val="2"/>
        <charset val="238"/>
        <scheme val="minor"/>
      </rPr>
      <t xml:space="preserve"> in HFO desorption</t>
    </r>
  </si>
  <si>
    <t>r100</t>
  </si>
  <si>
    <r>
      <t>Desorption of P from X</t>
    </r>
    <r>
      <rPr>
        <vertAlign val="subscript"/>
        <sz val="11"/>
        <color rgb="FF000000"/>
        <rFont val="Calibri"/>
        <family val="2"/>
        <scheme val="minor"/>
      </rPr>
      <t>HFO,H,P</t>
    </r>
  </si>
  <si>
    <r>
      <t>Desorption of P from X</t>
    </r>
    <r>
      <rPr>
        <vertAlign val="subscript"/>
        <sz val="11"/>
        <color rgb="FF000000"/>
        <rFont val="Calibri"/>
        <family val="2"/>
        <scheme val="minor"/>
      </rPr>
      <t>HFO,L,P</t>
    </r>
  </si>
  <si>
    <r>
      <t>Dissolution of P from X</t>
    </r>
    <r>
      <rPr>
        <vertAlign val="subscript"/>
        <sz val="11"/>
        <color rgb="FF000000"/>
        <rFont val="Calibri"/>
        <family val="2"/>
        <scheme val="minor"/>
      </rPr>
      <t>HFO,H,P,old</t>
    </r>
    <r>
      <rPr>
        <sz val="11"/>
        <color rgb="FF000000"/>
        <rFont val="Calibri"/>
        <family val="2"/>
        <charset val="238"/>
        <scheme val="minor"/>
      </rPr>
      <t xml:space="preserve"> and X</t>
    </r>
    <r>
      <rPr>
        <vertAlign val="subscript"/>
        <sz val="11"/>
        <color rgb="FF000000"/>
        <rFont val="Calibri"/>
        <family val="2"/>
        <scheme val="minor"/>
      </rPr>
      <t>HFO,L,P,old</t>
    </r>
  </si>
  <si>
    <r>
      <t>-X</t>
    </r>
    <r>
      <rPr>
        <vertAlign val="subscript"/>
        <sz val="11"/>
        <rFont val="Calibri"/>
        <family val="2"/>
      </rPr>
      <t>HFO,H,P,old</t>
    </r>
    <r>
      <rPr>
        <sz val="11"/>
        <rFont val="Calibri"/>
        <family val="2"/>
      </rPr>
      <t>/(X</t>
    </r>
    <r>
      <rPr>
        <vertAlign val="subscript"/>
        <sz val="11"/>
        <rFont val="Calibri"/>
        <family val="2"/>
      </rPr>
      <t>HFO,H,P,old</t>
    </r>
    <r>
      <rPr>
        <sz val="11"/>
        <rFont val="Calibri"/>
        <family val="2"/>
      </rPr>
      <t>+X</t>
    </r>
    <r>
      <rPr>
        <vertAlign val="subscript"/>
        <sz val="11"/>
        <rFont val="Calibri"/>
        <family val="2"/>
      </rPr>
      <t>HFO,L,P,old</t>
    </r>
    <r>
      <rPr>
        <sz val="11"/>
        <rFont val="Calibri"/>
        <family val="2"/>
      </rPr>
      <t>)</t>
    </r>
  </si>
  <si>
    <r>
      <t>-X</t>
    </r>
    <r>
      <rPr>
        <vertAlign val="subscript"/>
        <sz val="11"/>
        <rFont val="Calibri"/>
        <family val="2"/>
      </rPr>
      <t>HFO,L,P,old</t>
    </r>
    <r>
      <rPr>
        <sz val="11"/>
        <rFont val="Calibri"/>
        <family val="2"/>
      </rPr>
      <t>/(X</t>
    </r>
    <r>
      <rPr>
        <vertAlign val="subscript"/>
        <sz val="11"/>
        <rFont val="Calibri"/>
        <family val="2"/>
      </rPr>
      <t>HFO,H,P,old</t>
    </r>
    <r>
      <rPr>
        <sz val="11"/>
        <rFont val="Calibri"/>
        <family val="2"/>
      </rPr>
      <t>+X</t>
    </r>
    <r>
      <rPr>
        <vertAlign val="subscript"/>
        <sz val="11"/>
        <rFont val="Calibri"/>
        <family val="2"/>
      </rPr>
      <t>HFO,L,P,old</t>
    </r>
    <r>
      <rPr>
        <sz val="11"/>
        <rFont val="Calibri"/>
        <family val="2"/>
      </rPr>
      <t>)</t>
    </r>
  </si>
  <si>
    <r>
      <t>Inhibition term for PO</t>
    </r>
    <r>
      <rPr>
        <vertAlign val="subscript"/>
        <sz val="11"/>
        <color rgb="FF000000"/>
        <rFont val="Calibri"/>
        <family val="2"/>
        <scheme val="minor"/>
      </rPr>
      <t>4</t>
    </r>
    <r>
      <rPr>
        <sz val="11"/>
        <color rgb="FF000000"/>
        <rFont val="Calibri"/>
        <family val="2"/>
        <charset val="238"/>
        <scheme val="minor"/>
      </rPr>
      <t xml:space="preserve"> in desorption of HFO</t>
    </r>
  </si>
  <si>
    <r>
      <t>q</t>
    </r>
    <r>
      <rPr>
        <vertAlign val="subscript"/>
        <sz val="11"/>
        <rFont val="Calibri"/>
        <family val="2"/>
      </rPr>
      <t>HFOH,AGING</t>
    </r>
    <r>
      <rPr>
        <sz val="11"/>
        <rFont val="Calibri"/>
        <family val="2"/>
      </rPr>
      <t>*(X</t>
    </r>
    <r>
      <rPr>
        <vertAlign val="subscript"/>
        <sz val="11"/>
        <rFont val="Calibri"/>
        <family val="2"/>
      </rPr>
      <t>HFO,H</t>
    </r>
    <r>
      <rPr>
        <sz val="11"/>
        <rFont val="Calibri"/>
        <family val="2"/>
      </rPr>
      <t>+X</t>
    </r>
    <r>
      <rPr>
        <vertAlign val="subscript"/>
        <sz val="11"/>
        <rFont val="Calibri"/>
        <family val="2"/>
      </rPr>
      <t>HFO,H,P</t>
    </r>
    <r>
      <rPr>
        <sz val="11"/>
        <rFont val="Calibri"/>
        <family val="2"/>
      </rPr>
      <t>)</t>
    </r>
  </si>
  <si>
    <r>
      <t>q</t>
    </r>
    <r>
      <rPr>
        <vertAlign val="subscript"/>
        <sz val="11"/>
        <rFont val="Calibri"/>
        <family val="2"/>
      </rPr>
      <t>HFOL,AGING</t>
    </r>
    <r>
      <rPr>
        <sz val="11"/>
        <rFont val="Calibri"/>
        <family val="2"/>
      </rPr>
      <t>*(X</t>
    </r>
    <r>
      <rPr>
        <vertAlign val="subscript"/>
        <sz val="11"/>
        <rFont val="Calibri"/>
        <family val="2"/>
      </rPr>
      <t>HFO,L</t>
    </r>
    <r>
      <rPr>
        <sz val="11"/>
        <rFont val="Calibri"/>
        <family val="2"/>
      </rPr>
      <t>+X</t>
    </r>
    <r>
      <rPr>
        <vertAlign val="subscript"/>
        <sz val="11"/>
        <rFont val="Calibri"/>
        <family val="2"/>
      </rPr>
      <t>HFO,L,P</t>
    </r>
    <r>
      <rPr>
        <sz val="11"/>
        <rFont val="Calibri"/>
        <family val="2"/>
      </rPr>
      <t>)</t>
    </r>
  </si>
  <si>
    <r>
      <t>q</t>
    </r>
    <r>
      <rPr>
        <vertAlign val="subscript"/>
        <sz val="11"/>
        <rFont val="Calibri"/>
        <family val="2"/>
      </rPr>
      <t>Fe2,OX,T</t>
    </r>
    <r>
      <rPr>
        <sz val="11"/>
        <rFont val="Calibri"/>
        <family val="2"/>
      </rPr>
      <t>*S</t>
    </r>
    <r>
      <rPr>
        <vertAlign val="subscript"/>
        <sz val="11"/>
        <rFont val="Calibri"/>
        <family val="2"/>
      </rPr>
      <t>Fe2</t>
    </r>
    <r>
      <rPr>
        <sz val="11"/>
        <rFont val="Calibri"/>
        <family val="2"/>
      </rPr>
      <t>*Msat</t>
    </r>
    <r>
      <rPr>
        <vertAlign val="subscript"/>
        <sz val="11"/>
        <rFont val="Calibri"/>
        <family val="2"/>
      </rPr>
      <t>SO2,KO2,OHO</t>
    </r>
  </si>
  <si>
    <r>
      <t>CO</t>
    </r>
    <r>
      <rPr>
        <vertAlign val="subscript"/>
        <sz val="11"/>
        <color indexed="8"/>
        <rFont val="Calibri"/>
        <family val="2"/>
        <scheme val="minor"/>
      </rPr>
      <t>2</t>
    </r>
    <r>
      <rPr>
        <sz val="11"/>
        <color indexed="8"/>
        <rFont val="Calibri"/>
        <family val="2"/>
        <scheme val="minor"/>
      </rPr>
      <t xml:space="preserve"> and NH</t>
    </r>
    <r>
      <rPr>
        <vertAlign val="subscript"/>
        <sz val="11"/>
        <color indexed="8"/>
        <rFont val="Calibri"/>
        <family val="2"/>
        <scheme val="minor"/>
      </rPr>
      <t>3</t>
    </r>
    <r>
      <rPr>
        <sz val="11"/>
        <color indexed="8"/>
        <rFont val="Calibri"/>
        <family val="2"/>
        <scheme val="minor"/>
      </rPr>
      <t xml:space="preserve"> gas transfer depends on pH one equilibrium species: H2CO3 and NH3 for CO2 and NH3, respectively. </t>
    </r>
  </si>
  <si>
    <t>These components are calculated for a pH of 7 when pH is disabled,</t>
  </si>
  <si>
    <t>Carbonic acid and free ammonia calculation when pH is off</t>
  </si>
  <si>
    <r>
      <t>k</t>
    </r>
    <r>
      <rPr>
        <vertAlign val="subscript"/>
        <sz val="11"/>
        <rFont val="Calibri"/>
        <family val="2"/>
      </rPr>
      <t>L</t>
    </r>
    <r>
      <rPr>
        <sz val="11"/>
        <rFont val="Calibri"/>
        <family val="2"/>
      </rPr>
      <t>a</t>
    </r>
    <r>
      <rPr>
        <vertAlign val="subscript"/>
        <sz val="11"/>
        <rFont val="Calibri"/>
        <family val="2"/>
      </rPr>
      <t>GCO2,sur</t>
    </r>
    <r>
      <rPr>
        <sz val="11"/>
        <rFont val="Calibri"/>
        <family val="2"/>
      </rPr>
      <t>*(S</t>
    </r>
    <r>
      <rPr>
        <vertAlign val="subscript"/>
        <sz val="11"/>
        <rFont val="Calibri"/>
        <family val="2"/>
      </rPr>
      <t>GCO2,sur,sat</t>
    </r>
    <r>
      <rPr>
        <sz val="11"/>
        <rFont val="Calibri"/>
        <family val="2"/>
      </rPr>
      <t xml:space="preserve"> - [H</t>
    </r>
    <r>
      <rPr>
        <vertAlign val="subscript"/>
        <sz val="11"/>
        <rFont val="Calibri"/>
        <family val="2"/>
      </rPr>
      <t>2</t>
    </r>
    <r>
      <rPr>
        <sz val="11"/>
        <rFont val="Calibri"/>
        <family val="2"/>
      </rPr>
      <t>CO</t>
    </r>
    <r>
      <rPr>
        <vertAlign val="subscript"/>
        <sz val="11"/>
        <rFont val="Calibri"/>
        <family val="2"/>
      </rPr>
      <t>3</t>
    </r>
    <r>
      <rPr>
        <sz val="11"/>
        <rFont val="Calibri"/>
        <family val="2"/>
      </rPr>
      <t>]*MM</t>
    </r>
    <r>
      <rPr>
        <vertAlign val="subscript"/>
        <sz val="11"/>
        <rFont val="Calibri"/>
        <family val="2"/>
      </rPr>
      <t>EQ,GCO2</t>
    </r>
    <r>
      <rPr>
        <sz val="11"/>
        <rFont val="Calibri"/>
        <family val="2"/>
      </rPr>
      <t>*c</t>
    </r>
    <r>
      <rPr>
        <vertAlign val="subscript"/>
        <sz val="11"/>
        <rFont val="Calibri"/>
        <family val="2"/>
      </rPr>
      <t>L,m3</t>
    </r>
    <r>
      <rPr>
        <sz val="11"/>
        <rFont val="Calibri"/>
        <family val="2"/>
      </rPr>
      <t>)</t>
    </r>
  </si>
  <si>
    <r>
      <t>k</t>
    </r>
    <r>
      <rPr>
        <vertAlign val="subscript"/>
        <sz val="11"/>
        <rFont val="Calibri"/>
        <family val="2"/>
      </rPr>
      <t>L</t>
    </r>
    <r>
      <rPr>
        <sz val="11"/>
        <rFont val="Calibri"/>
        <family val="2"/>
      </rPr>
      <t>a</t>
    </r>
    <r>
      <rPr>
        <vertAlign val="subscript"/>
        <sz val="11"/>
        <rFont val="Calibri"/>
        <family val="2"/>
      </rPr>
      <t>GNH3,sur</t>
    </r>
    <r>
      <rPr>
        <sz val="11"/>
        <rFont val="Calibri"/>
        <family val="2"/>
      </rPr>
      <t>*(S</t>
    </r>
    <r>
      <rPr>
        <vertAlign val="subscript"/>
        <sz val="11"/>
        <rFont val="Calibri"/>
        <family val="2"/>
      </rPr>
      <t>GNH3,sur,sat</t>
    </r>
    <r>
      <rPr>
        <sz val="11"/>
        <rFont val="Calibri"/>
        <family val="2"/>
      </rPr>
      <t xml:space="preserve"> - [NH</t>
    </r>
    <r>
      <rPr>
        <vertAlign val="subscript"/>
        <sz val="11"/>
        <rFont val="Calibri"/>
        <family val="2"/>
      </rPr>
      <t>3</t>
    </r>
    <r>
      <rPr>
        <sz val="11"/>
        <rFont val="Calibri"/>
        <family val="2"/>
      </rPr>
      <t>]*MM</t>
    </r>
    <r>
      <rPr>
        <vertAlign val="subscript"/>
        <sz val="11"/>
        <rFont val="Calibri"/>
        <family val="2"/>
      </rPr>
      <t>EQ,GNH3</t>
    </r>
    <r>
      <rPr>
        <sz val="11"/>
        <rFont val="Calibri"/>
        <family val="2"/>
      </rPr>
      <t>*c</t>
    </r>
    <r>
      <rPr>
        <vertAlign val="subscript"/>
        <sz val="11"/>
        <rFont val="Calibri"/>
        <family val="2"/>
      </rPr>
      <t>L,m3</t>
    </r>
    <r>
      <rPr>
        <sz val="11"/>
        <rFont val="Calibri"/>
        <family val="2"/>
      </rPr>
      <t>)</t>
    </r>
  </si>
  <si>
    <r>
      <t>pH</t>
    </r>
    <r>
      <rPr>
        <vertAlign val="subscript"/>
        <sz val="11"/>
        <rFont val="Calibri"/>
        <family val="2"/>
        <scheme val="minor"/>
      </rPr>
      <t>field</t>
    </r>
  </si>
  <si>
    <t>pH in process unit</t>
  </si>
  <si>
    <r>
      <t>IS</t>
    </r>
    <r>
      <rPr>
        <vertAlign val="subscript"/>
        <sz val="11"/>
        <rFont val="Calibri"/>
        <family val="2"/>
        <scheme val="minor"/>
      </rPr>
      <t>field</t>
    </r>
  </si>
  <si>
    <t>IS in process unit (pH off)</t>
  </si>
  <si>
    <t>Non-pH; Digester</t>
  </si>
  <si>
    <r>
      <t>f</t>
    </r>
    <r>
      <rPr>
        <vertAlign val="subscript"/>
        <sz val="11"/>
        <rFont val="Calibri"/>
        <family val="2"/>
        <scheme val="minor"/>
      </rPr>
      <t>mono,field</t>
    </r>
  </si>
  <si>
    <r>
      <t>10^(-A</t>
    </r>
    <r>
      <rPr>
        <vertAlign val="subscript"/>
        <sz val="11"/>
        <rFont val="Calibri"/>
        <family val="2"/>
        <scheme val="minor"/>
      </rPr>
      <t>Davies</t>
    </r>
    <r>
      <rPr>
        <sz val="11"/>
        <rFont val="Calibri"/>
        <family val="2"/>
        <scheme val="minor"/>
      </rPr>
      <t>*1^(2)*(IS</t>
    </r>
    <r>
      <rPr>
        <vertAlign val="subscript"/>
        <sz val="11"/>
        <rFont val="Calibri"/>
        <family val="2"/>
        <scheme val="minor"/>
      </rPr>
      <t>field</t>
    </r>
    <r>
      <rPr>
        <sz val="11"/>
        <rFont val="Calibri"/>
        <family val="2"/>
        <scheme val="minor"/>
      </rPr>
      <t>^(0.5)/(1+1.5*IS</t>
    </r>
    <r>
      <rPr>
        <vertAlign val="subscript"/>
        <sz val="11"/>
        <rFont val="Calibri"/>
        <family val="2"/>
        <scheme val="minor"/>
      </rPr>
      <t>field</t>
    </r>
    <r>
      <rPr>
        <sz val="11"/>
        <rFont val="Calibri"/>
        <family val="2"/>
        <scheme val="minor"/>
      </rPr>
      <t>^(0.5))-0.3*IS</t>
    </r>
    <r>
      <rPr>
        <vertAlign val="subscript"/>
        <sz val="11"/>
        <rFont val="Calibri"/>
        <family val="2"/>
        <scheme val="minor"/>
      </rPr>
      <t>field</t>
    </r>
    <r>
      <rPr>
        <sz val="11"/>
        <rFont val="Calibri"/>
        <family val="2"/>
        <scheme val="minor"/>
      </rPr>
      <t>))</t>
    </r>
  </si>
  <si>
    <r>
      <t>f</t>
    </r>
    <r>
      <rPr>
        <vertAlign val="subscript"/>
        <sz val="11"/>
        <rFont val="Calibri"/>
        <family val="2"/>
        <scheme val="minor"/>
      </rPr>
      <t>di,field</t>
    </r>
  </si>
  <si>
    <r>
      <t>10^(-A</t>
    </r>
    <r>
      <rPr>
        <vertAlign val="subscript"/>
        <sz val="11"/>
        <rFont val="Calibri"/>
        <family val="2"/>
        <scheme val="minor"/>
      </rPr>
      <t>Davies</t>
    </r>
    <r>
      <rPr>
        <sz val="11"/>
        <rFont val="Calibri"/>
        <family val="2"/>
        <scheme val="minor"/>
      </rPr>
      <t>*2^(2)*(IS</t>
    </r>
    <r>
      <rPr>
        <vertAlign val="subscript"/>
        <sz val="11"/>
        <rFont val="Calibri"/>
        <family val="2"/>
        <scheme val="minor"/>
      </rPr>
      <t>field</t>
    </r>
    <r>
      <rPr>
        <sz val="11"/>
        <rFont val="Calibri"/>
        <family val="2"/>
        <scheme val="minor"/>
      </rPr>
      <t>^(0.5)/(1+1.5*IS</t>
    </r>
    <r>
      <rPr>
        <vertAlign val="subscript"/>
        <sz val="11"/>
        <rFont val="Calibri"/>
        <family val="2"/>
        <scheme val="minor"/>
      </rPr>
      <t>field</t>
    </r>
    <r>
      <rPr>
        <sz val="11"/>
        <rFont val="Calibri"/>
        <family val="2"/>
        <scheme val="minor"/>
      </rPr>
      <t>^(0.5))-0.3*IS</t>
    </r>
    <r>
      <rPr>
        <vertAlign val="subscript"/>
        <sz val="11"/>
        <rFont val="Calibri"/>
        <family val="2"/>
        <scheme val="minor"/>
      </rPr>
      <t>field</t>
    </r>
    <r>
      <rPr>
        <sz val="11"/>
        <rFont val="Calibri"/>
        <family val="2"/>
        <scheme val="minor"/>
      </rPr>
      <t>))</t>
    </r>
  </si>
  <si>
    <r>
      <t>K</t>
    </r>
    <r>
      <rPr>
        <vertAlign val="subscript"/>
        <sz val="11"/>
        <rFont val="Calibri"/>
        <family val="2"/>
        <scheme val="minor"/>
      </rPr>
      <t>C1,T</t>
    </r>
    <r>
      <rPr>
        <sz val="11"/>
        <rFont val="Calibri"/>
        <family val="2"/>
        <scheme val="minor"/>
      </rPr>
      <t>/f</t>
    </r>
    <r>
      <rPr>
        <vertAlign val="subscript"/>
        <sz val="11"/>
        <rFont val="Calibri"/>
        <family val="2"/>
        <scheme val="minor"/>
      </rPr>
      <t>mono,field</t>
    </r>
    <r>
      <rPr>
        <sz val="11"/>
        <rFont val="Calibri"/>
        <family val="2"/>
        <scheme val="minor"/>
      </rPr>
      <t>^2</t>
    </r>
  </si>
  <si>
    <r>
      <t>K</t>
    </r>
    <r>
      <rPr>
        <vertAlign val="subscript"/>
        <sz val="11"/>
        <rFont val="Calibri"/>
        <family val="2"/>
        <scheme val="minor"/>
      </rPr>
      <t>C2,T</t>
    </r>
    <r>
      <rPr>
        <sz val="11"/>
        <rFont val="Calibri"/>
        <family val="2"/>
        <scheme val="minor"/>
      </rPr>
      <t>/f</t>
    </r>
    <r>
      <rPr>
        <vertAlign val="subscript"/>
        <sz val="11"/>
        <rFont val="Calibri"/>
        <family val="2"/>
        <scheme val="minor"/>
      </rPr>
      <t>di,field</t>
    </r>
  </si>
  <si>
    <t>Error calculation</t>
  </si>
  <si>
    <t>Input; pHSet; pH</t>
  </si>
  <si>
    <t>pH calculation - pH specified, for influents (pHSet, Input)</t>
  </si>
  <si>
    <t>pH calculation - pH specified, for other process units (pHSet, NonInput)</t>
  </si>
  <si>
    <t>Non-Input; pHSet; pH</t>
  </si>
  <si>
    <t>Key(1190)</t>
  </si>
  <si>
    <t>BOD stoichiometry</t>
  </si>
  <si>
    <t>Cations and anions calculation revised, for other process units (NonInput)</t>
  </si>
  <si>
    <r>
      <t>S</t>
    </r>
    <r>
      <rPr>
        <vertAlign val="subscript"/>
        <sz val="11"/>
        <rFont val="Calibri"/>
        <family val="2"/>
        <scheme val="minor"/>
      </rPr>
      <t>CAT,add</t>
    </r>
  </si>
  <si>
    <r>
      <t>If(SIC&gt; 0; S</t>
    </r>
    <r>
      <rPr>
        <vertAlign val="subscript"/>
        <sz val="11"/>
        <color indexed="8"/>
        <rFont val="Calibri"/>
        <family val="2"/>
      </rPr>
      <t>IC</t>
    </r>
    <r>
      <rPr>
        <sz val="11"/>
        <color indexed="8"/>
        <rFont val="Calibri"/>
        <family val="2"/>
      </rPr>
      <t>*(AM</t>
    </r>
    <r>
      <rPr>
        <vertAlign val="subscript"/>
        <sz val="11"/>
        <color indexed="8"/>
        <rFont val="Calibri"/>
        <family val="2"/>
      </rPr>
      <t>Na</t>
    </r>
    <r>
      <rPr>
        <sz val="11"/>
        <color indexed="8"/>
        <rFont val="Calibri"/>
        <family val="2"/>
      </rPr>
      <t>*1000);0)</t>
    </r>
  </si>
  <si>
    <t>pHSet; pH; Non-Input</t>
  </si>
  <si>
    <r>
      <t>S</t>
    </r>
    <r>
      <rPr>
        <vertAlign val="subscript"/>
        <sz val="11"/>
        <rFont val="Calibri"/>
        <family val="2"/>
        <scheme val="minor"/>
      </rPr>
      <t>AN,add</t>
    </r>
  </si>
  <si>
    <r>
      <t>If(SIC&lt; 0; - S</t>
    </r>
    <r>
      <rPr>
        <vertAlign val="subscript"/>
        <sz val="11"/>
        <color indexed="8"/>
        <rFont val="Calibri"/>
        <family val="2"/>
      </rPr>
      <t>IC</t>
    </r>
    <r>
      <rPr>
        <sz val="11"/>
        <color indexed="8"/>
        <rFont val="Calibri"/>
        <family val="2"/>
      </rPr>
      <t>*(AM</t>
    </r>
    <r>
      <rPr>
        <vertAlign val="subscript"/>
        <sz val="11"/>
        <color indexed="8"/>
        <rFont val="Calibri"/>
        <family val="2"/>
      </rPr>
      <t>Cl</t>
    </r>
    <r>
      <rPr>
        <sz val="11"/>
        <color indexed="8"/>
        <rFont val="Calibri"/>
        <family val="2"/>
      </rPr>
      <t>*1000);0)</t>
    </r>
  </si>
  <si>
    <r>
      <t>S</t>
    </r>
    <r>
      <rPr>
        <vertAlign val="subscript"/>
        <sz val="11"/>
        <color theme="1"/>
        <rFont val="Calibri"/>
        <family val="2"/>
        <scheme val="minor"/>
      </rPr>
      <t>CAT,ini</t>
    </r>
    <r>
      <rPr>
        <sz val="11"/>
        <color theme="1"/>
        <rFont val="Calibri"/>
        <family val="2"/>
        <scheme val="minor"/>
      </rPr>
      <t>+S</t>
    </r>
    <r>
      <rPr>
        <vertAlign val="subscript"/>
        <sz val="11"/>
        <color theme="1"/>
        <rFont val="Calibri"/>
        <family val="2"/>
        <scheme val="minor"/>
      </rPr>
      <t>CAT,add</t>
    </r>
  </si>
  <si>
    <r>
      <t>S</t>
    </r>
    <r>
      <rPr>
        <vertAlign val="subscript"/>
        <sz val="11"/>
        <color theme="1"/>
        <rFont val="Calibri"/>
        <family val="2"/>
        <scheme val="minor"/>
      </rPr>
      <t>AN,ini</t>
    </r>
    <r>
      <rPr>
        <sz val="11"/>
        <color theme="1"/>
        <rFont val="Calibri"/>
        <family val="2"/>
        <scheme val="minor"/>
      </rPr>
      <t>+S</t>
    </r>
    <r>
      <rPr>
        <vertAlign val="subscript"/>
        <sz val="11"/>
        <color theme="1"/>
        <rFont val="Calibri"/>
        <family val="2"/>
        <scheme val="minor"/>
      </rPr>
      <t>AN,add</t>
    </r>
  </si>
  <si>
    <t>Cations and anions calculation revised for influents (Input)</t>
  </si>
  <si>
    <t>pHSet; pH; Input</t>
  </si>
  <si>
    <t>Carbon adsorption heterotroph organisms (AHO)</t>
  </si>
  <si>
    <t>Carbon adsorption heterotroph organism kinetics (AHO)</t>
  </si>
  <si>
    <t>Half-saturations for carbon adsorption heterotrophic organisms (AHO)</t>
  </si>
  <si>
    <r>
      <t>S</t>
    </r>
    <r>
      <rPr>
        <vertAlign val="subscript"/>
        <sz val="11"/>
        <rFont val="Calibri"/>
        <family val="2"/>
      </rPr>
      <t>NO3</t>
    </r>
    <r>
      <rPr>
        <sz val="11"/>
        <rFont val="Calibri"/>
        <family val="2"/>
      </rPr>
      <t>/(AM</t>
    </r>
    <r>
      <rPr>
        <vertAlign val="subscript"/>
        <sz val="11"/>
        <rFont val="Calibri"/>
        <family val="2"/>
      </rPr>
      <t>N</t>
    </r>
    <r>
      <rPr>
        <sz val="11"/>
        <rFont val="Calibri"/>
        <family val="2"/>
      </rPr>
      <t>*1000)</t>
    </r>
  </si>
  <si>
    <t>Diffusion coefficients for gas phase state variables</t>
  </si>
  <si>
    <t>Atmosphere composition</t>
  </si>
  <si>
    <t>heat capacity ratio</t>
  </si>
  <si>
    <t>Molar mass of ammonium ion</t>
  </si>
  <si>
    <t>Molar mass of nitrite ion</t>
  </si>
  <si>
    <t>Molar mass of nitrate ion</t>
  </si>
  <si>
    <t>Solubility  constant of CaCO3</t>
  </si>
  <si>
    <t>Solubility  constant of struvite</t>
  </si>
  <si>
    <r>
      <t>c</t>
    </r>
    <r>
      <rPr>
        <vertAlign val="subscript"/>
        <sz val="11"/>
        <rFont val="Calibri"/>
        <family val="2"/>
        <scheme val="minor"/>
      </rPr>
      <t>min,h</t>
    </r>
  </si>
  <si>
    <t>Conversion coefficient between minutes and hours</t>
  </si>
  <si>
    <r>
      <t>min.h</t>
    </r>
    <r>
      <rPr>
        <vertAlign val="superscript"/>
        <sz val="11"/>
        <rFont val="Calibri"/>
        <family val="2"/>
        <scheme val="minor"/>
      </rPr>
      <t>-1</t>
    </r>
  </si>
  <si>
    <r>
      <t>c</t>
    </r>
    <r>
      <rPr>
        <vertAlign val="subscript"/>
        <sz val="11"/>
        <rFont val="Calibri"/>
        <family val="2"/>
        <scheme val="minor"/>
      </rPr>
      <t>h,d</t>
    </r>
  </si>
  <si>
    <t>Conversion coefficient between hours and days</t>
  </si>
  <si>
    <r>
      <t>h.d</t>
    </r>
    <r>
      <rPr>
        <vertAlign val="superscript"/>
        <sz val="11"/>
        <rFont val="Calibri"/>
        <family val="2"/>
        <scheme val="minor"/>
      </rPr>
      <t>-1</t>
    </r>
  </si>
  <si>
    <r>
      <t>c</t>
    </r>
    <r>
      <rPr>
        <vertAlign val="subscript"/>
        <sz val="11"/>
        <rFont val="Calibri"/>
        <family val="2"/>
        <scheme val="minor"/>
      </rPr>
      <t>ms,min</t>
    </r>
  </si>
  <si>
    <t>Conversion coefficient between milliseconds and minutes</t>
  </si>
  <si>
    <r>
      <t>ms.min</t>
    </r>
    <r>
      <rPr>
        <vertAlign val="superscript"/>
        <sz val="11"/>
        <rFont val="Calibri"/>
        <family val="2"/>
        <scheme val="minor"/>
      </rPr>
      <t>-1</t>
    </r>
  </si>
  <si>
    <r>
      <t>c</t>
    </r>
    <r>
      <rPr>
        <vertAlign val="subscript"/>
        <sz val="11"/>
        <rFont val="Calibri"/>
        <family val="2"/>
        <scheme val="minor"/>
      </rPr>
      <t>kJ,MJ</t>
    </r>
  </si>
  <si>
    <t>Conversion coefficient between kilojoules and megajoules</t>
  </si>
  <si>
    <r>
      <t>kJ.MJ</t>
    </r>
    <r>
      <rPr>
        <vertAlign val="superscript"/>
        <sz val="11"/>
        <rFont val="Calibri"/>
        <family val="2"/>
        <scheme val="minor"/>
      </rPr>
      <t>-1</t>
    </r>
  </si>
  <si>
    <r>
      <t>c</t>
    </r>
    <r>
      <rPr>
        <vertAlign val="subscript"/>
        <sz val="11"/>
        <rFont val="Calibri"/>
        <family val="2"/>
        <scheme val="minor"/>
      </rPr>
      <t>cm,m</t>
    </r>
  </si>
  <si>
    <t>Conversion coefficient between centimeters and meters</t>
  </si>
  <si>
    <t>Standard enthalpy of Magnesium ion</t>
  </si>
  <si>
    <t>Diffusion coefficients for liquid phase state variables</t>
  </si>
  <si>
    <t>Half-saturation of readily biodegradable substrate as polymers for OHOs</t>
  </si>
  <si>
    <r>
      <t>i</t>
    </r>
    <r>
      <rPr>
        <vertAlign val="subscript"/>
        <sz val="11"/>
        <rFont val="Calibri"/>
        <family val="2"/>
      </rPr>
      <t>N,XE</t>
    </r>
  </si>
  <si>
    <r>
      <rPr>
        <sz val="11"/>
        <rFont val="Calibri"/>
        <family val="2"/>
        <scheme val="minor"/>
      </rPr>
      <t>f</t>
    </r>
    <r>
      <rPr>
        <vertAlign val="subscript"/>
        <sz val="11"/>
        <rFont val="Calibri"/>
        <family val="2"/>
        <scheme val="minor"/>
      </rPr>
      <t>KS</t>
    </r>
  </si>
  <si>
    <r>
      <t>K</t>
    </r>
    <r>
      <rPr>
        <vertAlign val="subscript"/>
        <sz val="11"/>
        <rFont val="Calibri"/>
        <family val="2"/>
      </rPr>
      <t>NHx,AOB,AS</t>
    </r>
    <r>
      <rPr>
        <sz val="11"/>
        <rFont val="Calibri"/>
        <family val="2"/>
      </rPr>
      <t>*f</t>
    </r>
    <r>
      <rPr>
        <vertAlign val="subscript"/>
        <sz val="11"/>
        <rFont val="Calibri"/>
        <family val="2"/>
      </rPr>
      <t>KS</t>
    </r>
  </si>
  <si>
    <r>
      <t>K</t>
    </r>
    <r>
      <rPr>
        <vertAlign val="subscript"/>
        <sz val="11"/>
        <rFont val="Calibri"/>
        <family val="2"/>
      </rPr>
      <t>O2,AOB,AS</t>
    </r>
    <r>
      <rPr>
        <sz val="11"/>
        <rFont val="Calibri"/>
        <family val="2"/>
      </rPr>
      <t>*f</t>
    </r>
    <r>
      <rPr>
        <vertAlign val="subscript"/>
        <sz val="11"/>
        <rFont val="Calibri"/>
        <family val="2"/>
      </rPr>
      <t>KS</t>
    </r>
  </si>
  <si>
    <r>
      <t>K</t>
    </r>
    <r>
      <rPr>
        <vertAlign val="subscript"/>
        <sz val="11"/>
        <rFont val="Calibri"/>
        <family val="2"/>
      </rPr>
      <t>NOx,AOB,AS</t>
    </r>
    <r>
      <rPr>
        <sz val="11"/>
        <rFont val="Calibri"/>
        <family val="2"/>
      </rPr>
      <t>*f</t>
    </r>
    <r>
      <rPr>
        <vertAlign val="subscript"/>
        <sz val="11"/>
        <rFont val="Calibri"/>
        <family val="2"/>
      </rPr>
      <t>KS</t>
    </r>
  </si>
  <si>
    <r>
      <t>Ki</t>
    </r>
    <r>
      <rPr>
        <vertAlign val="subscript"/>
        <sz val="11"/>
        <rFont val="Calibri"/>
        <family val="2"/>
      </rPr>
      <t>HNO2,AOB,pH,AS</t>
    </r>
    <r>
      <rPr>
        <sz val="11"/>
        <rFont val="Calibri"/>
        <family val="2"/>
      </rPr>
      <t>*f</t>
    </r>
    <r>
      <rPr>
        <vertAlign val="subscript"/>
        <sz val="11"/>
        <rFont val="Calibri"/>
        <family val="2"/>
      </rPr>
      <t>KS</t>
    </r>
  </si>
  <si>
    <r>
      <t>K</t>
    </r>
    <r>
      <rPr>
        <vertAlign val="subscript"/>
        <sz val="11"/>
        <rFont val="Calibri"/>
        <family val="2"/>
      </rPr>
      <t>NO2,NOB,AS</t>
    </r>
    <r>
      <rPr>
        <sz val="11"/>
        <rFont val="Calibri"/>
        <family val="2"/>
      </rPr>
      <t>*f</t>
    </r>
    <r>
      <rPr>
        <vertAlign val="subscript"/>
        <sz val="11"/>
        <rFont val="Calibri"/>
        <family val="2"/>
      </rPr>
      <t>KS</t>
    </r>
  </si>
  <si>
    <r>
      <t>K</t>
    </r>
    <r>
      <rPr>
        <vertAlign val="subscript"/>
        <sz val="11"/>
        <rFont val="Calibri"/>
        <family val="2"/>
      </rPr>
      <t>O2,NOB,AS</t>
    </r>
    <r>
      <rPr>
        <sz val="11"/>
        <rFont val="Calibri"/>
        <family val="2"/>
      </rPr>
      <t>*f</t>
    </r>
    <r>
      <rPr>
        <vertAlign val="subscript"/>
        <sz val="11"/>
        <rFont val="Calibri"/>
        <family val="2"/>
      </rPr>
      <t>KS</t>
    </r>
  </si>
  <si>
    <r>
      <t>K</t>
    </r>
    <r>
      <rPr>
        <vertAlign val="subscript"/>
        <sz val="11"/>
        <rFont val="Calibri"/>
        <family val="2"/>
      </rPr>
      <t>NOx,NOB,AS</t>
    </r>
    <r>
      <rPr>
        <sz val="11"/>
        <rFont val="Calibri"/>
        <family val="2"/>
      </rPr>
      <t>*f</t>
    </r>
    <r>
      <rPr>
        <vertAlign val="subscript"/>
        <sz val="11"/>
        <rFont val="Calibri"/>
        <family val="2"/>
      </rPr>
      <t>KS</t>
    </r>
  </si>
  <si>
    <r>
      <t>Ki</t>
    </r>
    <r>
      <rPr>
        <vertAlign val="subscript"/>
        <sz val="11"/>
        <rFont val="Calibri"/>
        <family val="2"/>
      </rPr>
      <t>NH3,NOB,pH,AS</t>
    </r>
    <r>
      <rPr>
        <sz val="11"/>
        <rFont val="Calibri"/>
        <family val="2"/>
      </rPr>
      <t>*f</t>
    </r>
    <r>
      <rPr>
        <vertAlign val="subscript"/>
        <sz val="11"/>
        <rFont val="Calibri"/>
        <family val="2"/>
      </rPr>
      <t>KS</t>
    </r>
  </si>
  <si>
    <r>
      <t>K</t>
    </r>
    <r>
      <rPr>
        <vertAlign val="subscript"/>
        <sz val="11"/>
        <rFont val="Calibri"/>
        <family val="2"/>
      </rPr>
      <t>NHx,AMX,AS</t>
    </r>
    <r>
      <rPr>
        <sz val="11"/>
        <rFont val="Calibri"/>
        <family val="2"/>
      </rPr>
      <t>*f</t>
    </r>
    <r>
      <rPr>
        <vertAlign val="subscript"/>
        <sz val="11"/>
        <rFont val="Calibri"/>
        <family val="2"/>
      </rPr>
      <t>KS</t>
    </r>
  </si>
  <si>
    <r>
      <t>K</t>
    </r>
    <r>
      <rPr>
        <vertAlign val="subscript"/>
        <sz val="11"/>
        <rFont val="Calibri"/>
        <family val="2"/>
      </rPr>
      <t>NO2,AMX,AS</t>
    </r>
    <r>
      <rPr>
        <sz val="11"/>
        <rFont val="Calibri"/>
        <family val="2"/>
      </rPr>
      <t>*f</t>
    </r>
    <r>
      <rPr>
        <vertAlign val="subscript"/>
        <sz val="11"/>
        <rFont val="Calibri"/>
        <family val="2"/>
      </rPr>
      <t>KS</t>
    </r>
  </si>
  <si>
    <r>
      <t>K</t>
    </r>
    <r>
      <rPr>
        <vertAlign val="subscript"/>
        <sz val="11"/>
        <rFont val="Calibri"/>
        <family val="2"/>
      </rPr>
      <t>NOx,AMX,AS</t>
    </r>
    <r>
      <rPr>
        <sz val="11"/>
        <rFont val="Calibri"/>
        <family val="2"/>
      </rPr>
      <t>*f</t>
    </r>
    <r>
      <rPr>
        <vertAlign val="subscript"/>
        <sz val="11"/>
        <rFont val="Calibri"/>
        <family val="2"/>
      </rPr>
      <t>KS</t>
    </r>
  </si>
  <si>
    <r>
      <t>Ki</t>
    </r>
    <r>
      <rPr>
        <vertAlign val="subscript"/>
        <sz val="11"/>
        <rFont val="Calibri"/>
        <family val="2"/>
      </rPr>
      <t>HNO2,AMX,pH,AS</t>
    </r>
    <r>
      <rPr>
        <sz val="11"/>
        <rFont val="Calibri"/>
        <family val="2"/>
      </rPr>
      <t>*f</t>
    </r>
    <r>
      <rPr>
        <vertAlign val="subscript"/>
        <sz val="11"/>
        <rFont val="Calibri"/>
        <family val="2"/>
      </rPr>
      <t>KS</t>
    </r>
  </si>
  <si>
    <r>
      <t>K</t>
    </r>
    <r>
      <rPr>
        <vertAlign val="subscript"/>
        <sz val="11"/>
        <rFont val="Calibri"/>
        <family val="2"/>
        <scheme val="minor"/>
      </rPr>
      <t>SB,poly,AS</t>
    </r>
    <r>
      <rPr>
        <sz val="11"/>
        <rFont val="Calibri"/>
        <family val="2"/>
        <scheme val="minor"/>
      </rPr>
      <t>*f</t>
    </r>
    <r>
      <rPr>
        <vertAlign val="subscript"/>
        <sz val="11"/>
        <rFont val="Calibri"/>
        <family val="2"/>
        <scheme val="minor"/>
      </rPr>
      <t>KS</t>
    </r>
  </si>
  <si>
    <r>
      <t>K</t>
    </r>
    <r>
      <rPr>
        <vertAlign val="subscript"/>
        <sz val="11"/>
        <rFont val="Calibri"/>
        <family val="2"/>
        <scheme val="minor"/>
      </rPr>
      <t>VFA,AS</t>
    </r>
    <r>
      <rPr>
        <sz val="11"/>
        <rFont val="Calibri"/>
        <family val="2"/>
        <scheme val="minor"/>
      </rPr>
      <t>*f</t>
    </r>
    <r>
      <rPr>
        <vertAlign val="subscript"/>
        <sz val="11"/>
        <rFont val="Calibri"/>
        <family val="2"/>
        <scheme val="minor"/>
      </rPr>
      <t>KS</t>
    </r>
  </si>
  <si>
    <r>
      <t>K</t>
    </r>
    <r>
      <rPr>
        <vertAlign val="subscript"/>
        <sz val="11"/>
        <rFont val="Calibri"/>
        <family val="2"/>
        <scheme val="minor"/>
      </rPr>
      <t>O2,OHO,AS</t>
    </r>
    <r>
      <rPr>
        <sz val="11"/>
        <rFont val="Calibri"/>
        <family val="2"/>
        <scheme val="minor"/>
      </rPr>
      <t>*f</t>
    </r>
    <r>
      <rPr>
        <vertAlign val="subscript"/>
        <sz val="11"/>
        <rFont val="Calibri"/>
        <family val="2"/>
        <scheme val="minor"/>
      </rPr>
      <t>KS</t>
    </r>
  </si>
  <si>
    <r>
      <t>K</t>
    </r>
    <r>
      <rPr>
        <vertAlign val="subscript"/>
        <sz val="11"/>
        <rFont val="Calibri"/>
        <family val="2"/>
        <scheme val="minor"/>
      </rPr>
      <t>MEOL,OHO,AS</t>
    </r>
    <r>
      <rPr>
        <sz val="11"/>
        <rFont val="Calibri"/>
        <family val="2"/>
        <scheme val="minor"/>
      </rPr>
      <t>*f</t>
    </r>
    <r>
      <rPr>
        <vertAlign val="subscript"/>
        <sz val="11"/>
        <rFont val="Calibri"/>
        <family val="2"/>
        <scheme val="minor"/>
      </rPr>
      <t>KS</t>
    </r>
  </si>
  <si>
    <r>
      <t>K</t>
    </r>
    <r>
      <rPr>
        <vertAlign val="subscript"/>
        <sz val="11"/>
        <rFont val="Calibri"/>
        <family val="2"/>
      </rPr>
      <t>NO2,OHO,AS</t>
    </r>
    <r>
      <rPr>
        <sz val="11"/>
        <rFont val="Calibri"/>
        <family val="2"/>
      </rPr>
      <t>*f</t>
    </r>
    <r>
      <rPr>
        <vertAlign val="subscript"/>
        <sz val="11"/>
        <rFont val="Calibri"/>
        <family val="2"/>
      </rPr>
      <t>KS</t>
    </r>
  </si>
  <si>
    <r>
      <t>K</t>
    </r>
    <r>
      <rPr>
        <vertAlign val="subscript"/>
        <sz val="11"/>
        <rFont val="Calibri"/>
        <family val="2"/>
        <scheme val="minor"/>
      </rPr>
      <t>NO3,OHO,AS</t>
    </r>
    <r>
      <rPr>
        <sz val="11"/>
        <rFont val="Calibri"/>
        <family val="2"/>
        <scheme val="minor"/>
      </rPr>
      <t>*f</t>
    </r>
    <r>
      <rPr>
        <vertAlign val="subscript"/>
        <sz val="11"/>
        <rFont val="Calibri"/>
        <family val="2"/>
        <scheme val="minor"/>
      </rPr>
      <t>KS</t>
    </r>
  </si>
  <si>
    <r>
      <t>K</t>
    </r>
    <r>
      <rPr>
        <vertAlign val="subscript"/>
        <sz val="11"/>
        <rFont val="Calibri"/>
        <family val="2"/>
        <scheme val="minor"/>
      </rPr>
      <t>VFA,FERM,AS</t>
    </r>
    <r>
      <rPr>
        <sz val="11"/>
        <rFont val="Calibri"/>
        <family val="2"/>
        <scheme val="minor"/>
      </rPr>
      <t>*f</t>
    </r>
    <r>
      <rPr>
        <vertAlign val="subscript"/>
        <sz val="11"/>
        <rFont val="Calibri"/>
        <family val="2"/>
        <scheme val="minor"/>
      </rPr>
      <t>KS</t>
    </r>
  </si>
  <si>
    <r>
      <t>K</t>
    </r>
    <r>
      <rPr>
        <vertAlign val="subscript"/>
        <sz val="11"/>
        <rFont val="Calibri"/>
        <family val="2"/>
        <scheme val="minor"/>
      </rPr>
      <t>SB,poly,ana,AS</t>
    </r>
    <r>
      <rPr>
        <sz val="11"/>
        <rFont val="Calibri"/>
        <family val="2"/>
        <scheme val="minor"/>
      </rPr>
      <t>*f</t>
    </r>
    <r>
      <rPr>
        <vertAlign val="subscript"/>
        <sz val="11"/>
        <rFont val="Calibri"/>
        <family val="2"/>
        <scheme val="minor"/>
      </rPr>
      <t>KS</t>
    </r>
  </si>
  <si>
    <r>
      <t>K</t>
    </r>
    <r>
      <rPr>
        <vertAlign val="subscript"/>
        <sz val="11"/>
        <rFont val="Calibri"/>
        <family val="2"/>
        <scheme val="minor"/>
      </rPr>
      <t>SB,mono,AS</t>
    </r>
    <r>
      <rPr>
        <sz val="11"/>
        <rFont val="Calibri"/>
        <family val="2"/>
        <scheme val="minor"/>
      </rPr>
      <t>*f</t>
    </r>
    <r>
      <rPr>
        <vertAlign val="subscript"/>
        <sz val="11"/>
        <rFont val="Calibri"/>
        <family val="2"/>
        <scheme val="minor"/>
      </rPr>
      <t>KS</t>
    </r>
  </si>
  <si>
    <r>
      <t>K</t>
    </r>
    <r>
      <rPr>
        <vertAlign val="subscript"/>
        <sz val="11"/>
        <rFont val="Calibri"/>
        <family val="2"/>
        <scheme val="minor"/>
      </rPr>
      <t>O2,AHO,AS</t>
    </r>
    <r>
      <rPr>
        <sz val="11"/>
        <rFont val="Calibri"/>
        <family val="2"/>
        <scheme val="minor"/>
      </rPr>
      <t>*f</t>
    </r>
    <r>
      <rPr>
        <vertAlign val="subscript"/>
        <sz val="11"/>
        <rFont val="Calibri"/>
        <family val="2"/>
        <scheme val="minor"/>
      </rPr>
      <t>KS</t>
    </r>
  </si>
  <si>
    <r>
      <t>Ki</t>
    </r>
    <r>
      <rPr>
        <vertAlign val="subscript"/>
        <sz val="11"/>
        <rFont val="Calibri"/>
        <family val="2"/>
        <scheme val="minor"/>
      </rPr>
      <t>O2,AHO,AS</t>
    </r>
    <r>
      <rPr>
        <sz val="11"/>
        <rFont val="Calibri"/>
        <family val="2"/>
        <scheme val="minor"/>
      </rPr>
      <t>*f</t>
    </r>
    <r>
      <rPr>
        <vertAlign val="subscript"/>
        <sz val="11"/>
        <rFont val="Calibri"/>
        <family val="2"/>
        <scheme val="minor"/>
      </rPr>
      <t>KS</t>
    </r>
  </si>
  <si>
    <r>
      <t>K</t>
    </r>
    <r>
      <rPr>
        <vertAlign val="subscript"/>
        <sz val="11"/>
        <rFont val="Calibri"/>
        <family val="2"/>
      </rPr>
      <t>NO2,AHO,AS</t>
    </r>
    <r>
      <rPr>
        <sz val="11"/>
        <rFont val="Calibri"/>
        <family val="2"/>
      </rPr>
      <t>*f</t>
    </r>
    <r>
      <rPr>
        <vertAlign val="subscript"/>
        <sz val="11"/>
        <rFont val="Calibri"/>
        <family val="2"/>
      </rPr>
      <t>KS</t>
    </r>
  </si>
  <si>
    <r>
      <t>K</t>
    </r>
    <r>
      <rPr>
        <vertAlign val="subscript"/>
        <sz val="11"/>
        <rFont val="Calibri"/>
        <family val="2"/>
        <scheme val="minor"/>
      </rPr>
      <t>NO3,AHO,AS</t>
    </r>
    <r>
      <rPr>
        <sz val="11"/>
        <rFont val="Calibri"/>
        <family val="2"/>
        <scheme val="minor"/>
      </rPr>
      <t>*f</t>
    </r>
    <r>
      <rPr>
        <vertAlign val="subscript"/>
        <sz val="11"/>
        <rFont val="Calibri"/>
        <family val="2"/>
        <scheme val="minor"/>
      </rPr>
      <t>KS</t>
    </r>
  </si>
  <si>
    <r>
      <t>K</t>
    </r>
    <r>
      <rPr>
        <vertAlign val="subscript"/>
        <sz val="11"/>
        <rFont val="Calibri"/>
        <family val="2"/>
        <scheme val="minor"/>
      </rPr>
      <t>MEOL,AS</t>
    </r>
    <r>
      <rPr>
        <sz val="11"/>
        <rFont val="Calibri"/>
        <family val="2"/>
        <scheme val="minor"/>
      </rPr>
      <t>*f</t>
    </r>
    <r>
      <rPr>
        <vertAlign val="subscript"/>
        <sz val="11"/>
        <rFont val="Calibri"/>
        <family val="2"/>
        <scheme val="minor"/>
      </rPr>
      <t>KS</t>
    </r>
  </si>
  <si>
    <r>
      <t>K</t>
    </r>
    <r>
      <rPr>
        <vertAlign val="subscript"/>
        <sz val="11"/>
        <rFont val="Calibri"/>
        <family val="2"/>
      </rPr>
      <t>NO2,MEOLO,AS</t>
    </r>
    <r>
      <rPr>
        <sz val="11"/>
        <rFont val="Calibri"/>
        <family val="2"/>
      </rPr>
      <t>*f</t>
    </r>
    <r>
      <rPr>
        <vertAlign val="subscript"/>
        <sz val="11"/>
        <rFont val="Calibri"/>
        <family val="2"/>
      </rPr>
      <t>KS</t>
    </r>
  </si>
  <si>
    <r>
      <t>K</t>
    </r>
    <r>
      <rPr>
        <vertAlign val="subscript"/>
        <sz val="11"/>
        <rFont val="Calibri"/>
        <family val="2"/>
        <scheme val="minor"/>
      </rPr>
      <t>NO3,MEOLO,AS</t>
    </r>
    <r>
      <rPr>
        <sz val="11"/>
        <rFont val="Calibri"/>
        <family val="2"/>
        <scheme val="minor"/>
      </rPr>
      <t>*f</t>
    </r>
    <r>
      <rPr>
        <vertAlign val="subscript"/>
        <sz val="11"/>
        <rFont val="Calibri"/>
        <family val="2"/>
        <scheme val="minor"/>
      </rPr>
      <t>KS</t>
    </r>
  </si>
  <si>
    <r>
      <t>K</t>
    </r>
    <r>
      <rPr>
        <vertAlign val="subscript"/>
        <sz val="11"/>
        <rFont val="Calibri"/>
        <family val="2"/>
        <scheme val="minor"/>
      </rPr>
      <t>PO4,PAO,AS</t>
    </r>
    <r>
      <rPr>
        <sz val="11"/>
        <rFont val="Calibri"/>
        <family val="2"/>
        <scheme val="minor"/>
      </rPr>
      <t>*f</t>
    </r>
    <r>
      <rPr>
        <vertAlign val="subscript"/>
        <sz val="11"/>
        <rFont val="Calibri"/>
        <family val="2"/>
        <scheme val="minor"/>
      </rPr>
      <t>KS</t>
    </r>
  </si>
  <si>
    <r>
      <t>K</t>
    </r>
    <r>
      <rPr>
        <vertAlign val="subscript"/>
        <sz val="11"/>
        <rFont val="Calibri"/>
        <family val="2"/>
        <scheme val="minor"/>
      </rPr>
      <t>Mg,PAO,AS</t>
    </r>
    <r>
      <rPr>
        <sz val="11"/>
        <rFont val="Calibri"/>
        <family val="2"/>
        <scheme val="minor"/>
      </rPr>
      <t>*f</t>
    </r>
    <r>
      <rPr>
        <vertAlign val="subscript"/>
        <sz val="11"/>
        <rFont val="Calibri"/>
        <family val="2"/>
        <scheme val="minor"/>
      </rPr>
      <t>KS</t>
    </r>
  </si>
  <si>
    <r>
      <t>K</t>
    </r>
    <r>
      <rPr>
        <vertAlign val="subscript"/>
        <sz val="11"/>
        <rFont val="Calibri"/>
        <family val="2"/>
        <scheme val="minor"/>
      </rPr>
      <t>K,PAO,AS</t>
    </r>
    <r>
      <rPr>
        <sz val="11"/>
        <rFont val="Calibri"/>
        <family val="2"/>
        <scheme val="minor"/>
      </rPr>
      <t>*f</t>
    </r>
    <r>
      <rPr>
        <vertAlign val="subscript"/>
        <sz val="11"/>
        <rFont val="Calibri"/>
        <family val="2"/>
        <scheme val="minor"/>
      </rPr>
      <t>KS</t>
    </r>
  </si>
  <si>
    <r>
      <t>K</t>
    </r>
    <r>
      <rPr>
        <vertAlign val="subscript"/>
        <sz val="11"/>
        <rFont val="Calibri"/>
        <family val="2"/>
        <scheme val="minor"/>
      </rPr>
      <t>Ca,PAO,AS</t>
    </r>
    <r>
      <rPr>
        <sz val="11"/>
        <rFont val="Calibri"/>
        <family val="2"/>
        <scheme val="minor"/>
      </rPr>
      <t>*f</t>
    </r>
    <r>
      <rPr>
        <vertAlign val="subscript"/>
        <sz val="11"/>
        <rFont val="Calibri"/>
        <family val="2"/>
        <scheme val="minor"/>
      </rPr>
      <t>KS</t>
    </r>
  </si>
  <si>
    <r>
      <t>Ki</t>
    </r>
    <r>
      <rPr>
        <vertAlign val="subscript"/>
        <sz val="11"/>
        <rFont val="Calibri"/>
        <family val="2"/>
        <scheme val="minor"/>
      </rPr>
      <t>PO4,lim,AS</t>
    </r>
    <r>
      <rPr>
        <sz val="11"/>
        <rFont val="Calibri"/>
        <family val="2"/>
        <scheme val="minor"/>
      </rPr>
      <t>*f</t>
    </r>
    <r>
      <rPr>
        <vertAlign val="subscript"/>
        <sz val="11"/>
        <rFont val="Calibri"/>
        <family val="2"/>
        <scheme val="minor"/>
      </rPr>
      <t>KS</t>
    </r>
  </si>
  <si>
    <r>
      <t>K</t>
    </r>
    <r>
      <rPr>
        <vertAlign val="subscript"/>
        <sz val="11"/>
        <rFont val="Calibri"/>
        <family val="2"/>
        <scheme val="minor"/>
      </rPr>
      <t>VFA,AMETO,AS</t>
    </r>
    <r>
      <rPr>
        <sz val="11"/>
        <rFont val="Calibri"/>
        <family val="2"/>
        <scheme val="minor"/>
      </rPr>
      <t>*f</t>
    </r>
    <r>
      <rPr>
        <vertAlign val="subscript"/>
        <sz val="11"/>
        <rFont val="Calibri"/>
        <family val="2"/>
        <scheme val="minor"/>
      </rPr>
      <t>KS</t>
    </r>
  </si>
  <si>
    <r>
      <t>Ki</t>
    </r>
    <r>
      <rPr>
        <vertAlign val="subscript"/>
        <sz val="11"/>
        <rFont val="Calibri"/>
        <family val="2"/>
        <scheme val="minor"/>
      </rPr>
      <t>VFA,AMETO,AS</t>
    </r>
    <r>
      <rPr>
        <sz val="11"/>
        <rFont val="Calibri"/>
        <family val="2"/>
        <scheme val="minor"/>
      </rPr>
      <t>*f</t>
    </r>
    <r>
      <rPr>
        <vertAlign val="subscript"/>
        <sz val="11"/>
        <rFont val="Calibri"/>
        <family val="2"/>
        <scheme val="minor"/>
      </rPr>
      <t>KS</t>
    </r>
  </si>
  <si>
    <r>
      <t>K</t>
    </r>
    <r>
      <rPr>
        <vertAlign val="subscript"/>
        <sz val="11"/>
        <rFont val="Calibri"/>
        <family val="2"/>
        <scheme val="minor"/>
      </rPr>
      <t>NOx,AMETO,AS</t>
    </r>
    <r>
      <rPr>
        <sz val="11"/>
        <rFont val="Calibri"/>
        <family val="2"/>
        <scheme val="minor"/>
      </rPr>
      <t>*f</t>
    </r>
    <r>
      <rPr>
        <vertAlign val="subscript"/>
        <sz val="11"/>
        <rFont val="Calibri"/>
        <family val="2"/>
        <scheme val="minor"/>
      </rPr>
      <t>KS</t>
    </r>
  </si>
  <si>
    <r>
      <t>K</t>
    </r>
    <r>
      <rPr>
        <vertAlign val="subscript"/>
        <sz val="11"/>
        <rFont val="Calibri"/>
        <family val="2"/>
        <scheme val="minor"/>
      </rPr>
      <t>H2,HMETO,AS</t>
    </r>
    <r>
      <rPr>
        <sz val="11"/>
        <rFont val="Calibri"/>
        <family val="2"/>
        <scheme val="minor"/>
      </rPr>
      <t>*f</t>
    </r>
    <r>
      <rPr>
        <vertAlign val="subscript"/>
        <sz val="11"/>
        <rFont val="Calibri"/>
        <family val="2"/>
        <scheme val="minor"/>
      </rPr>
      <t>KS</t>
    </r>
  </si>
  <si>
    <r>
      <t>K</t>
    </r>
    <r>
      <rPr>
        <vertAlign val="subscript"/>
        <sz val="11"/>
        <rFont val="Calibri"/>
        <family val="2"/>
        <scheme val="minor"/>
      </rPr>
      <t>NOx,HMETO,AS</t>
    </r>
    <r>
      <rPr>
        <sz val="11"/>
        <rFont val="Calibri"/>
        <family val="2"/>
        <scheme val="minor"/>
      </rPr>
      <t>*f</t>
    </r>
    <r>
      <rPr>
        <vertAlign val="subscript"/>
        <sz val="11"/>
        <rFont val="Calibri"/>
        <family val="2"/>
        <scheme val="minor"/>
      </rPr>
      <t>KS</t>
    </r>
  </si>
  <si>
    <r>
      <t>K</t>
    </r>
    <r>
      <rPr>
        <vertAlign val="subscript"/>
        <sz val="11"/>
        <rFont val="Calibri"/>
        <family val="2"/>
        <scheme val="minor"/>
      </rPr>
      <t>NHx,BIO,AS</t>
    </r>
    <r>
      <rPr>
        <sz val="11"/>
        <rFont val="Calibri"/>
        <family val="2"/>
        <scheme val="minor"/>
      </rPr>
      <t>*f</t>
    </r>
    <r>
      <rPr>
        <vertAlign val="subscript"/>
        <sz val="11"/>
        <rFont val="Calibri"/>
        <family val="2"/>
        <scheme val="minor"/>
      </rPr>
      <t>KS</t>
    </r>
  </si>
  <si>
    <r>
      <t>K</t>
    </r>
    <r>
      <rPr>
        <vertAlign val="subscript"/>
        <sz val="11"/>
        <rFont val="Calibri"/>
        <family val="2"/>
        <scheme val="minor"/>
      </rPr>
      <t>PO4,BIO,AS</t>
    </r>
    <r>
      <rPr>
        <sz val="11"/>
        <rFont val="Calibri"/>
        <family val="2"/>
        <scheme val="minor"/>
      </rPr>
      <t>*f</t>
    </r>
    <r>
      <rPr>
        <vertAlign val="subscript"/>
        <sz val="11"/>
        <rFont val="Calibri"/>
        <family val="2"/>
        <scheme val="minor"/>
      </rPr>
      <t>KS</t>
    </r>
  </si>
  <si>
    <r>
      <t>K</t>
    </r>
    <r>
      <rPr>
        <vertAlign val="subscript"/>
        <sz val="11"/>
        <rFont val="Calibri"/>
        <family val="2"/>
        <scheme val="minor"/>
      </rPr>
      <t>CO2,BIO,AS</t>
    </r>
    <r>
      <rPr>
        <sz val="11"/>
        <rFont val="Calibri"/>
        <family val="2"/>
        <scheme val="minor"/>
      </rPr>
      <t>*f</t>
    </r>
    <r>
      <rPr>
        <vertAlign val="subscript"/>
        <sz val="11"/>
        <rFont val="Calibri"/>
        <family val="2"/>
        <scheme val="minor"/>
      </rPr>
      <t>KS</t>
    </r>
  </si>
  <si>
    <r>
      <t>K</t>
    </r>
    <r>
      <rPr>
        <vertAlign val="subscript"/>
        <sz val="11"/>
        <rFont val="Calibri"/>
        <family val="2"/>
        <scheme val="minor"/>
      </rPr>
      <t>CAT,AS</t>
    </r>
    <r>
      <rPr>
        <sz val="11"/>
        <rFont val="Calibri"/>
        <family val="2"/>
        <scheme val="minor"/>
      </rPr>
      <t>*f</t>
    </r>
    <r>
      <rPr>
        <vertAlign val="subscript"/>
        <sz val="11"/>
        <rFont val="Calibri"/>
        <family val="2"/>
        <scheme val="minor"/>
      </rPr>
      <t>KS</t>
    </r>
  </si>
  <si>
    <r>
      <t>K</t>
    </r>
    <r>
      <rPr>
        <vertAlign val="subscript"/>
        <sz val="11"/>
        <rFont val="Calibri"/>
        <family val="2"/>
        <scheme val="minor"/>
      </rPr>
      <t>AN,AS</t>
    </r>
    <r>
      <rPr>
        <sz val="11"/>
        <rFont val="Calibri"/>
        <family val="2"/>
        <scheme val="minor"/>
      </rPr>
      <t>*f</t>
    </r>
    <r>
      <rPr>
        <vertAlign val="subscript"/>
        <sz val="11"/>
        <rFont val="Calibri"/>
        <family val="2"/>
        <scheme val="minor"/>
      </rPr>
      <t>KS</t>
    </r>
  </si>
  <si>
    <r>
      <t>K</t>
    </r>
    <r>
      <rPr>
        <vertAlign val="subscript"/>
        <sz val="11"/>
        <rFont val="Calibri"/>
        <family val="2"/>
        <scheme val="minor"/>
      </rPr>
      <t>HYD,AS</t>
    </r>
    <r>
      <rPr>
        <sz val="11"/>
        <rFont val="Calibri"/>
        <family val="2"/>
        <scheme val="minor"/>
      </rPr>
      <t>*f</t>
    </r>
    <r>
      <rPr>
        <vertAlign val="subscript"/>
        <sz val="11"/>
        <rFont val="Calibri"/>
        <family val="2"/>
        <scheme val="minor"/>
      </rPr>
      <t>KS</t>
    </r>
  </si>
  <si>
    <r>
      <t>Ki</t>
    </r>
    <r>
      <rPr>
        <vertAlign val="subscript"/>
        <sz val="11"/>
        <rFont val="Calibri"/>
        <family val="2"/>
        <scheme val="minor"/>
      </rPr>
      <t>NHx,ASSIM,AS</t>
    </r>
    <r>
      <rPr>
        <sz val="11"/>
        <rFont val="Calibri"/>
        <family val="2"/>
        <scheme val="minor"/>
      </rPr>
      <t>*f</t>
    </r>
    <r>
      <rPr>
        <vertAlign val="subscript"/>
        <sz val="11"/>
        <rFont val="Calibri"/>
        <family val="2"/>
        <scheme val="minor"/>
      </rPr>
      <t>KS</t>
    </r>
  </si>
  <si>
    <r>
      <t>K</t>
    </r>
    <r>
      <rPr>
        <vertAlign val="subscript"/>
        <sz val="11"/>
        <rFont val="Calibri"/>
        <family val="2"/>
        <scheme val="minor"/>
      </rPr>
      <t>NO2,ASSIM,AS</t>
    </r>
    <r>
      <rPr>
        <sz val="11"/>
        <rFont val="Calibri"/>
        <family val="2"/>
        <scheme val="minor"/>
      </rPr>
      <t>*f</t>
    </r>
    <r>
      <rPr>
        <vertAlign val="subscript"/>
        <sz val="11"/>
        <rFont val="Calibri"/>
        <family val="2"/>
        <scheme val="minor"/>
      </rPr>
      <t>KS</t>
    </r>
  </si>
  <si>
    <r>
      <t>K</t>
    </r>
    <r>
      <rPr>
        <vertAlign val="subscript"/>
        <sz val="11"/>
        <rFont val="Calibri"/>
        <family val="2"/>
        <scheme val="minor"/>
      </rPr>
      <t>NO3,ASSIM,AS</t>
    </r>
    <r>
      <rPr>
        <sz val="11"/>
        <rFont val="Calibri"/>
        <family val="2"/>
        <scheme val="minor"/>
      </rPr>
      <t>*f</t>
    </r>
    <r>
      <rPr>
        <vertAlign val="subscript"/>
        <sz val="11"/>
        <rFont val="Calibri"/>
        <family val="2"/>
        <scheme val="minor"/>
      </rPr>
      <t>KS</t>
    </r>
  </si>
  <si>
    <t>fKS=1 in bulk and fKS,biofilm in biofilm</t>
  </si>
  <si>
    <r>
      <t>S</t>
    </r>
    <r>
      <rPr>
        <vertAlign val="subscript"/>
        <sz val="11"/>
        <rFont val="Calibri"/>
        <family val="2"/>
        <scheme val="minor"/>
      </rPr>
      <t>KN</t>
    </r>
  </si>
  <si>
    <t>Soluble Kjeldahl nitrogen (SKN)</t>
  </si>
  <si>
    <r>
      <t>S</t>
    </r>
    <r>
      <rPr>
        <vertAlign val="subscript"/>
        <sz val="11"/>
        <rFont val="Calibri"/>
        <family val="2"/>
        <scheme val="minor"/>
      </rPr>
      <t>NHx</t>
    </r>
    <r>
      <rPr>
        <sz val="11"/>
        <rFont val="Calibri"/>
        <family val="2"/>
        <scheme val="minor"/>
      </rPr>
      <t xml:space="preserve"> + S</t>
    </r>
    <r>
      <rPr>
        <vertAlign val="subscript"/>
        <sz val="11"/>
        <rFont val="Calibri"/>
        <family val="2"/>
        <scheme val="minor"/>
      </rPr>
      <t>N,B</t>
    </r>
    <r>
      <rPr>
        <sz val="11"/>
        <rFont val="Calibri"/>
        <family val="2"/>
        <scheme val="minor"/>
      </rPr>
      <t xml:space="preserve"> + i</t>
    </r>
    <r>
      <rPr>
        <vertAlign val="subscript"/>
        <sz val="11"/>
        <rFont val="Calibri"/>
        <family val="2"/>
        <scheme val="minor"/>
      </rPr>
      <t>N,CB</t>
    </r>
    <r>
      <rPr>
        <sz val="11"/>
        <rFont val="Calibri"/>
        <family val="2"/>
        <scheme val="minor"/>
      </rPr>
      <t>*C</t>
    </r>
    <r>
      <rPr>
        <vertAlign val="subscript"/>
        <sz val="11"/>
        <rFont val="Calibri"/>
        <family val="2"/>
        <scheme val="minor"/>
      </rPr>
      <t>B</t>
    </r>
    <r>
      <rPr>
        <sz val="11"/>
        <rFont val="Calibri"/>
        <family val="2"/>
        <scheme val="minor"/>
      </rPr>
      <t xml:space="preserve"> + i</t>
    </r>
    <r>
      <rPr>
        <vertAlign val="subscript"/>
        <sz val="11"/>
        <rFont val="Calibri"/>
        <family val="2"/>
        <scheme val="minor"/>
      </rPr>
      <t>N,SU</t>
    </r>
    <r>
      <rPr>
        <sz val="11"/>
        <rFont val="Calibri"/>
        <family val="2"/>
        <scheme val="minor"/>
      </rPr>
      <t>*S</t>
    </r>
    <r>
      <rPr>
        <vertAlign val="subscript"/>
        <sz val="11"/>
        <rFont val="Calibri"/>
        <family val="2"/>
        <scheme val="minor"/>
      </rPr>
      <t>U</t>
    </r>
    <r>
      <rPr>
        <sz val="11"/>
        <rFont val="Calibri"/>
        <family val="2"/>
        <scheme val="minor"/>
      </rPr>
      <t xml:space="preserve"> +i</t>
    </r>
    <r>
      <rPr>
        <vertAlign val="subscript"/>
        <sz val="11"/>
        <rFont val="Calibri"/>
        <family val="2"/>
        <scheme val="minor"/>
      </rPr>
      <t>N,CU</t>
    </r>
    <r>
      <rPr>
        <sz val="11"/>
        <rFont val="Calibri"/>
        <family val="2"/>
        <scheme val="minor"/>
      </rPr>
      <t>*C</t>
    </r>
    <r>
      <rPr>
        <vertAlign val="subscript"/>
        <sz val="11"/>
        <rFont val="Calibri"/>
        <family val="2"/>
        <scheme val="minor"/>
      </rPr>
      <t>U</t>
    </r>
  </si>
  <si>
    <r>
      <t>S</t>
    </r>
    <r>
      <rPr>
        <vertAlign val="subscript"/>
        <sz val="11"/>
        <rFont val="Calibri"/>
        <family val="2"/>
        <scheme val="minor"/>
      </rPr>
      <t>P</t>
    </r>
  </si>
  <si>
    <t>Soluble phosphorus</t>
  </si>
  <si>
    <r>
      <t>S</t>
    </r>
    <r>
      <rPr>
        <vertAlign val="subscript"/>
        <sz val="11"/>
        <rFont val="Calibri"/>
        <family val="2"/>
        <scheme val="minor"/>
      </rPr>
      <t>PO4</t>
    </r>
    <r>
      <rPr>
        <sz val="11"/>
        <rFont val="Calibri"/>
        <family val="2"/>
        <scheme val="minor"/>
      </rPr>
      <t xml:space="preserve"> + S</t>
    </r>
    <r>
      <rPr>
        <vertAlign val="subscript"/>
        <sz val="11"/>
        <rFont val="Calibri"/>
        <family val="2"/>
        <scheme val="minor"/>
      </rPr>
      <t>P,B</t>
    </r>
    <r>
      <rPr>
        <sz val="11"/>
        <rFont val="Calibri"/>
        <family val="2"/>
        <scheme val="minor"/>
      </rPr>
      <t xml:space="preserve"> + i</t>
    </r>
    <r>
      <rPr>
        <vertAlign val="subscript"/>
        <sz val="11"/>
        <rFont val="Calibri"/>
        <family val="2"/>
        <scheme val="minor"/>
      </rPr>
      <t>P,CB</t>
    </r>
    <r>
      <rPr>
        <sz val="11"/>
        <rFont val="Calibri"/>
        <family val="2"/>
        <scheme val="minor"/>
      </rPr>
      <t>*C</t>
    </r>
    <r>
      <rPr>
        <vertAlign val="subscript"/>
        <sz val="11"/>
        <rFont val="Calibri"/>
        <family val="2"/>
        <scheme val="minor"/>
      </rPr>
      <t>B</t>
    </r>
    <r>
      <rPr>
        <sz val="11"/>
        <rFont val="Calibri"/>
        <family val="2"/>
        <scheme val="minor"/>
      </rPr>
      <t xml:space="preserve"> + i</t>
    </r>
    <r>
      <rPr>
        <vertAlign val="subscript"/>
        <sz val="11"/>
        <rFont val="Calibri"/>
        <family val="2"/>
        <scheme val="minor"/>
      </rPr>
      <t>P,SU</t>
    </r>
    <r>
      <rPr>
        <sz val="11"/>
        <rFont val="Calibri"/>
        <family val="2"/>
        <scheme val="minor"/>
      </rPr>
      <t>*S</t>
    </r>
    <r>
      <rPr>
        <vertAlign val="subscript"/>
        <sz val="11"/>
        <rFont val="Calibri"/>
        <family val="2"/>
        <scheme val="minor"/>
      </rPr>
      <t>U</t>
    </r>
    <r>
      <rPr>
        <sz val="11"/>
        <rFont val="Calibri"/>
        <family val="2"/>
        <scheme val="minor"/>
      </rPr>
      <t xml:space="preserve"> + i</t>
    </r>
    <r>
      <rPr>
        <vertAlign val="subscript"/>
        <sz val="11"/>
        <rFont val="Calibri"/>
        <family val="2"/>
        <scheme val="minor"/>
      </rPr>
      <t>P,CU</t>
    </r>
    <r>
      <rPr>
        <sz val="11"/>
        <rFont val="Calibri"/>
        <family val="2"/>
        <scheme val="minor"/>
      </rPr>
      <t>*C</t>
    </r>
    <r>
      <rPr>
        <vertAlign val="subscript"/>
        <sz val="11"/>
        <rFont val="Calibri"/>
        <family val="2"/>
        <scheme val="minor"/>
      </rPr>
      <t>U</t>
    </r>
  </si>
  <si>
    <r>
      <t>Ki</t>
    </r>
    <r>
      <rPr>
        <vertAlign val="subscript"/>
        <sz val="11"/>
        <rFont val="Calibri"/>
        <family val="2"/>
        <scheme val="minor"/>
      </rPr>
      <t>O2,MEOLO,AS</t>
    </r>
  </si>
  <si>
    <r>
      <t>Half-inhibition of O</t>
    </r>
    <r>
      <rPr>
        <vertAlign val="subscript"/>
        <sz val="11"/>
        <color rgb="FF000000"/>
        <rFont val="Calibri"/>
        <family val="2"/>
        <scheme val="minor"/>
      </rPr>
      <t>2</t>
    </r>
    <r>
      <rPr>
        <sz val="11"/>
        <color rgb="FF000000"/>
        <rFont val="Calibri"/>
        <family val="2"/>
        <charset val="238"/>
        <scheme val="minor"/>
      </rPr>
      <t xml:space="preserve"> for MEOLOs (AS)</t>
    </r>
  </si>
  <si>
    <r>
      <t>Ki</t>
    </r>
    <r>
      <rPr>
        <vertAlign val="subscript"/>
        <sz val="11"/>
        <rFont val="Calibri"/>
        <family val="2"/>
        <scheme val="minor"/>
      </rPr>
      <t>O2,AMETO,AS</t>
    </r>
  </si>
  <si>
    <r>
      <t>Half-inhibition of O</t>
    </r>
    <r>
      <rPr>
        <vertAlign val="subscript"/>
        <sz val="11"/>
        <color rgb="FF000000"/>
        <rFont val="Calibri"/>
        <family val="2"/>
        <scheme val="minor"/>
      </rPr>
      <t>2</t>
    </r>
    <r>
      <rPr>
        <sz val="11"/>
        <color rgb="FF000000"/>
        <rFont val="Calibri"/>
        <family val="2"/>
        <charset val="238"/>
        <scheme val="minor"/>
      </rPr>
      <t xml:space="preserve"> for AMETOs (AS)</t>
    </r>
  </si>
  <si>
    <r>
      <t>Half-inhibition of O</t>
    </r>
    <r>
      <rPr>
        <vertAlign val="subscript"/>
        <sz val="11"/>
        <color rgb="FF000000"/>
        <rFont val="Calibri"/>
        <family val="2"/>
        <scheme val="minor"/>
      </rPr>
      <t>2</t>
    </r>
    <r>
      <rPr>
        <sz val="11"/>
        <color rgb="FF000000"/>
        <rFont val="Calibri"/>
        <family val="2"/>
        <charset val="238"/>
        <scheme val="minor"/>
      </rPr>
      <t xml:space="preserve"> for HMETOs (AS)</t>
    </r>
  </si>
  <si>
    <r>
      <t>Ki</t>
    </r>
    <r>
      <rPr>
        <vertAlign val="subscript"/>
        <sz val="11"/>
        <color indexed="8"/>
        <rFont val="Calibri"/>
        <family val="2"/>
        <scheme val="minor"/>
      </rPr>
      <t>O2,HMETO,AS</t>
    </r>
  </si>
  <si>
    <r>
      <t>mV</t>
    </r>
    <r>
      <rPr>
        <vertAlign val="superscript"/>
        <sz val="11"/>
        <rFont val="Calibri"/>
        <family val="2"/>
        <scheme val="minor"/>
      </rPr>
      <t>-1</t>
    </r>
  </si>
  <si>
    <r>
      <t>Ki</t>
    </r>
    <r>
      <rPr>
        <vertAlign val="subscript"/>
        <sz val="11"/>
        <rFont val="Calibri"/>
        <family val="2"/>
        <scheme val="minor"/>
      </rPr>
      <t>O2,MEOLO</t>
    </r>
  </si>
  <si>
    <r>
      <t>Half-inhibition of O</t>
    </r>
    <r>
      <rPr>
        <vertAlign val="subscript"/>
        <sz val="11"/>
        <color rgb="FF000000"/>
        <rFont val="Calibri"/>
        <family val="2"/>
        <scheme val="minor"/>
      </rPr>
      <t>2</t>
    </r>
    <r>
      <rPr>
        <sz val="11"/>
        <color rgb="FF000000"/>
        <rFont val="Calibri"/>
        <family val="2"/>
        <charset val="238"/>
        <scheme val="minor"/>
      </rPr>
      <t xml:space="preserve"> for MEOLOs</t>
    </r>
  </si>
  <si>
    <r>
      <t>Ki</t>
    </r>
    <r>
      <rPr>
        <vertAlign val="subscript"/>
        <sz val="11"/>
        <rFont val="Calibri"/>
        <family val="2"/>
        <scheme val="minor"/>
      </rPr>
      <t>O2,MEOLO,AS</t>
    </r>
    <r>
      <rPr>
        <sz val="11"/>
        <rFont val="Calibri"/>
        <family val="2"/>
        <scheme val="minor"/>
      </rPr>
      <t>*f</t>
    </r>
    <r>
      <rPr>
        <vertAlign val="subscript"/>
        <sz val="11"/>
        <rFont val="Calibri"/>
        <family val="2"/>
        <scheme val="minor"/>
      </rPr>
      <t>KS</t>
    </r>
  </si>
  <si>
    <r>
      <t>Ki</t>
    </r>
    <r>
      <rPr>
        <vertAlign val="subscript"/>
        <sz val="11"/>
        <rFont val="Calibri"/>
        <family val="2"/>
        <scheme val="minor"/>
      </rPr>
      <t>O2,AMETO</t>
    </r>
  </si>
  <si>
    <r>
      <t>Half-inhibition of O</t>
    </r>
    <r>
      <rPr>
        <vertAlign val="subscript"/>
        <sz val="11"/>
        <color rgb="FF000000"/>
        <rFont val="Calibri"/>
        <family val="2"/>
        <scheme val="minor"/>
      </rPr>
      <t>2</t>
    </r>
    <r>
      <rPr>
        <sz val="11"/>
        <color rgb="FF000000"/>
        <rFont val="Calibri"/>
        <family val="2"/>
        <charset val="238"/>
        <scheme val="minor"/>
      </rPr>
      <t xml:space="preserve"> for AMETOs</t>
    </r>
  </si>
  <si>
    <r>
      <t>Ki</t>
    </r>
    <r>
      <rPr>
        <vertAlign val="subscript"/>
        <sz val="11"/>
        <rFont val="Calibri"/>
        <family val="2"/>
        <scheme val="minor"/>
      </rPr>
      <t>O2,AMETO,AS</t>
    </r>
    <r>
      <rPr>
        <sz val="11"/>
        <rFont val="Calibri"/>
        <family val="2"/>
        <scheme val="minor"/>
      </rPr>
      <t>*f</t>
    </r>
    <r>
      <rPr>
        <vertAlign val="subscript"/>
        <sz val="11"/>
        <rFont val="Calibri"/>
        <family val="2"/>
        <scheme val="minor"/>
      </rPr>
      <t>KS</t>
    </r>
  </si>
  <si>
    <r>
      <t>Ki</t>
    </r>
    <r>
      <rPr>
        <vertAlign val="subscript"/>
        <sz val="11"/>
        <rFont val="Calibri"/>
        <family val="2"/>
        <scheme val="minor"/>
      </rPr>
      <t>O2,HMETO</t>
    </r>
  </si>
  <si>
    <r>
      <t>Half-inhibition of O</t>
    </r>
    <r>
      <rPr>
        <vertAlign val="subscript"/>
        <sz val="11"/>
        <color rgb="FF000000"/>
        <rFont val="Calibri"/>
        <family val="2"/>
        <scheme val="minor"/>
      </rPr>
      <t>2</t>
    </r>
    <r>
      <rPr>
        <sz val="11"/>
        <color rgb="FF000000"/>
        <rFont val="Calibri"/>
        <family val="2"/>
        <charset val="238"/>
        <scheme val="minor"/>
      </rPr>
      <t xml:space="preserve"> for HMETOs</t>
    </r>
  </si>
  <si>
    <r>
      <t>Ki</t>
    </r>
    <r>
      <rPr>
        <vertAlign val="subscript"/>
        <sz val="11"/>
        <rFont val="Calibri"/>
        <family val="2"/>
        <scheme val="minor"/>
      </rPr>
      <t>O2,HMETO,AS</t>
    </r>
  </si>
  <si>
    <r>
      <t>Ki</t>
    </r>
    <r>
      <rPr>
        <vertAlign val="subscript"/>
        <sz val="11"/>
        <rFont val="Calibri"/>
        <family val="2"/>
        <scheme val="minor"/>
      </rPr>
      <t>O2,HMETO,AS</t>
    </r>
    <r>
      <rPr>
        <sz val="11"/>
        <rFont val="Calibri"/>
        <family val="2"/>
        <scheme val="minor"/>
      </rPr>
      <t>*f</t>
    </r>
    <r>
      <rPr>
        <vertAlign val="subscript"/>
        <sz val="11"/>
        <rFont val="Calibri"/>
        <family val="2"/>
        <scheme val="minor"/>
      </rPr>
      <t>KS</t>
    </r>
  </si>
  <si>
    <r>
      <t>Minh</t>
    </r>
    <r>
      <rPr>
        <vertAlign val="subscript"/>
        <sz val="11"/>
        <rFont val="Calibri"/>
        <family val="2"/>
        <scheme val="minor"/>
      </rPr>
      <t>SO2,KiO2,MEOLO</t>
    </r>
  </si>
  <si>
    <r>
      <t>Minh(S</t>
    </r>
    <r>
      <rPr>
        <vertAlign val="subscript"/>
        <sz val="11"/>
        <rFont val="Calibri"/>
        <family val="2"/>
        <scheme val="minor"/>
      </rPr>
      <t>O2</t>
    </r>
    <r>
      <rPr>
        <sz val="11"/>
        <rFont val="Calibri"/>
        <family val="2"/>
        <scheme val="minor"/>
      </rPr>
      <t>;Ki</t>
    </r>
    <r>
      <rPr>
        <vertAlign val="subscript"/>
        <sz val="11"/>
        <rFont val="Calibri"/>
        <family val="2"/>
        <scheme val="minor"/>
      </rPr>
      <t>O2,MEOLO</t>
    </r>
    <r>
      <rPr>
        <sz val="11"/>
        <rFont val="Calibri"/>
        <family val="2"/>
        <scheme val="minor"/>
      </rPr>
      <t>)</t>
    </r>
  </si>
  <si>
    <r>
      <t>Minh</t>
    </r>
    <r>
      <rPr>
        <vertAlign val="subscript"/>
        <sz val="11"/>
        <rFont val="Calibri"/>
        <family val="2"/>
        <scheme val="minor"/>
      </rPr>
      <t>SO2,KiO2,AMETO</t>
    </r>
  </si>
  <si>
    <r>
      <t>Minh(S</t>
    </r>
    <r>
      <rPr>
        <vertAlign val="subscript"/>
        <sz val="11"/>
        <rFont val="Calibri"/>
        <family val="2"/>
        <scheme val="minor"/>
      </rPr>
      <t>O2</t>
    </r>
    <r>
      <rPr>
        <sz val="11"/>
        <rFont val="Calibri"/>
        <family val="2"/>
        <scheme val="minor"/>
      </rPr>
      <t>;Ki</t>
    </r>
    <r>
      <rPr>
        <vertAlign val="subscript"/>
        <sz val="11"/>
        <rFont val="Calibri"/>
        <family val="2"/>
        <scheme val="minor"/>
      </rPr>
      <t>O2,AMETO</t>
    </r>
    <r>
      <rPr>
        <sz val="11"/>
        <rFont val="Calibri"/>
        <family val="2"/>
        <scheme val="minor"/>
      </rPr>
      <t>)</t>
    </r>
  </si>
  <si>
    <r>
      <t>Minh</t>
    </r>
    <r>
      <rPr>
        <vertAlign val="subscript"/>
        <sz val="11"/>
        <rFont val="Calibri"/>
        <family val="2"/>
        <scheme val="minor"/>
      </rPr>
      <t>SO2,KiO2,HMETO</t>
    </r>
  </si>
  <si>
    <r>
      <t>Minh(S</t>
    </r>
    <r>
      <rPr>
        <vertAlign val="subscript"/>
        <sz val="11"/>
        <rFont val="Calibri"/>
        <family val="2"/>
        <scheme val="minor"/>
      </rPr>
      <t>O2</t>
    </r>
    <r>
      <rPr>
        <sz val="11"/>
        <rFont val="Calibri"/>
        <family val="2"/>
        <scheme val="minor"/>
      </rPr>
      <t>;Ki</t>
    </r>
    <r>
      <rPr>
        <vertAlign val="subscript"/>
        <sz val="11"/>
        <rFont val="Calibri"/>
        <family val="2"/>
        <scheme val="minor"/>
      </rPr>
      <t>O2,HMETO</t>
    </r>
    <r>
      <rPr>
        <sz val="11"/>
        <rFont val="Calibri"/>
        <family val="2"/>
        <scheme val="minor"/>
      </rPr>
      <t>)</t>
    </r>
  </si>
  <si>
    <r>
      <t>b</t>
    </r>
    <r>
      <rPr>
        <vertAlign val="subscript"/>
        <sz val="11"/>
        <rFont val="Calibri"/>
        <family val="2"/>
      </rPr>
      <t>MEOLO,T</t>
    </r>
    <r>
      <rPr>
        <sz val="11"/>
        <rFont val="Calibri"/>
        <family val="2"/>
      </rPr>
      <t>*X</t>
    </r>
    <r>
      <rPr>
        <vertAlign val="subscript"/>
        <sz val="11"/>
        <rFont val="Calibri"/>
        <family val="2"/>
      </rPr>
      <t>MEOLO</t>
    </r>
    <r>
      <rPr>
        <sz val="11"/>
        <rFont val="Calibri"/>
        <family val="2"/>
      </rPr>
      <t>*(η</t>
    </r>
    <r>
      <rPr>
        <vertAlign val="subscript"/>
        <sz val="11"/>
        <rFont val="Calibri"/>
        <family val="2"/>
      </rPr>
      <t>b,ana</t>
    </r>
    <r>
      <rPr>
        <sz val="11"/>
        <rFont val="Calibri"/>
        <family val="2"/>
      </rPr>
      <t>*Minh</t>
    </r>
    <r>
      <rPr>
        <vertAlign val="subscript"/>
        <sz val="11"/>
        <rFont val="Calibri"/>
        <family val="2"/>
      </rPr>
      <t>SNO2,KNO2,MEOLO</t>
    </r>
    <r>
      <rPr>
        <sz val="11"/>
        <rFont val="Calibri"/>
        <family val="2"/>
      </rPr>
      <t>*Minh</t>
    </r>
    <r>
      <rPr>
        <vertAlign val="subscript"/>
        <sz val="11"/>
        <rFont val="Calibri"/>
        <family val="2"/>
      </rPr>
      <t>SNO3,KNO3,MEOLO</t>
    </r>
    <r>
      <rPr>
        <sz val="11"/>
        <rFont val="Calibri"/>
        <family val="2"/>
      </rPr>
      <t>*Minh</t>
    </r>
    <r>
      <rPr>
        <vertAlign val="subscript"/>
        <sz val="11"/>
        <rFont val="Calibri"/>
        <family val="2"/>
      </rPr>
      <t>SO2,KiO2,MEOLO</t>
    </r>
    <r>
      <rPr>
        <sz val="11"/>
        <rFont val="Calibri"/>
        <family val="2"/>
      </rPr>
      <t>+m</t>
    </r>
    <r>
      <rPr>
        <vertAlign val="subscript"/>
        <sz val="11"/>
        <rFont val="Calibri"/>
        <family val="2"/>
      </rPr>
      <t>tox,ana</t>
    </r>
    <r>
      <rPr>
        <sz val="11"/>
        <rFont val="Calibri"/>
        <family val="2"/>
      </rPr>
      <t>)</t>
    </r>
  </si>
  <si>
    <r>
      <t>b</t>
    </r>
    <r>
      <rPr>
        <vertAlign val="subscript"/>
        <sz val="11"/>
        <rFont val="Calibri"/>
        <family val="2"/>
      </rPr>
      <t>AMETO,T</t>
    </r>
    <r>
      <rPr>
        <sz val="11"/>
        <rFont val="Calibri"/>
        <family val="2"/>
      </rPr>
      <t>*X</t>
    </r>
    <r>
      <rPr>
        <vertAlign val="subscript"/>
        <sz val="11"/>
        <rFont val="Calibri"/>
        <family val="2"/>
      </rPr>
      <t>AMETO</t>
    </r>
    <r>
      <rPr>
        <sz val="11"/>
        <rFont val="Calibri"/>
        <family val="2"/>
      </rPr>
      <t>*(m</t>
    </r>
    <r>
      <rPr>
        <i/>
        <vertAlign val="subscript"/>
        <sz val="11"/>
        <rFont val="Calibri"/>
        <family val="2"/>
      </rPr>
      <t>tox,aer</t>
    </r>
    <r>
      <rPr>
        <sz val="11"/>
        <rFont val="Calibri"/>
        <family val="2"/>
      </rPr>
      <t>*Msat</t>
    </r>
    <r>
      <rPr>
        <vertAlign val="subscript"/>
        <sz val="11"/>
        <rFont val="Calibri"/>
        <family val="2"/>
      </rPr>
      <t>SO2,KiO2,AMETO</t>
    </r>
    <r>
      <rPr>
        <sz val="11"/>
        <rFont val="Calibri"/>
        <family val="2"/>
      </rPr>
      <t>+m</t>
    </r>
    <r>
      <rPr>
        <vertAlign val="subscript"/>
        <sz val="11"/>
        <rFont val="Calibri"/>
        <family val="2"/>
      </rPr>
      <t>tox,anox</t>
    </r>
    <r>
      <rPr>
        <sz val="11"/>
        <rFont val="Calibri"/>
        <family val="2"/>
      </rPr>
      <t>*Msat</t>
    </r>
    <r>
      <rPr>
        <vertAlign val="subscript"/>
        <sz val="11"/>
        <rFont val="Calibri"/>
        <family val="2"/>
      </rPr>
      <t>SNOx,KNO3,AMETO</t>
    </r>
    <r>
      <rPr>
        <sz val="11"/>
        <rFont val="Calibri"/>
        <family val="2"/>
      </rPr>
      <t>*Minh</t>
    </r>
    <r>
      <rPr>
        <vertAlign val="subscript"/>
        <sz val="11"/>
        <rFont val="Calibri"/>
        <family val="2"/>
      </rPr>
      <t>SO2,KiO2,AMETO</t>
    </r>
    <r>
      <rPr>
        <sz val="11"/>
        <rFont val="Calibri"/>
        <family val="2"/>
      </rPr>
      <t>)</t>
    </r>
  </si>
  <si>
    <r>
      <t>b</t>
    </r>
    <r>
      <rPr>
        <vertAlign val="subscript"/>
        <sz val="11"/>
        <rFont val="Calibri"/>
        <family val="2"/>
      </rPr>
      <t>AMETO,T</t>
    </r>
    <r>
      <rPr>
        <sz val="11"/>
        <rFont val="Calibri"/>
        <family val="2"/>
      </rPr>
      <t>*X</t>
    </r>
    <r>
      <rPr>
        <vertAlign val="subscript"/>
        <sz val="11"/>
        <rFont val="Calibri"/>
        <family val="2"/>
      </rPr>
      <t>AMETO</t>
    </r>
    <r>
      <rPr>
        <sz val="11"/>
        <rFont val="Calibri"/>
        <family val="2"/>
      </rPr>
      <t>*Minh</t>
    </r>
    <r>
      <rPr>
        <vertAlign val="subscript"/>
        <sz val="11"/>
        <rFont val="Calibri"/>
        <family val="2"/>
      </rPr>
      <t>SNOx,KNO3,AMETO</t>
    </r>
    <r>
      <rPr>
        <sz val="11"/>
        <rFont val="Calibri"/>
        <family val="2"/>
      </rPr>
      <t>*Minh</t>
    </r>
    <r>
      <rPr>
        <vertAlign val="subscript"/>
        <sz val="11"/>
        <rFont val="Calibri"/>
        <family val="2"/>
      </rPr>
      <t>SO2,KiO2,AMETO</t>
    </r>
  </si>
  <si>
    <r>
      <t>b</t>
    </r>
    <r>
      <rPr>
        <vertAlign val="subscript"/>
        <sz val="11"/>
        <rFont val="Calibri"/>
        <family val="2"/>
      </rPr>
      <t>HMETO,T</t>
    </r>
    <r>
      <rPr>
        <sz val="11"/>
        <rFont val="Calibri"/>
        <family val="2"/>
      </rPr>
      <t>*X</t>
    </r>
    <r>
      <rPr>
        <vertAlign val="subscript"/>
        <sz val="11"/>
        <rFont val="Calibri"/>
        <family val="2"/>
      </rPr>
      <t>HMETO</t>
    </r>
    <r>
      <rPr>
        <sz val="11"/>
        <rFont val="Calibri"/>
        <family val="2"/>
      </rPr>
      <t>*(Minh</t>
    </r>
    <r>
      <rPr>
        <vertAlign val="subscript"/>
        <sz val="11"/>
        <rFont val="Calibri"/>
        <family val="2"/>
      </rPr>
      <t>SNOx,KNO3,HMETO</t>
    </r>
    <r>
      <rPr>
        <sz val="11"/>
        <rFont val="Calibri"/>
        <family val="2"/>
      </rPr>
      <t>*Minh</t>
    </r>
    <r>
      <rPr>
        <vertAlign val="subscript"/>
        <sz val="11"/>
        <rFont val="Calibri"/>
        <family val="2"/>
      </rPr>
      <t>SO2,KiO2,HMETO</t>
    </r>
    <r>
      <rPr>
        <sz val="11"/>
        <rFont val="Calibri"/>
        <family val="2"/>
      </rPr>
      <t>)</t>
    </r>
  </si>
  <si>
    <r>
      <t>Ki</t>
    </r>
    <r>
      <rPr>
        <vertAlign val="subscript"/>
        <sz val="11"/>
        <rFont val="Calibri"/>
        <family val="2"/>
        <scheme val="minor"/>
      </rPr>
      <t>O2,AMX</t>
    </r>
  </si>
  <si>
    <r>
      <t>Half-inhibition of O</t>
    </r>
    <r>
      <rPr>
        <vertAlign val="subscript"/>
        <sz val="11"/>
        <color rgb="FF000000"/>
        <rFont val="Calibri"/>
        <family val="2"/>
        <scheme val="minor"/>
      </rPr>
      <t>2</t>
    </r>
    <r>
      <rPr>
        <sz val="11"/>
        <color rgb="FF000000"/>
        <rFont val="Calibri"/>
        <family val="2"/>
        <charset val="238"/>
        <scheme val="minor"/>
      </rPr>
      <t xml:space="preserve"> for AMX</t>
    </r>
  </si>
  <si>
    <r>
      <t>Ki</t>
    </r>
    <r>
      <rPr>
        <vertAlign val="subscript"/>
        <sz val="11"/>
        <rFont val="Calibri"/>
        <family val="2"/>
      </rPr>
      <t>O2,AMX,AS</t>
    </r>
  </si>
  <si>
    <r>
      <t>Ki</t>
    </r>
    <r>
      <rPr>
        <vertAlign val="subscript"/>
        <sz val="11"/>
        <rFont val="Calibri"/>
        <family val="2"/>
      </rPr>
      <t>O2,AMX,AS</t>
    </r>
    <r>
      <rPr>
        <sz val="11"/>
        <rFont val="Calibri"/>
        <family val="2"/>
      </rPr>
      <t>*f</t>
    </r>
    <r>
      <rPr>
        <vertAlign val="subscript"/>
        <sz val="11"/>
        <rFont val="Calibri"/>
        <family val="2"/>
      </rPr>
      <t>KS</t>
    </r>
  </si>
  <si>
    <r>
      <t>Minh</t>
    </r>
    <r>
      <rPr>
        <vertAlign val="subscript"/>
        <sz val="11"/>
        <rFont val="Calibri"/>
        <family val="2"/>
      </rPr>
      <t>SO2,KiO2,AMX</t>
    </r>
  </si>
  <si>
    <r>
      <t>Msat</t>
    </r>
    <r>
      <rPr>
        <vertAlign val="subscript"/>
        <sz val="11"/>
        <rFont val="Calibri"/>
        <family val="2"/>
      </rPr>
      <t>SO2,KiO2,AMX</t>
    </r>
  </si>
  <si>
    <r>
      <t>Msat(S</t>
    </r>
    <r>
      <rPr>
        <vertAlign val="subscript"/>
        <sz val="11"/>
        <rFont val="Calibri"/>
        <family val="2"/>
      </rPr>
      <t>O2</t>
    </r>
    <r>
      <rPr>
        <sz val="11"/>
        <rFont val="Calibri"/>
        <family val="2"/>
      </rPr>
      <t>;Ki</t>
    </r>
    <r>
      <rPr>
        <vertAlign val="subscript"/>
        <sz val="11"/>
        <rFont val="Calibri"/>
        <family val="2"/>
      </rPr>
      <t>O2,AMX</t>
    </r>
    <r>
      <rPr>
        <sz val="11"/>
        <rFont val="Calibri"/>
        <family val="2"/>
      </rPr>
      <t>)</t>
    </r>
  </si>
  <si>
    <r>
      <t>Minh(S</t>
    </r>
    <r>
      <rPr>
        <vertAlign val="subscript"/>
        <sz val="11"/>
        <rFont val="Calibri"/>
        <family val="2"/>
      </rPr>
      <t>O2</t>
    </r>
    <r>
      <rPr>
        <sz val="11"/>
        <rFont val="Calibri"/>
        <family val="2"/>
      </rPr>
      <t>;Ki</t>
    </r>
    <r>
      <rPr>
        <vertAlign val="subscript"/>
        <sz val="11"/>
        <rFont val="Calibri"/>
        <family val="2"/>
      </rPr>
      <t>O2,AMX</t>
    </r>
    <r>
      <rPr>
        <sz val="11"/>
        <rFont val="Calibri"/>
        <family val="2"/>
      </rPr>
      <t>)</t>
    </r>
  </si>
  <si>
    <r>
      <t>Msat</t>
    </r>
    <r>
      <rPr>
        <vertAlign val="subscript"/>
        <sz val="11"/>
        <rFont val="Calibri"/>
        <family val="2"/>
        <scheme val="minor"/>
      </rPr>
      <t>SO2,KiO2,AMETO</t>
    </r>
  </si>
  <si>
    <r>
      <t>Msat(S</t>
    </r>
    <r>
      <rPr>
        <vertAlign val="subscript"/>
        <sz val="11"/>
        <rFont val="Calibri"/>
        <family val="2"/>
        <scheme val="minor"/>
      </rPr>
      <t>O2</t>
    </r>
    <r>
      <rPr>
        <sz val="11"/>
        <rFont val="Calibri"/>
        <family val="2"/>
        <scheme val="minor"/>
      </rPr>
      <t>;Ki</t>
    </r>
    <r>
      <rPr>
        <vertAlign val="subscript"/>
        <sz val="11"/>
        <rFont val="Calibri"/>
        <family val="2"/>
        <scheme val="minor"/>
      </rPr>
      <t>O2,AMETO</t>
    </r>
    <r>
      <rPr>
        <sz val="11"/>
        <rFont val="Calibri"/>
        <family val="2"/>
        <scheme val="minor"/>
      </rPr>
      <t>)</t>
    </r>
  </si>
  <si>
    <r>
      <t>Msat(S</t>
    </r>
    <r>
      <rPr>
        <vertAlign val="subscript"/>
        <sz val="11"/>
        <rFont val="Calibri"/>
        <family val="2"/>
        <scheme val="minor"/>
      </rPr>
      <t>O2</t>
    </r>
    <r>
      <rPr>
        <sz val="11"/>
        <rFont val="Calibri"/>
        <family val="2"/>
        <scheme val="minor"/>
      </rPr>
      <t>;Ki</t>
    </r>
    <r>
      <rPr>
        <vertAlign val="subscript"/>
        <sz val="11"/>
        <rFont val="Calibri"/>
        <family val="2"/>
        <scheme val="minor"/>
      </rPr>
      <t>O2,HMETO</t>
    </r>
    <r>
      <rPr>
        <sz val="11"/>
        <rFont val="Calibri"/>
        <family val="2"/>
        <scheme val="minor"/>
      </rPr>
      <t>)</t>
    </r>
  </si>
  <si>
    <r>
      <t>Msat</t>
    </r>
    <r>
      <rPr>
        <vertAlign val="subscript"/>
        <sz val="11"/>
        <rFont val="Calibri"/>
        <family val="2"/>
        <scheme val="minor"/>
      </rPr>
      <t>SO2,KiO2,HMETO</t>
    </r>
  </si>
  <si>
    <r>
      <t>Ki</t>
    </r>
    <r>
      <rPr>
        <vertAlign val="subscript"/>
        <sz val="11"/>
        <color indexed="8"/>
        <rFont val="Calibri"/>
        <family val="2"/>
        <scheme val="minor"/>
      </rPr>
      <t>O2,AMX,AS</t>
    </r>
  </si>
  <si>
    <t>Half-inhibition of O2 for AMX (AS)</t>
  </si>
  <si>
    <t>unused</t>
  </si>
  <si>
    <r>
      <t>Msat</t>
    </r>
    <r>
      <rPr>
        <vertAlign val="subscript"/>
        <sz val="11"/>
        <rFont val="Calibri"/>
        <family val="2"/>
        <scheme val="minor"/>
      </rPr>
      <t>SO2,KiO2,MEOLO</t>
    </r>
  </si>
  <si>
    <r>
      <t>Msat(S</t>
    </r>
    <r>
      <rPr>
        <vertAlign val="subscript"/>
        <sz val="11"/>
        <rFont val="Calibri"/>
        <family val="2"/>
        <scheme val="minor"/>
      </rPr>
      <t>O2</t>
    </r>
    <r>
      <rPr>
        <sz val="11"/>
        <rFont val="Calibri"/>
        <family val="2"/>
        <scheme val="minor"/>
      </rPr>
      <t>;Ki</t>
    </r>
    <r>
      <rPr>
        <vertAlign val="subscript"/>
        <sz val="11"/>
        <rFont val="Calibri"/>
        <family val="2"/>
        <scheme val="minor"/>
      </rPr>
      <t>O2,MEOLO</t>
    </r>
    <r>
      <rPr>
        <sz val="11"/>
        <rFont val="Calibri"/>
        <family val="2"/>
        <scheme val="minor"/>
      </rPr>
      <t>)</t>
    </r>
  </si>
  <si>
    <r>
      <t>b</t>
    </r>
    <r>
      <rPr>
        <vertAlign val="subscript"/>
        <sz val="11"/>
        <rFont val="Calibri"/>
        <family val="2"/>
      </rPr>
      <t>MEOLO,T</t>
    </r>
    <r>
      <rPr>
        <sz val="11"/>
        <rFont val="Calibri"/>
        <family val="2"/>
      </rPr>
      <t>*X</t>
    </r>
    <r>
      <rPr>
        <vertAlign val="subscript"/>
        <sz val="11"/>
        <rFont val="Calibri"/>
        <family val="2"/>
      </rPr>
      <t>MEOLO</t>
    </r>
    <r>
      <rPr>
        <sz val="11"/>
        <rFont val="Calibri"/>
        <family val="2"/>
      </rPr>
      <t>*(Msat</t>
    </r>
    <r>
      <rPr>
        <vertAlign val="subscript"/>
        <sz val="11"/>
        <rFont val="Calibri"/>
        <family val="2"/>
      </rPr>
      <t>SO2,KiO2,MEOLO</t>
    </r>
    <r>
      <rPr>
        <sz val="11"/>
        <rFont val="Calibri"/>
        <family val="2"/>
      </rPr>
      <t>+η</t>
    </r>
    <r>
      <rPr>
        <vertAlign val="subscript"/>
        <sz val="11"/>
        <rFont val="Calibri"/>
        <family val="2"/>
      </rPr>
      <t>b,anox</t>
    </r>
    <r>
      <rPr>
        <sz val="11"/>
        <rFont val="Calibri"/>
        <family val="2"/>
      </rPr>
      <t>*Msat</t>
    </r>
    <r>
      <rPr>
        <vertAlign val="subscript"/>
        <sz val="11"/>
        <rFont val="Calibri"/>
        <family val="2"/>
      </rPr>
      <t>SNO2,KNO2,MEOLO</t>
    </r>
    <r>
      <rPr>
        <sz val="11"/>
        <rFont val="Calibri"/>
        <family val="2"/>
      </rPr>
      <t>*Minh</t>
    </r>
    <r>
      <rPr>
        <vertAlign val="subscript"/>
        <sz val="11"/>
        <rFont val="Calibri"/>
        <family val="2"/>
      </rPr>
      <t>SO2,KiO2,MEOLO</t>
    </r>
    <r>
      <rPr>
        <sz val="11"/>
        <rFont val="Calibri"/>
        <family val="2"/>
      </rPr>
      <t>+m</t>
    </r>
    <r>
      <rPr>
        <vertAlign val="subscript"/>
        <sz val="11"/>
        <rFont val="Calibri"/>
        <family val="2"/>
      </rPr>
      <t>tox,anox</t>
    </r>
    <r>
      <rPr>
        <sz val="11"/>
        <rFont val="Calibri"/>
        <family val="2"/>
      </rPr>
      <t>*Msat</t>
    </r>
    <r>
      <rPr>
        <vertAlign val="subscript"/>
        <sz val="11"/>
        <rFont val="Calibri"/>
        <family val="2"/>
      </rPr>
      <t>SNO3,KNO3,MEOLO</t>
    </r>
    <r>
      <rPr>
        <sz val="11"/>
        <rFont val="Calibri"/>
        <family val="2"/>
      </rPr>
      <t>*Minh</t>
    </r>
    <r>
      <rPr>
        <vertAlign val="subscript"/>
        <sz val="11"/>
        <rFont val="Calibri"/>
        <family val="2"/>
      </rPr>
      <t>SNO2,KNO2,MEOLO</t>
    </r>
    <r>
      <rPr>
        <sz val="11"/>
        <rFont val="Calibri"/>
        <family val="2"/>
      </rPr>
      <t>*Minh</t>
    </r>
    <r>
      <rPr>
        <vertAlign val="subscript"/>
        <sz val="11"/>
        <rFont val="Calibri"/>
        <family val="2"/>
      </rPr>
      <t>SO2,KiO2,MEOLO</t>
    </r>
    <r>
      <rPr>
        <sz val="11"/>
        <rFont val="Calibri"/>
        <family val="2"/>
      </rPr>
      <t>)</t>
    </r>
  </si>
  <si>
    <r>
      <t>b</t>
    </r>
    <r>
      <rPr>
        <vertAlign val="subscript"/>
        <sz val="11"/>
        <rFont val="Calibri"/>
        <family val="2"/>
      </rPr>
      <t>HMETO,T</t>
    </r>
    <r>
      <rPr>
        <sz val="11"/>
        <rFont val="Calibri"/>
        <family val="2"/>
      </rPr>
      <t>*X</t>
    </r>
    <r>
      <rPr>
        <vertAlign val="subscript"/>
        <sz val="11"/>
        <rFont val="Calibri"/>
        <family val="2"/>
      </rPr>
      <t>HMETO</t>
    </r>
    <r>
      <rPr>
        <sz val="11"/>
        <rFont val="Calibri"/>
        <family val="2"/>
      </rPr>
      <t>*(m</t>
    </r>
    <r>
      <rPr>
        <vertAlign val="subscript"/>
        <sz val="11"/>
        <rFont val="Calibri"/>
        <family val="2"/>
      </rPr>
      <t>tox,aer</t>
    </r>
    <r>
      <rPr>
        <sz val="11"/>
        <rFont val="Calibri"/>
        <family val="2"/>
      </rPr>
      <t>*Msat</t>
    </r>
    <r>
      <rPr>
        <vertAlign val="subscript"/>
        <sz val="11"/>
        <rFont val="Calibri"/>
        <family val="2"/>
      </rPr>
      <t>SO2,KiO2,HMETO</t>
    </r>
    <r>
      <rPr>
        <sz val="11"/>
        <rFont val="Calibri"/>
        <family val="2"/>
      </rPr>
      <t>+m</t>
    </r>
    <r>
      <rPr>
        <vertAlign val="subscript"/>
        <sz val="11"/>
        <rFont val="Calibri"/>
        <family val="2"/>
      </rPr>
      <t>tox,anox</t>
    </r>
    <r>
      <rPr>
        <sz val="11"/>
        <rFont val="Calibri"/>
        <family val="2"/>
      </rPr>
      <t>*Msat</t>
    </r>
    <r>
      <rPr>
        <vertAlign val="subscript"/>
        <sz val="11"/>
        <rFont val="Calibri"/>
        <family val="2"/>
      </rPr>
      <t>SNOx,KNO3,HMETO</t>
    </r>
    <r>
      <rPr>
        <sz val="11"/>
        <rFont val="Calibri"/>
        <family val="2"/>
      </rPr>
      <t>*Minh</t>
    </r>
    <r>
      <rPr>
        <vertAlign val="subscript"/>
        <sz val="11"/>
        <rFont val="Calibri"/>
        <family val="2"/>
      </rPr>
      <t>SO2,KiO2,HMETO</t>
    </r>
    <r>
      <rPr>
        <sz val="11"/>
        <rFont val="Calibri"/>
        <family val="2"/>
      </rPr>
      <t>)</t>
    </r>
  </si>
  <si>
    <r>
      <t>Liquid-side mass transfer coefficient of O</t>
    </r>
    <r>
      <rPr>
        <vertAlign val="subscript"/>
        <sz val="11"/>
        <color rgb="FF000000"/>
        <rFont val="Calibri"/>
        <family val="2"/>
        <scheme val="minor"/>
      </rPr>
      <t>2</t>
    </r>
    <r>
      <rPr>
        <sz val="11"/>
        <rFont val="Calibri"/>
        <family val="2"/>
        <scheme val="minor"/>
      </rPr>
      <t xml:space="preserve"> for gas bubbles</t>
    </r>
  </si>
  <si>
    <r>
      <t>Liquid-side mass transfer coefficient of O</t>
    </r>
    <r>
      <rPr>
        <vertAlign val="subscript"/>
        <sz val="11"/>
        <color rgb="FF000000"/>
        <rFont val="Calibri"/>
        <family val="2"/>
        <scheme val="minor"/>
      </rPr>
      <t>2</t>
    </r>
    <r>
      <rPr>
        <sz val="11"/>
        <rFont val="Calibri"/>
        <family val="2"/>
        <scheme val="minor"/>
      </rPr>
      <t xml:space="preserve"> at liquid surface</t>
    </r>
  </si>
  <si>
    <r>
      <t>k</t>
    </r>
    <r>
      <rPr>
        <vertAlign val="subscript"/>
        <sz val="11"/>
        <rFont val="Calibri"/>
        <family val="2"/>
      </rPr>
      <t>L,GO2,bub</t>
    </r>
  </si>
  <si>
    <r>
      <t>k</t>
    </r>
    <r>
      <rPr>
        <vertAlign val="subscript"/>
        <sz val="11"/>
        <rFont val="Calibri"/>
        <family val="2"/>
      </rPr>
      <t>L,GO2,sur</t>
    </r>
  </si>
  <si>
    <r>
      <t>f</t>
    </r>
    <r>
      <rPr>
        <vertAlign val="subscript"/>
        <sz val="11"/>
        <rFont val="Calibri"/>
        <family val="2"/>
        <scheme val="minor"/>
      </rPr>
      <t>kL,GN2</t>
    </r>
    <r>
      <rPr>
        <sz val="11"/>
        <rFont val="Calibri"/>
        <family val="2"/>
        <scheme val="minor"/>
      </rPr>
      <t>*(D</t>
    </r>
    <r>
      <rPr>
        <vertAlign val="subscript"/>
        <sz val="11"/>
        <rFont val="Calibri"/>
        <family val="2"/>
        <charset val="238"/>
        <scheme val="minor"/>
      </rPr>
      <t>G</t>
    </r>
    <r>
      <rPr>
        <vertAlign val="subscript"/>
        <sz val="11"/>
        <rFont val="Calibri"/>
        <family val="2"/>
        <scheme val="minor"/>
      </rPr>
      <t>N2,25</t>
    </r>
    <r>
      <rPr>
        <sz val="11"/>
        <rFont val="Calibri"/>
        <family val="2"/>
        <scheme val="minor"/>
      </rPr>
      <t>/D</t>
    </r>
    <r>
      <rPr>
        <vertAlign val="subscript"/>
        <sz val="11"/>
        <rFont val="Calibri"/>
        <family val="2"/>
        <charset val="238"/>
        <scheme val="minor"/>
      </rPr>
      <t>G</t>
    </r>
    <r>
      <rPr>
        <vertAlign val="subscript"/>
        <sz val="11"/>
        <rFont val="Calibri"/>
        <family val="2"/>
        <scheme val="minor"/>
      </rPr>
      <t>O2,25</t>
    </r>
    <r>
      <rPr>
        <sz val="11"/>
        <rFont val="Calibri"/>
        <family val="2"/>
        <scheme val="minor"/>
      </rPr>
      <t>)^0.5*k</t>
    </r>
    <r>
      <rPr>
        <vertAlign val="subscript"/>
        <sz val="11"/>
        <rFont val="Calibri"/>
        <family val="2"/>
        <scheme val="minor"/>
      </rPr>
      <t>L,GO2,bub</t>
    </r>
  </si>
  <si>
    <r>
      <t>f</t>
    </r>
    <r>
      <rPr>
        <vertAlign val="subscript"/>
        <sz val="11"/>
        <rFont val="Calibri"/>
        <family val="2"/>
        <scheme val="minor"/>
      </rPr>
      <t>kL,GCO2</t>
    </r>
    <r>
      <rPr>
        <sz val="11"/>
        <rFont val="Calibri"/>
        <family val="2"/>
        <scheme val="minor"/>
      </rPr>
      <t>*(D</t>
    </r>
    <r>
      <rPr>
        <vertAlign val="subscript"/>
        <sz val="11"/>
        <rFont val="Calibri"/>
        <family val="2"/>
        <charset val="238"/>
        <scheme val="minor"/>
      </rPr>
      <t>G</t>
    </r>
    <r>
      <rPr>
        <vertAlign val="subscript"/>
        <sz val="11"/>
        <rFont val="Calibri"/>
        <family val="2"/>
        <scheme val="minor"/>
      </rPr>
      <t>CO2,25</t>
    </r>
    <r>
      <rPr>
        <sz val="11"/>
        <rFont val="Calibri"/>
        <family val="2"/>
        <scheme val="minor"/>
      </rPr>
      <t>/D</t>
    </r>
    <r>
      <rPr>
        <vertAlign val="subscript"/>
        <sz val="11"/>
        <rFont val="Calibri"/>
        <family val="2"/>
        <charset val="238"/>
        <scheme val="minor"/>
      </rPr>
      <t>G</t>
    </r>
    <r>
      <rPr>
        <vertAlign val="subscript"/>
        <sz val="11"/>
        <rFont val="Calibri"/>
        <family val="2"/>
        <scheme val="minor"/>
      </rPr>
      <t>O2,25</t>
    </r>
    <r>
      <rPr>
        <sz val="11"/>
        <rFont val="Calibri"/>
        <family val="2"/>
        <scheme val="minor"/>
      </rPr>
      <t>)^0.5*k</t>
    </r>
    <r>
      <rPr>
        <vertAlign val="subscript"/>
        <sz val="11"/>
        <rFont val="Calibri"/>
        <family val="2"/>
        <scheme val="minor"/>
      </rPr>
      <t>L,GO2,bub</t>
    </r>
  </si>
  <si>
    <r>
      <t>f</t>
    </r>
    <r>
      <rPr>
        <vertAlign val="subscript"/>
        <sz val="11"/>
        <rFont val="Calibri"/>
        <family val="2"/>
        <scheme val="minor"/>
      </rPr>
      <t>kL,GCH4</t>
    </r>
    <r>
      <rPr>
        <sz val="11"/>
        <rFont val="Calibri"/>
        <family val="2"/>
        <scheme val="minor"/>
      </rPr>
      <t>*(D</t>
    </r>
    <r>
      <rPr>
        <vertAlign val="subscript"/>
        <sz val="11"/>
        <rFont val="Calibri"/>
        <family val="2"/>
        <charset val="238"/>
        <scheme val="minor"/>
      </rPr>
      <t>G</t>
    </r>
    <r>
      <rPr>
        <vertAlign val="subscript"/>
        <sz val="11"/>
        <rFont val="Calibri"/>
        <family val="2"/>
        <scheme val="minor"/>
      </rPr>
      <t>CH4,25</t>
    </r>
    <r>
      <rPr>
        <sz val="11"/>
        <rFont val="Calibri"/>
        <family val="2"/>
        <scheme val="minor"/>
      </rPr>
      <t>/D</t>
    </r>
    <r>
      <rPr>
        <vertAlign val="subscript"/>
        <sz val="11"/>
        <rFont val="Calibri"/>
        <family val="2"/>
        <charset val="238"/>
        <scheme val="minor"/>
      </rPr>
      <t>G</t>
    </r>
    <r>
      <rPr>
        <vertAlign val="subscript"/>
        <sz val="11"/>
        <rFont val="Calibri"/>
        <family val="2"/>
        <scheme val="minor"/>
      </rPr>
      <t>O2,25</t>
    </r>
    <r>
      <rPr>
        <sz val="11"/>
        <rFont val="Calibri"/>
        <family val="2"/>
        <scheme val="minor"/>
      </rPr>
      <t>)^0.5*k</t>
    </r>
    <r>
      <rPr>
        <vertAlign val="subscript"/>
        <sz val="11"/>
        <rFont val="Calibri"/>
        <family val="2"/>
        <scheme val="minor"/>
      </rPr>
      <t>L,GO2,bub</t>
    </r>
  </si>
  <si>
    <r>
      <t>f</t>
    </r>
    <r>
      <rPr>
        <vertAlign val="subscript"/>
        <sz val="11"/>
        <rFont val="Calibri"/>
        <family val="2"/>
        <scheme val="minor"/>
      </rPr>
      <t>kL,GH2</t>
    </r>
    <r>
      <rPr>
        <sz val="11"/>
        <rFont val="Calibri"/>
        <family val="2"/>
        <scheme val="minor"/>
      </rPr>
      <t>*(D</t>
    </r>
    <r>
      <rPr>
        <vertAlign val="subscript"/>
        <sz val="11"/>
        <rFont val="Calibri"/>
        <family val="2"/>
        <charset val="238"/>
        <scheme val="minor"/>
      </rPr>
      <t>G</t>
    </r>
    <r>
      <rPr>
        <vertAlign val="subscript"/>
        <sz val="11"/>
        <rFont val="Calibri"/>
        <family val="2"/>
        <scheme val="minor"/>
      </rPr>
      <t>H2,25</t>
    </r>
    <r>
      <rPr>
        <sz val="11"/>
        <rFont val="Calibri"/>
        <family val="2"/>
        <scheme val="minor"/>
      </rPr>
      <t>/D</t>
    </r>
    <r>
      <rPr>
        <vertAlign val="subscript"/>
        <sz val="11"/>
        <rFont val="Calibri"/>
        <family val="2"/>
        <charset val="238"/>
        <scheme val="minor"/>
      </rPr>
      <t>G</t>
    </r>
    <r>
      <rPr>
        <vertAlign val="subscript"/>
        <sz val="11"/>
        <rFont val="Calibri"/>
        <family val="2"/>
        <scheme val="minor"/>
      </rPr>
      <t>O2,25</t>
    </r>
    <r>
      <rPr>
        <sz val="11"/>
        <rFont val="Calibri"/>
        <family val="2"/>
        <scheme val="minor"/>
      </rPr>
      <t>)^0.5*k</t>
    </r>
    <r>
      <rPr>
        <vertAlign val="subscript"/>
        <sz val="11"/>
        <rFont val="Calibri"/>
        <family val="2"/>
        <scheme val="minor"/>
      </rPr>
      <t>L,GO2,bub</t>
    </r>
  </si>
  <si>
    <r>
      <t>f</t>
    </r>
    <r>
      <rPr>
        <vertAlign val="subscript"/>
        <sz val="11"/>
        <rFont val="Calibri"/>
        <family val="2"/>
        <scheme val="minor"/>
      </rPr>
      <t>kL,GNH3</t>
    </r>
    <r>
      <rPr>
        <sz val="11"/>
        <rFont val="Calibri"/>
        <family val="2"/>
        <scheme val="minor"/>
      </rPr>
      <t>*(D</t>
    </r>
    <r>
      <rPr>
        <vertAlign val="subscript"/>
        <sz val="11"/>
        <rFont val="Calibri"/>
        <family val="2"/>
        <charset val="238"/>
        <scheme val="minor"/>
      </rPr>
      <t>G</t>
    </r>
    <r>
      <rPr>
        <vertAlign val="subscript"/>
        <sz val="11"/>
        <rFont val="Calibri"/>
        <family val="2"/>
        <scheme val="minor"/>
      </rPr>
      <t>NH3,25</t>
    </r>
    <r>
      <rPr>
        <sz val="11"/>
        <rFont val="Calibri"/>
        <family val="2"/>
        <scheme val="minor"/>
      </rPr>
      <t>/D</t>
    </r>
    <r>
      <rPr>
        <vertAlign val="subscript"/>
        <sz val="11"/>
        <rFont val="Calibri"/>
        <family val="2"/>
        <charset val="238"/>
        <scheme val="minor"/>
      </rPr>
      <t>G</t>
    </r>
    <r>
      <rPr>
        <vertAlign val="subscript"/>
        <sz val="11"/>
        <rFont val="Calibri"/>
        <family val="2"/>
        <scheme val="minor"/>
      </rPr>
      <t>O2,25</t>
    </r>
    <r>
      <rPr>
        <sz val="11"/>
        <rFont val="Calibri"/>
        <family val="2"/>
        <scheme val="minor"/>
      </rPr>
      <t>)^0.5*k</t>
    </r>
    <r>
      <rPr>
        <vertAlign val="subscript"/>
        <sz val="11"/>
        <rFont val="Calibri"/>
        <family val="2"/>
        <scheme val="minor"/>
      </rPr>
      <t>L,GO2,bub</t>
    </r>
  </si>
  <si>
    <r>
      <t>k</t>
    </r>
    <r>
      <rPr>
        <vertAlign val="subscript"/>
        <sz val="11"/>
        <rFont val="Calibri"/>
        <family val="2"/>
        <scheme val="minor"/>
      </rPr>
      <t>L,GN2,bub</t>
    </r>
  </si>
  <si>
    <r>
      <t>k</t>
    </r>
    <r>
      <rPr>
        <vertAlign val="subscript"/>
        <sz val="11"/>
        <rFont val="Calibri"/>
        <family val="2"/>
        <scheme val="minor"/>
      </rPr>
      <t>L,GCO2,bub</t>
    </r>
  </si>
  <si>
    <r>
      <t>k</t>
    </r>
    <r>
      <rPr>
        <vertAlign val="subscript"/>
        <sz val="11"/>
        <rFont val="Calibri"/>
        <family val="2"/>
        <scheme val="minor"/>
      </rPr>
      <t>L,GCH4,bub</t>
    </r>
  </si>
  <si>
    <r>
      <t>k</t>
    </r>
    <r>
      <rPr>
        <vertAlign val="subscript"/>
        <sz val="11"/>
        <rFont val="Calibri"/>
        <family val="2"/>
        <scheme val="minor"/>
      </rPr>
      <t>L,GH2,bub</t>
    </r>
  </si>
  <si>
    <r>
      <t>k</t>
    </r>
    <r>
      <rPr>
        <vertAlign val="subscript"/>
        <sz val="11"/>
        <rFont val="Calibri"/>
        <family val="2"/>
        <scheme val="minor"/>
      </rPr>
      <t>L,GNH3,bub</t>
    </r>
  </si>
  <si>
    <r>
      <t>Liquid-side mass transfer coefficient of N</t>
    </r>
    <r>
      <rPr>
        <vertAlign val="subscript"/>
        <sz val="11"/>
        <color rgb="FF000000"/>
        <rFont val="Calibri"/>
        <family val="2"/>
        <scheme val="minor"/>
      </rPr>
      <t>2</t>
    </r>
    <r>
      <rPr>
        <sz val="11"/>
        <rFont val="Calibri"/>
        <family val="2"/>
        <scheme val="minor"/>
      </rPr>
      <t xml:space="preserve"> for gas bubbles</t>
    </r>
  </si>
  <si>
    <r>
      <t>Liquid-side mass transfer coefficient of CO</t>
    </r>
    <r>
      <rPr>
        <vertAlign val="subscript"/>
        <sz val="11"/>
        <color rgb="FF000000"/>
        <rFont val="Calibri"/>
        <family val="2"/>
        <scheme val="minor"/>
      </rPr>
      <t>2</t>
    </r>
    <r>
      <rPr>
        <sz val="11"/>
        <rFont val="Calibri"/>
        <family val="2"/>
        <scheme val="minor"/>
      </rPr>
      <t xml:space="preserve"> for gas bubbles</t>
    </r>
  </si>
  <si>
    <r>
      <t>Liquid-side mass transfer coefficient of CH</t>
    </r>
    <r>
      <rPr>
        <vertAlign val="subscript"/>
        <sz val="11"/>
        <color rgb="FF000000"/>
        <rFont val="Calibri"/>
        <family val="2"/>
        <scheme val="minor"/>
      </rPr>
      <t>4</t>
    </r>
    <r>
      <rPr>
        <sz val="11"/>
        <rFont val="Calibri"/>
        <family val="2"/>
        <scheme val="minor"/>
      </rPr>
      <t xml:space="preserve"> for gas bubbles</t>
    </r>
  </si>
  <si>
    <r>
      <t>Liquid-side mass transfer coefficient of H</t>
    </r>
    <r>
      <rPr>
        <vertAlign val="subscript"/>
        <sz val="11"/>
        <color rgb="FF000000"/>
        <rFont val="Calibri"/>
        <family val="2"/>
        <scheme val="minor"/>
      </rPr>
      <t>2</t>
    </r>
    <r>
      <rPr>
        <sz val="11"/>
        <rFont val="Calibri"/>
        <family val="2"/>
        <scheme val="minor"/>
      </rPr>
      <t xml:space="preserve"> for gas bubbles</t>
    </r>
  </si>
  <si>
    <r>
      <t>Liquid-side mass transfer coefficient of NH</t>
    </r>
    <r>
      <rPr>
        <vertAlign val="subscript"/>
        <sz val="11"/>
        <color rgb="FF000000"/>
        <rFont val="Calibri"/>
        <family val="2"/>
        <scheme val="minor"/>
      </rPr>
      <t>3</t>
    </r>
    <r>
      <rPr>
        <sz val="11"/>
        <rFont val="Calibri"/>
        <family val="2"/>
        <scheme val="minor"/>
      </rPr>
      <t xml:space="preserve"> for gas bubbles</t>
    </r>
  </si>
  <si>
    <r>
      <t>Liquid-side mass transfer coefficient of N</t>
    </r>
    <r>
      <rPr>
        <vertAlign val="subscript"/>
        <sz val="11"/>
        <color rgb="FF000000"/>
        <rFont val="Calibri"/>
        <family val="2"/>
        <scheme val="minor"/>
      </rPr>
      <t>2</t>
    </r>
    <r>
      <rPr>
        <sz val="11"/>
        <rFont val="Calibri"/>
        <family val="2"/>
        <scheme val="minor"/>
      </rPr>
      <t xml:space="preserve"> at liquid surface</t>
    </r>
  </si>
  <si>
    <r>
      <t>Liquid-side mass transfer coefficient of CO</t>
    </r>
    <r>
      <rPr>
        <vertAlign val="subscript"/>
        <sz val="11"/>
        <color rgb="FF000000"/>
        <rFont val="Calibri"/>
        <family val="2"/>
        <scheme val="minor"/>
      </rPr>
      <t>2</t>
    </r>
    <r>
      <rPr>
        <sz val="11"/>
        <rFont val="Calibri"/>
        <family val="2"/>
        <scheme val="minor"/>
      </rPr>
      <t xml:space="preserve"> at liquid surface</t>
    </r>
  </si>
  <si>
    <r>
      <t>Liquid-side mass transfer coefficient of CH</t>
    </r>
    <r>
      <rPr>
        <vertAlign val="subscript"/>
        <sz val="11"/>
        <color rgb="FF000000"/>
        <rFont val="Calibri"/>
        <family val="2"/>
        <scheme val="minor"/>
      </rPr>
      <t>4</t>
    </r>
    <r>
      <rPr>
        <sz val="11"/>
        <rFont val="Calibri"/>
        <family val="2"/>
        <scheme val="minor"/>
      </rPr>
      <t xml:space="preserve"> at liquid surface</t>
    </r>
  </si>
  <si>
    <r>
      <t>Liquid-side mass transfer coefficient of H</t>
    </r>
    <r>
      <rPr>
        <vertAlign val="subscript"/>
        <sz val="11"/>
        <color rgb="FF000000"/>
        <rFont val="Calibri"/>
        <family val="2"/>
        <scheme val="minor"/>
      </rPr>
      <t>2</t>
    </r>
    <r>
      <rPr>
        <sz val="11"/>
        <rFont val="Calibri"/>
        <family val="2"/>
        <scheme val="minor"/>
      </rPr>
      <t xml:space="preserve"> at liquid surface</t>
    </r>
  </si>
  <si>
    <r>
      <t>Liquid-side mass transfer coefficient of NH</t>
    </r>
    <r>
      <rPr>
        <vertAlign val="subscript"/>
        <sz val="11"/>
        <color rgb="FF000000"/>
        <rFont val="Calibri"/>
        <family val="2"/>
        <scheme val="minor"/>
      </rPr>
      <t>3</t>
    </r>
    <r>
      <rPr>
        <sz val="11"/>
        <rFont val="Calibri"/>
        <family val="2"/>
        <scheme val="minor"/>
      </rPr>
      <t xml:space="preserve"> at liquid surface</t>
    </r>
  </si>
  <si>
    <r>
      <t>k</t>
    </r>
    <r>
      <rPr>
        <vertAlign val="subscript"/>
        <sz val="11"/>
        <rFont val="Calibri"/>
        <family val="2"/>
        <scheme val="minor"/>
      </rPr>
      <t>L,GN2,sur</t>
    </r>
  </si>
  <si>
    <r>
      <t>k</t>
    </r>
    <r>
      <rPr>
        <vertAlign val="subscript"/>
        <sz val="11"/>
        <rFont val="Calibri"/>
        <family val="2"/>
        <scheme val="minor"/>
      </rPr>
      <t>L,GCO2,sur</t>
    </r>
  </si>
  <si>
    <r>
      <t>k</t>
    </r>
    <r>
      <rPr>
        <vertAlign val="subscript"/>
        <sz val="11"/>
        <rFont val="Calibri"/>
        <family val="2"/>
        <scheme val="minor"/>
      </rPr>
      <t>L,GCH4,sur</t>
    </r>
  </si>
  <si>
    <r>
      <t>k</t>
    </r>
    <r>
      <rPr>
        <vertAlign val="subscript"/>
        <sz val="11"/>
        <rFont val="Calibri"/>
        <family val="2"/>
        <scheme val="minor"/>
      </rPr>
      <t>L,GH2,sur</t>
    </r>
  </si>
  <si>
    <r>
      <t>k</t>
    </r>
    <r>
      <rPr>
        <vertAlign val="subscript"/>
        <sz val="11"/>
        <rFont val="Calibri"/>
        <family val="2"/>
        <scheme val="minor"/>
      </rPr>
      <t>L,GNH3,sur</t>
    </r>
  </si>
  <si>
    <r>
      <t>f</t>
    </r>
    <r>
      <rPr>
        <vertAlign val="subscript"/>
        <sz val="11"/>
        <rFont val="Calibri"/>
        <family val="2"/>
        <scheme val="minor"/>
      </rPr>
      <t>kL,GN2</t>
    </r>
    <r>
      <rPr>
        <sz val="11"/>
        <rFont val="Calibri"/>
        <family val="2"/>
        <scheme val="minor"/>
      </rPr>
      <t>*(D</t>
    </r>
    <r>
      <rPr>
        <vertAlign val="subscript"/>
        <sz val="11"/>
        <rFont val="Calibri"/>
        <family val="2"/>
        <charset val="238"/>
        <scheme val="minor"/>
      </rPr>
      <t>G</t>
    </r>
    <r>
      <rPr>
        <vertAlign val="subscript"/>
        <sz val="11"/>
        <rFont val="Calibri"/>
        <family val="2"/>
        <scheme val="minor"/>
      </rPr>
      <t>N2,25</t>
    </r>
    <r>
      <rPr>
        <sz val="11"/>
        <rFont val="Calibri"/>
        <family val="2"/>
        <scheme val="minor"/>
      </rPr>
      <t>/D</t>
    </r>
    <r>
      <rPr>
        <vertAlign val="subscript"/>
        <sz val="11"/>
        <rFont val="Calibri"/>
        <family val="2"/>
        <charset val="238"/>
        <scheme val="minor"/>
      </rPr>
      <t>G</t>
    </r>
    <r>
      <rPr>
        <vertAlign val="subscript"/>
        <sz val="11"/>
        <rFont val="Calibri"/>
        <family val="2"/>
        <scheme val="minor"/>
      </rPr>
      <t>O2,25</t>
    </r>
    <r>
      <rPr>
        <sz val="11"/>
        <rFont val="Calibri"/>
        <family val="2"/>
        <scheme val="minor"/>
      </rPr>
      <t>)^0.5*k</t>
    </r>
    <r>
      <rPr>
        <vertAlign val="subscript"/>
        <sz val="11"/>
        <rFont val="Calibri"/>
        <family val="2"/>
        <scheme val="minor"/>
      </rPr>
      <t>L,GO2,sur</t>
    </r>
  </si>
  <si>
    <r>
      <t>f</t>
    </r>
    <r>
      <rPr>
        <vertAlign val="subscript"/>
        <sz val="11"/>
        <rFont val="Calibri"/>
        <family val="2"/>
        <scheme val="minor"/>
      </rPr>
      <t>kL,GCO2</t>
    </r>
    <r>
      <rPr>
        <sz val="11"/>
        <rFont val="Calibri"/>
        <family val="2"/>
        <scheme val="minor"/>
      </rPr>
      <t>*(D</t>
    </r>
    <r>
      <rPr>
        <vertAlign val="subscript"/>
        <sz val="11"/>
        <rFont val="Calibri"/>
        <family val="2"/>
        <charset val="238"/>
        <scheme val="minor"/>
      </rPr>
      <t>G</t>
    </r>
    <r>
      <rPr>
        <vertAlign val="subscript"/>
        <sz val="11"/>
        <rFont val="Calibri"/>
        <family val="2"/>
        <scheme val="minor"/>
      </rPr>
      <t>CO2,25</t>
    </r>
    <r>
      <rPr>
        <sz val="11"/>
        <rFont val="Calibri"/>
        <family val="2"/>
        <scheme val="minor"/>
      </rPr>
      <t>/D</t>
    </r>
    <r>
      <rPr>
        <vertAlign val="subscript"/>
        <sz val="11"/>
        <rFont val="Calibri"/>
        <family val="2"/>
        <charset val="238"/>
        <scheme val="minor"/>
      </rPr>
      <t>G</t>
    </r>
    <r>
      <rPr>
        <vertAlign val="subscript"/>
        <sz val="11"/>
        <rFont val="Calibri"/>
        <family val="2"/>
        <scheme val="minor"/>
      </rPr>
      <t>O2,25</t>
    </r>
    <r>
      <rPr>
        <sz val="11"/>
        <rFont val="Calibri"/>
        <family val="2"/>
        <scheme val="minor"/>
      </rPr>
      <t>)^0.5*k</t>
    </r>
    <r>
      <rPr>
        <vertAlign val="subscript"/>
        <sz val="11"/>
        <rFont val="Calibri"/>
        <family val="2"/>
        <scheme val="minor"/>
      </rPr>
      <t>L,GO2,sur</t>
    </r>
  </si>
  <si>
    <r>
      <t>f</t>
    </r>
    <r>
      <rPr>
        <vertAlign val="subscript"/>
        <sz val="11"/>
        <rFont val="Calibri"/>
        <family val="2"/>
        <scheme val="minor"/>
      </rPr>
      <t>kL,GCH4</t>
    </r>
    <r>
      <rPr>
        <sz val="11"/>
        <rFont val="Calibri"/>
        <family val="2"/>
        <scheme val="minor"/>
      </rPr>
      <t>*(D</t>
    </r>
    <r>
      <rPr>
        <vertAlign val="subscript"/>
        <sz val="11"/>
        <rFont val="Calibri"/>
        <family val="2"/>
        <charset val="238"/>
        <scheme val="minor"/>
      </rPr>
      <t>G</t>
    </r>
    <r>
      <rPr>
        <vertAlign val="subscript"/>
        <sz val="11"/>
        <rFont val="Calibri"/>
        <family val="2"/>
        <scheme val="minor"/>
      </rPr>
      <t>CH4,25</t>
    </r>
    <r>
      <rPr>
        <sz val="11"/>
        <rFont val="Calibri"/>
        <family val="2"/>
        <scheme val="minor"/>
      </rPr>
      <t>/D</t>
    </r>
    <r>
      <rPr>
        <vertAlign val="subscript"/>
        <sz val="11"/>
        <rFont val="Calibri"/>
        <family val="2"/>
        <charset val="238"/>
        <scheme val="minor"/>
      </rPr>
      <t>G</t>
    </r>
    <r>
      <rPr>
        <vertAlign val="subscript"/>
        <sz val="11"/>
        <rFont val="Calibri"/>
        <family val="2"/>
        <scheme val="minor"/>
      </rPr>
      <t>O2,25</t>
    </r>
    <r>
      <rPr>
        <sz val="11"/>
        <rFont val="Calibri"/>
        <family val="2"/>
        <scheme val="minor"/>
      </rPr>
      <t>)^0.5*k</t>
    </r>
    <r>
      <rPr>
        <vertAlign val="subscript"/>
        <sz val="11"/>
        <rFont val="Calibri"/>
        <family val="2"/>
        <scheme val="minor"/>
      </rPr>
      <t>L,GO2,sur</t>
    </r>
  </si>
  <si>
    <r>
      <t>f</t>
    </r>
    <r>
      <rPr>
        <vertAlign val="subscript"/>
        <sz val="11"/>
        <rFont val="Calibri"/>
        <family val="2"/>
        <scheme val="minor"/>
      </rPr>
      <t>kL,GH2</t>
    </r>
    <r>
      <rPr>
        <sz val="11"/>
        <rFont val="Calibri"/>
        <family val="2"/>
        <scheme val="minor"/>
      </rPr>
      <t>*(D</t>
    </r>
    <r>
      <rPr>
        <vertAlign val="subscript"/>
        <sz val="11"/>
        <rFont val="Calibri"/>
        <family val="2"/>
        <charset val="238"/>
        <scheme val="minor"/>
      </rPr>
      <t>G</t>
    </r>
    <r>
      <rPr>
        <vertAlign val="subscript"/>
        <sz val="11"/>
        <rFont val="Calibri"/>
        <family val="2"/>
        <scheme val="minor"/>
      </rPr>
      <t>H2,25</t>
    </r>
    <r>
      <rPr>
        <sz val="11"/>
        <rFont val="Calibri"/>
        <family val="2"/>
        <scheme val="minor"/>
      </rPr>
      <t>/D</t>
    </r>
    <r>
      <rPr>
        <vertAlign val="subscript"/>
        <sz val="11"/>
        <rFont val="Calibri"/>
        <family val="2"/>
        <charset val="238"/>
        <scheme val="minor"/>
      </rPr>
      <t>G</t>
    </r>
    <r>
      <rPr>
        <vertAlign val="subscript"/>
        <sz val="11"/>
        <rFont val="Calibri"/>
        <family val="2"/>
        <scheme val="minor"/>
      </rPr>
      <t>O2,25</t>
    </r>
    <r>
      <rPr>
        <sz val="11"/>
        <rFont val="Calibri"/>
        <family val="2"/>
        <scheme val="minor"/>
      </rPr>
      <t>)^0.5*k</t>
    </r>
    <r>
      <rPr>
        <vertAlign val="subscript"/>
        <sz val="11"/>
        <rFont val="Calibri"/>
        <family val="2"/>
        <scheme val="minor"/>
      </rPr>
      <t>L,GO2,sur</t>
    </r>
  </si>
  <si>
    <r>
      <t>f</t>
    </r>
    <r>
      <rPr>
        <vertAlign val="subscript"/>
        <sz val="11"/>
        <rFont val="Calibri"/>
        <family val="2"/>
        <scheme val="minor"/>
      </rPr>
      <t>kL,GNH3</t>
    </r>
    <r>
      <rPr>
        <sz val="11"/>
        <rFont val="Calibri"/>
        <family val="2"/>
        <scheme val="minor"/>
      </rPr>
      <t>*(D</t>
    </r>
    <r>
      <rPr>
        <vertAlign val="subscript"/>
        <sz val="11"/>
        <rFont val="Calibri"/>
        <family val="2"/>
        <charset val="238"/>
        <scheme val="minor"/>
      </rPr>
      <t>G</t>
    </r>
    <r>
      <rPr>
        <vertAlign val="subscript"/>
        <sz val="11"/>
        <rFont val="Calibri"/>
        <family val="2"/>
        <scheme val="minor"/>
      </rPr>
      <t>NH3,25</t>
    </r>
    <r>
      <rPr>
        <sz val="11"/>
        <rFont val="Calibri"/>
        <family val="2"/>
        <scheme val="minor"/>
      </rPr>
      <t>/D</t>
    </r>
    <r>
      <rPr>
        <vertAlign val="subscript"/>
        <sz val="11"/>
        <rFont val="Calibri"/>
        <family val="2"/>
        <charset val="238"/>
        <scheme val="minor"/>
      </rPr>
      <t>G</t>
    </r>
    <r>
      <rPr>
        <vertAlign val="subscript"/>
        <sz val="11"/>
        <rFont val="Calibri"/>
        <family val="2"/>
        <scheme val="minor"/>
      </rPr>
      <t>O2,25</t>
    </r>
    <r>
      <rPr>
        <sz val="11"/>
        <rFont val="Calibri"/>
        <family val="2"/>
        <scheme val="minor"/>
      </rPr>
      <t>)^0.5*k</t>
    </r>
    <r>
      <rPr>
        <vertAlign val="subscript"/>
        <sz val="11"/>
        <rFont val="Calibri"/>
        <family val="2"/>
        <scheme val="minor"/>
      </rPr>
      <t>L,GO2,sur</t>
    </r>
  </si>
  <si>
    <t>Press "Global Check" button</t>
  </si>
  <si>
    <t>In the systemcode.xlsx file</t>
  </si>
  <si>
    <t>Insert new rows for dissociation constants and enthalpies in the constant tab</t>
  </si>
  <si>
    <t>On the Calculated variables tab</t>
  </si>
  <si>
    <t>Insert new rows for "Dissociation constants - temperature correction" and "Dissociation constants - activity correction" tables</t>
  </si>
  <si>
    <t>Fill in names, other information (expression required)</t>
  </si>
  <si>
    <t>Press "calculate" and name "Value" cells from symbols (use CTRL-M [Mark Name] shortcut)</t>
  </si>
  <si>
    <t>In the Kinetic Matrix tab, insert or delete columns in the existing model matrix so that matrix columns match with States list in States Tab</t>
  </si>
  <si>
    <t>The algebraic expressions are determined based on the system of the chemical reactions and a mass balance. A symbolic solver (e.g. http://live.sympy.org/) can be used.</t>
  </si>
  <si>
    <t>Check "Alkalinity" expression and modify it if required depending on the new species added</t>
  </si>
  <si>
    <t>Custom functions can be created on functions tab (systemcode.xlsx file).</t>
  </si>
  <si>
    <t>IS cut-off threshold for Davies activity coefficient correction</t>
  </si>
  <si>
    <r>
      <t>K</t>
    </r>
    <r>
      <rPr>
        <vertAlign val="subscript"/>
        <sz val="11"/>
        <rFont val="Calibri"/>
        <family val="2"/>
        <scheme val="minor"/>
      </rPr>
      <t>Mg,BIO,AS</t>
    </r>
  </si>
  <si>
    <t>Half-saturation of Mg for biomasses (AS)</t>
  </si>
  <si>
    <r>
      <t>K</t>
    </r>
    <r>
      <rPr>
        <vertAlign val="subscript"/>
        <sz val="11"/>
        <rFont val="Calibri"/>
        <family val="2"/>
        <scheme val="minor"/>
      </rPr>
      <t>Ca,BIO,AS</t>
    </r>
  </si>
  <si>
    <t>Half-saturation of Ca for biomasses (AS)</t>
  </si>
  <si>
    <r>
      <t>i</t>
    </r>
    <r>
      <rPr>
        <vertAlign val="subscript"/>
        <sz val="11"/>
        <rFont val="Calibri"/>
        <family val="2"/>
        <scheme val="minor"/>
      </rPr>
      <t>Ca,INORG</t>
    </r>
  </si>
  <si>
    <r>
      <t>Ca content of X</t>
    </r>
    <r>
      <rPr>
        <vertAlign val="subscript"/>
        <sz val="11"/>
        <rFont val="Calibri"/>
        <family val="2"/>
        <scheme val="minor"/>
      </rPr>
      <t>INORG</t>
    </r>
  </si>
  <si>
    <r>
      <t>g Ca.g TSS</t>
    </r>
    <r>
      <rPr>
        <vertAlign val="superscript"/>
        <sz val="11"/>
        <rFont val="Calibri"/>
        <family val="2"/>
        <scheme val="minor"/>
      </rPr>
      <t>-1</t>
    </r>
  </si>
  <si>
    <r>
      <t>i</t>
    </r>
    <r>
      <rPr>
        <vertAlign val="subscript"/>
        <sz val="11"/>
        <rFont val="Calibri"/>
        <family val="2"/>
        <scheme val="minor"/>
      </rPr>
      <t>Mg,INORG</t>
    </r>
  </si>
  <si>
    <r>
      <t>Mg content of X</t>
    </r>
    <r>
      <rPr>
        <vertAlign val="subscript"/>
        <sz val="11"/>
        <rFont val="Calibri"/>
        <family val="2"/>
        <scheme val="minor"/>
      </rPr>
      <t>INORG</t>
    </r>
  </si>
  <si>
    <r>
      <t>g Mg.g TSS</t>
    </r>
    <r>
      <rPr>
        <vertAlign val="superscript"/>
        <sz val="11"/>
        <rFont val="Calibri"/>
        <family val="2"/>
        <scheme val="minor"/>
      </rPr>
      <t>-1</t>
    </r>
  </si>
  <si>
    <r>
      <t>f</t>
    </r>
    <r>
      <rPr>
        <vertAlign val="subscript"/>
        <sz val="11"/>
        <rFont val="Calibri"/>
        <family val="2"/>
        <scheme val="minor"/>
      </rPr>
      <t>VFA,DM</t>
    </r>
  </si>
  <si>
    <r>
      <t>fraction of S</t>
    </r>
    <r>
      <rPr>
        <vertAlign val="subscript"/>
        <sz val="11"/>
        <rFont val="Calibri"/>
        <family val="2"/>
        <scheme val="minor"/>
      </rPr>
      <t>VFA</t>
    </r>
    <r>
      <rPr>
        <sz val="11"/>
        <rFont val="Calibri"/>
        <family val="2"/>
        <scheme val="minor"/>
      </rPr>
      <t xml:space="preserve"> not volatilized in Dry Matter analysis</t>
    </r>
  </si>
  <si>
    <r>
      <t>Msat</t>
    </r>
    <r>
      <rPr>
        <vertAlign val="subscript"/>
        <sz val="11"/>
        <rFont val="Calibri"/>
        <family val="2"/>
        <scheme val="minor"/>
      </rPr>
      <t>SCa,KCa</t>
    </r>
  </si>
  <si>
    <t>Saturation term for Ca for BIO</t>
  </si>
  <si>
    <r>
      <t>Msat(S</t>
    </r>
    <r>
      <rPr>
        <vertAlign val="subscript"/>
        <sz val="11"/>
        <rFont val="Calibri"/>
        <family val="2"/>
        <scheme val="minor"/>
      </rPr>
      <t>Ca</t>
    </r>
    <r>
      <rPr>
        <sz val="11"/>
        <rFont val="Calibri"/>
        <family val="2"/>
        <scheme val="minor"/>
      </rPr>
      <t>;K</t>
    </r>
    <r>
      <rPr>
        <vertAlign val="subscript"/>
        <sz val="11"/>
        <rFont val="Calibri"/>
        <family val="2"/>
        <scheme val="minor"/>
      </rPr>
      <t>Ca,BIO</t>
    </r>
    <r>
      <rPr>
        <sz val="11"/>
        <rFont val="Calibri"/>
        <family val="2"/>
        <scheme val="minor"/>
      </rPr>
      <t>)</t>
    </r>
  </si>
  <si>
    <r>
      <t>Msat</t>
    </r>
    <r>
      <rPr>
        <vertAlign val="subscript"/>
        <sz val="11"/>
        <rFont val="Calibri"/>
        <family val="2"/>
        <scheme val="minor"/>
      </rPr>
      <t>SMg,KMg</t>
    </r>
  </si>
  <si>
    <t>Saturation term for Mg for BIO</t>
  </si>
  <si>
    <r>
      <t>Msat(S</t>
    </r>
    <r>
      <rPr>
        <vertAlign val="subscript"/>
        <sz val="11"/>
        <rFont val="Calibri"/>
        <family val="2"/>
        <scheme val="minor"/>
      </rPr>
      <t>Mg</t>
    </r>
    <r>
      <rPr>
        <sz val="11"/>
        <rFont val="Calibri"/>
        <family val="2"/>
        <scheme val="minor"/>
      </rPr>
      <t>;K</t>
    </r>
    <r>
      <rPr>
        <vertAlign val="subscript"/>
        <sz val="11"/>
        <rFont val="Calibri"/>
        <family val="2"/>
        <scheme val="minor"/>
      </rPr>
      <t>Mg,BIO</t>
    </r>
    <r>
      <rPr>
        <sz val="11"/>
        <rFont val="Calibri"/>
        <family val="2"/>
        <scheme val="minor"/>
      </rPr>
      <t>)</t>
    </r>
  </si>
  <si>
    <r>
      <t>K</t>
    </r>
    <r>
      <rPr>
        <vertAlign val="subscript"/>
        <sz val="11"/>
        <rFont val="Calibri"/>
        <family val="2"/>
        <scheme val="minor"/>
      </rPr>
      <t>Mg,BIO</t>
    </r>
  </si>
  <si>
    <t>Half-saturation of Mg for biomasses</t>
  </si>
  <si>
    <r>
      <t>K</t>
    </r>
    <r>
      <rPr>
        <vertAlign val="subscript"/>
        <sz val="11"/>
        <rFont val="Calibri"/>
        <family val="2"/>
        <scheme val="minor"/>
      </rPr>
      <t>Mg,BIO,AS</t>
    </r>
    <r>
      <rPr>
        <sz val="11"/>
        <rFont val="Calibri"/>
        <family val="2"/>
        <scheme val="minor"/>
      </rPr>
      <t>*f</t>
    </r>
    <r>
      <rPr>
        <vertAlign val="subscript"/>
        <sz val="11"/>
        <rFont val="Calibri"/>
        <family val="2"/>
        <scheme val="minor"/>
      </rPr>
      <t>KS</t>
    </r>
  </si>
  <si>
    <r>
      <t>K</t>
    </r>
    <r>
      <rPr>
        <vertAlign val="subscript"/>
        <sz val="11"/>
        <rFont val="Calibri"/>
        <family val="2"/>
        <scheme val="minor"/>
      </rPr>
      <t>Ca,BIO</t>
    </r>
  </si>
  <si>
    <t>Half-saturation of Ca for biomasses</t>
  </si>
  <si>
    <r>
      <t>K</t>
    </r>
    <r>
      <rPr>
        <vertAlign val="subscript"/>
        <sz val="11"/>
        <rFont val="Calibri"/>
        <family val="2"/>
        <scheme val="minor"/>
      </rPr>
      <t>Ca,BIO,AS</t>
    </r>
    <r>
      <rPr>
        <sz val="11"/>
        <rFont val="Calibri"/>
        <family val="2"/>
        <scheme val="minor"/>
      </rPr>
      <t>*f</t>
    </r>
    <r>
      <rPr>
        <vertAlign val="subscript"/>
        <sz val="11"/>
        <rFont val="Calibri"/>
        <family val="2"/>
        <scheme val="minor"/>
      </rPr>
      <t>KS</t>
    </r>
  </si>
  <si>
    <r>
      <t>X</t>
    </r>
    <r>
      <rPr>
        <vertAlign val="subscript"/>
        <sz val="11"/>
        <rFont val="Calibri"/>
        <family val="2"/>
        <scheme val="minor"/>
      </rPr>
      <t>TSS</t>
    </r>
    <r>
      <rPr>
        <sz val="11"/>
        <rFont val="Calibri"/>
        <family val="2"/>
        <scheme val="minor"/>
      </rPr>
      <t>+S</t>
    </r>
    <r>
      <rPr>
        <vertAlign val="subscript"/>
        <sz val="11"/>
        <rFont val="Calibri"/>
        <family val="2"/>
        <scheme val="minor"/>
      </rPr>
      <t>U</t>
    </r>
    <r>
      <rPr>
        <sz val="11"/>
        <rFont val="Calibri"/>
        <family val="2"/>
        <scheme val="minor"/>
      </rPr>
      <t>/i</t>
    </r>
    <r>
      <rPr>
        <vertAlign val="subscript"/>
        <sz val="11"/>
        <rFont val="Calibri"/>
        <family val="2"/>
        <scheme val="minor"/>
      </rPr>
      <t>CV,SU</t>
    </r>
    <r>
      <rPr>
        <sz val="11"/>
        <rFont val="Calibri"/>
        <family val="2"/>
        <scheme val="minor"/>
      </rPr>
      <t>+(S</t>
    </r>
    <r>
      <rPr>
        <vertAlign val="subscript"/>
        <sz val="11"/>
        <rFont val="Calibri"/>
        <family val="2"/>
        <scheme val="minor"/>
      </rPr>
      <t>B,mono</t>
    </r>
    <r>
      <rPr>
        <sz val="11"/>
        <rFont val="Calibri"/>
        <family val="2"/>
        <scheme val="minor"/>
      </rPr>
      <t>+S</t>
    </r>
    <r>
      <rPr>
        <vertAlign val="subscript"/>
        <sz val="11"/>
        <rFont val="Calibri"/>
        <family val="2"/>
        <scheme val="minor"/>
      </rPr>
      <t>B,poly</t>
    </r>
    <r>
      <rPr>
        <sz val="11"/>
        <rFont val="Calibri"/>
        <family val="2"/>
        <scheme val="minor"/>
      </rPr>
      <t>)/i</t>
    </r>
    <r>
      <rPr>
        <vertAlign val="subscript"/>
        <sz val="11"/>
        <rFont val="Calibri"/>
        <family val="2"/>
        <scheme val="minor"/>
      </rPr>
      <t>CV,SB</t>
    </r>
    <r>
      <rPr>
        <sz val="11"/>
        <rFont val="Calibri"/>
        <family val="2"/>
        <scheme val="minor"/>
      </rPr>
      <t>+f</t>
    </r>
    <r>
      <rPr>
        <vertAlign val="subscript"/>
        <sz val="11"/>
        <rFont val="Calibri"/>
        <family val="2"/>
        <scheme val="minor"/>
      </rPr>
      <t>VFA,DM</t>
    </r>
    <r>
      <rPr>
        <sz val="11"/>
        <rFont val="Calibri"/>
        <family val="2"/>
        <scheme val="minor"/>
      </rPr>
      <t>*S</t>
    </r>
    <r>
      <rPr>
        <vertAlign val="subscript"/>
        <sz val="11"/>
        <rFont val="Calibri"/>
        <family val="2"/>
        <scheme val="minor"/>
      </rPr>
      <t>VFA</t>
    </r>
    <r>
      <rPr>
        <sz val="11"/>
        <rFont val="Calibri"/>
        <family val="2"/>
        <scheme val="minor"/>
      </rPr>
      <t>/i</t>
    </r>
    <r>
      <rPr>
        <vertAlign val="subscript"/>
        <sz val="11"/>
        <rFont val="Calibri"/>
        <family val="2"/>
        <scheme val="minor"/>
      </rPr>
      <t>CV,VFA</t>
    </r>
    <r>
      <rPr>
        <sz val="11"/>
        <rFont val="Calibri"/>
        <family val="2"/>
        <scheme val="minor"/>
      </rPr>
      <t>+C</t>
    </r>
    <r>
      <rPr>
        <vertAlign val="subscript"/>
        <sz val="11"/>
        <rFont val="Calibri"/>
        <family val="2"/>
        <scheme val="minor"/>
      </rPr>
      <t>B</t>
    </r>
    <r>
      <rPr>
        <sz val="11"/>
        <rFont val="Calibri"/>
        <family val="2"/>
        <scheme val="minor"/>
      </rPr>
      <t>/i</t>
    </r>
    <r>
      <rPr>
        <vertAlign val="subscript"/>
        <sz val="11"/>
        <rFont val="Calibri"/>
        <family val="2"/>
        <scheme val="minor"/>
      </rPr>
      <t>CV,CB</t>
    </r>
    <r>
      <rPr>
        <sz val="11"/>
        <rFont val="Calibri"/>
        <family val="2"/>
        <scheme val="minor"/>
      </rPr>
      <t>+C</t>
    </r>
    <r>
      <rPr>
        <vertAlign val="subscript"/>
        <sz val="11"/>
        <rFont val="Calibri"/>
        <family val="2"/>
        <scheme val="minor"/>
      </rPr>
      <t>U</t>
    </r>
    <r>
      <rPr>
        <sz val="11"/>
        <rFont val="Calibri"/>
        <family val="2"/>
        <scheme val="minor"/>
      </rPr>
      <t>/i</t>
    </r>
    <r>
      <rPr>
        <vertAlign val="subscript"/>
        <sz val="11"/>
        <rFont val="Calibri"/>
        <family val="2"/>
        <scheme val="minor"/>
      </rPr>
      <t>CV,CU</t>
    </r>
    <r>
      <rPr>
        <sz val="11"/>
        <rFont val="Calibri"/>
        <family val="2"/>
        <scheme val="minor"/>
      </rPr>
      <t>+S</t>
    </r>
    <r>
      <rPr>
        <vertAlign val="subscript"/>
        <sz val="11"/>
        <rFont val="Calibri"/>
        <family val="2"/>
        <scheme val="minor"/>
      </rPr>
      <t>NO3</t>
    </r>
    <r>
      <rPr>
        <sz val="11"/>
        <rFont val="Calibri"/>
        <family val="2"/>
        <scheme val="minor"/>
      </rPr>
      <t>*MM</t>
    </r>
    <r>
      <rPr>
        <vertAlign val="subscript"/>
        <sz val="11"/>
        <rFont val="Calibri"/>
        <family val="2"/>
        <scheme val="minor"/>
      </rPr>
      <t>NO3</t>
    </r>
    <r>
      <rPr>
        <sz val="11"/>
        <rFont val="Calibri"/>
        <family val="2"/>
        <scheme val="minor"/>
      </rPr>
      <t>/AM</t>
    </r>
    <r>
      <rPr>
        <vertAlign val="subscript"/>
        <sz val="11"/>
        <rFont val="Calibri"/>
        <family val="2"/>
        <scheme val="minor"/>
      </rPr>
      <t>N</t>
    </r>
    <r>
      <rPr>
        <sz val="11"/>
        <rFont val="Calibri"/>
        <family val="2"/>
        <scheme val="minor"/>
      </rPr>
      <t>+S</t>
    </r>
    <r>
      <rPr>
        <vertAlign val="subscript"/>
        <sz val="11"/>
        <rFont val="Calibri"/>
        <family val="2"/>
        <scheme val="minor"/>
      </rPr>
      <t>NO2</t>
    </r>
    <r>
      <rPr>
        <sz val="11"/>
        <rFont val="Calibri"/>
        <family val="2"/>
        <scheme val="minor"/>
      </rPr>
      <t>*MM</t>
    </r>
    <r>
      <rPr>
        <vertAlign val="subscript"/>
        <sz val="11"/>
        <rFont val="Calibri"/>
        <family val="2"/>
        <scheme val="minor"/>
      </rPr>
      <t>NO2</t>
    </r>
    <r>
      <rPr>
        <sz val="11"/>
        <rFont val="Calibri"/>
        <family val="2"/>
        <scheme val="minor"/>
      </rPr>
      <t>/AM</t>
    </r>
    <r>
      <rPr>
        <vertAlign val="subscript"/>
        <sz val="11"/>
        <rFont val="Calibri"/>
        <family val="2"/>
        <scheme val="minor"/>
      </rPr>
      <t>N</t>
    </r>
    <r>
      <rPr>
        <sz val="11"/>
        <rFont val="Calibri"/>
        <family val="2"/>
        <scheme val="minor"/>
      </rPr>
      <t>+S</t>
    </r>
    <r>
      <rPr>
        <vertAlign val="subscript"/>
        <sz val="11"/>
        <rFont val="Calibri"/>
        <family val="2"/>
        <scheme val="minor"/>
      </rPr>
      <t>PO4</t>
    </r>
    <r>
      <rPr>
        <sz val="11"/>
        <rFont val="Calibri"/>
        <family val="2"/>
        <scheme val="minor"/>
      </rPr>
      <t>*MM</t>
    </r>
    <r>
      <rPr>
        <vertAlign val="subscript"/>
        <sz val="11"/>
        <rFont val="Calibri"/>
        <family val="2"/>
        <scheme val="minor"/>
      </rPr>
      <t>PO4</t>
    </r>
    <r>
      <rPr>
        <sz val="11"/>
        <rFont val="Calibri"/>
        <family val="2"/>
        <scheme val="minor"/>
      </rPr>
      <t>/AM</t>
    </r>
    <r>
      <rPr>
        <vertAlign val="subscript"/>
        <sz val="11"/>
        <rFont val="Calibri"/>
        <family val="2"/>
        <scheme val="minor"/>
      </rPr>
      <t>P</t>
    </r>
    <r>
      <rPr>
        <sz val="11"/>
        <rFont val="Calibri"/>
        <family val="2"/>
        <scheme val="minor"/>
      </rPr>
      <t>+S</t>
    </r>
    <r>
      <rPr>
        <vertAlign val="subscript"/>
        <sz val="11"/>
        <rFont val="Calibri"/>
        <family val="2"/>
        <scheme val="minor"/>
      </rPr>
      <t>CAT</t>
    </r>
    <r>
      <rPr>
        <sz val="11"/>
        <rFont val="Calibri"/>
        <family val="2"/>
        <scheme val="minor"/>
      </rPr>
      <t>+S</t>
    </r>
    <r>
      <rPr>
        <vertAlign val="subscript"/>
        <sz val="11"/>
        <rFont val="Calibri"/>
        <family val="2"/>
        <scheme val="minor"/>
      </rPr>
      <t>AN</t>
    </r>
    <r>
      <rPr>
        <sz val="11"/>
        <rFont val="Calibri"/>
        <family val="2"/>
        <scheme val="minor"/>
      </rPr>
      <t>+S</t>
    </r>
    <r>
      <rPr>
        <vertAlign val="subscript"/>
        <sz val="11"/>
        <rFont val="Calibri"/>
        <family val="2"/>
        <scheme val="minor"/>
      </rPr>
      <t>Ca</t>
    </r>
    <r>
      <rPr>
        <sz val="11"/>
        <rFont val="Calibri"/>
        <family val="2"/>
        <scheme val="minor"/>
      </rPr>
      <t>+S</t>
    </r>
    <r>
      <rPr>
        <vertAlign val="subscript"/>
        <sz val="11"/>
        <rFont val="Calibri"/>
        <family val="2"/>
        <scheme val="minor"/>
      </rPr>
      <t>Mg</t>
    </r>
    <r>
      <rPr>
        <sz val="11"/>
        <rFont val="Calibri"/>
        <family val="2"/>
        <scheme val="minor"/>
      </rPr>
      <t>+S</t>
    </r>
    <r>
      <rPr>
        <vertAlign val="subscript"/>
        <sz val="11"/>
        <rFont val="Calibri"/>
        <family val="2"/>
        <scheme val="minor"/>
      </rPr>
      <t>K</t>
    </r>
    <r>
      <rPr>
        <sz val="11"/>
        <rFont val="Calibri"/>
        <family val="2"/>
        <scheme val="minor"/>
      </rPr>
      <t>+S</t>
    </r>
    <r>
      <rPr>
        <vertAlign val="subscript"/>
        <sz val="11"/>
        <rFont val="Calibri"/>
        <family val="2"/>
        <scheme val="minor"/>
      </rPr>
      <t>Fe2</t>
    </r>
  </si>
  <si>
    <r>
      <t>-i</t>
    </r>
    <r>
      <rPr>
        <vertAlign val="subscript"/>
        <sz val="11"/>
        <rFont val="Calibri"/>
        <family val="2"/>
      </rPr>
      <t>INORG</t>
    </r>
    <r>
      <rPr>
        <sz val="11"/>
        <rFont val="Calibri"/>
        <family val="2"/>
      </rPr>
      <t>*(1-i</t>
    </r>
    <r>
      <rPr>
        <vertAlign val="subscript"/>
        <sz val="11"/>
        <rFont val="Calibri"/>
        <family val="2"/>
      </rPr>
      <t>Ca,INORG</t>
    </r>
    <r>
      <rPr>
        <sz val="11"/>
        <rFont val="Calibri"/>
        <family val="2"/>
      </rPr>
      <t>*(AM</t>
    </r>
    <r>
      <rPr>
        <vertAlign val="subscript"/>
        <sz val="11"/>
        <rFont val="Calibri"/>
        <family val="2"/>
      </rPr>
      <t>Ca</t>
    </r>
    <r>
      <rPr>
        <sz val="11"/>
        <rFont val="Calibri"/>
        <family val="2"/>
      </rPr>
      <t>+2*AM</t>
    </r>
    <r>
      <rPr>
        <vertAlign val="subscript"/>
        <sz val="11"/>
        <rFont val="Calibri"/>
        <family val="2"/>
      </rPr>
      <t>Cl</t>
    </r>
    <r>
      <rPr>
        <sz val="11"/>
        <rFont val="Calibri"/>
        <family val="2"/>
      </rPr>
      <t>)/AM</t>
    </r>
    <r>
      <rPr>
        <vertAlign val="subscript"/>
        <sz val="11"/>
        <rFont val="Calibri"/>
        <family val="2"/>
      </rPr>
      <t>Ca</t>
    </r>
    <r>
      <rPr>
        <sz val="11"/>
        <rFont val="Calibri"/>
        <family val="2"/>
      </rPr>
      <t>-i</t>
    </r>
    <r>
      <rPr>
        <vertAlign val="subscript"/>
        <sz val="11"/>
        <rFont val="Calibri"/>
        <family val="2"/>
      </rPr>
      <t>Mg,INORG</t>
    </r>
    <r>
      <rPr>
        <sz val="11"/>
        <rFont val="Calibri"/>
        <family val="2"/>
      </rPr>
      <t>*(AM</t>
    </r>
    <r>
      <rPr>
        <vertAlign val="subscript"/>
        <sz val="11"/>
        <rFont val="Calibri"/>
        <family val="2"/>
      </rPr>
      <t>Mg</t>
    </r>
    <r>
      <rPr>
        <sz val="11"/>
        <rFont val="Calibri"/>
        <family val="2"/>
      </rPr>
      <t>+2*AM</t>
    </r>
    <r>
      <rPr>
        <vertAlign val="subscript"/>
        <sz val="11"/>
        <rFont val="Calibri"/>
        <family val="2"/>
      </rPr>
      <t>Cl</t>
    </r>
    <r>
      <rPr>
        <sz val="11"/>
        <rFont val="Calibri"/>
        <family val="2"/>
      </rPr>
      <t>)/AM</t>
    </r>
    <r>
      <rPr>
        <vertAlign val="subscript"/>
        <sz val="11"/>
        <rFont val="Calibri"/>
        <family val="2"/>
      </rPr>
      <t>Mg)</t>
    </r>
    <r>
      <rPr>
        <sz val="11"/>
        <rFont val="Calibri"/>
        <family val="2"/>
      </rPr>
      <t>*f</t>
    </r>
    <r>
      <rPr>
        <vertAlign val="subscript"/>
        <sz val="11"/>
        <rFont val="Calibri"/>
        <family val="2"/>
      </rPr>
      <t>Na</t>
    </r>
  </si>
  <si>
    <r>
      <t>-i</t>
    </r>
    <r>
      <rPr>
        <vertAlign val="subscript"/>
        <sz val="11"/>
        <rFont val="Calibri"/>
        <family val="2"/>
      </rPr>
      <t>INORG</t>
    </r>
    <r>
      <rPr>
        <sz val="11"/>
        <rFont val="Calibri"/>
        <family val="2"/>
      </rPr>
      <t>*(i</t>
    </r>
    <r>
      <rPr>
        <vertAlign val="subscript"/>
        <sz val="11"/>
        <rFont val="Calibri"/>
        <family val="2"/>
      </rPr>
      <t>Ca,INORG</t>
    </r>
    <r>
      <rPr>
        <sz val="11"/>
        <rFont val="Calibri"/>
        <family val="2"/>
      </rPr>
      <t>*(2*AM</t>
    </r>
    <r>
      <rPr>
        <vertAlign val="subscript"/>
        <sz val="11"/>
        <rFont val="Calibri"/>
        <family val="2"/>
      </rPr>
      <t>Cl</t>
    </r>
    <r>
      <rPr>
        <sz val="11"/>
        <rFont val="Calibri"/>
        <family val="2"/>
      </rPr>
      <t>)/AM</t>
    </r>
    <r>
      <rPr>
        <vertAlign val="subscript"/>
        <sz val="11"/>
        <rFont val="Calibri"/>
        <family val="2"/>
      </rPr>
      <t>Ca</t>
    </r>
    <r>
      <rPr>
        <sz val="11"/>
        <rFont val="Calibri"/>
        <family val="2"/>
      </rPr>
      <t>+i</t>
    </r>
    <r>
      <rPr>
        <vertAlign val="subscript"/>
        <sz val="11"/>
        <rFont val="Calibri"/>
        <family val="2"/>
      </rPr>
      <t>Mg,INORG</t>
    </r>
    <r>
      <rPr>
        <sz val="11"/>
        <rFont val="Calibri"/>
        <family val="2"/>
      </rPr>
      <t>*(2*AM</t>
    </r>
    <r>
      <rPr>
        <vertAlign val="subscript"/>
        <sz val="11"/>
        <rFont val="Calibri"/>
        <family val="2"/>
      </rPr>
      <t>Cl</t>
    </r>
    <r>
      <rPr>
        <sz val="11"/>
        <rFont val="Calibri"/>
        <family val="2"/>
      </rPr>
      <t>)/AM</t>
    </r>
    <r>
      <rPr>
        <vertAlign val="subscript"/>
        <sz val="11"/>
        <rFont val="Calibri"/>
        <family val="2"/>
      </rPr>
      <t>Mg</t>
    </r>
    <r>
      <rPr>
        <sz val="11"/>
        <rFont val="Calibri"/>
        <family val="2"/>
      </rPr>
      <t>)-i</t>
    </r>
    <r>
      <rPr>
        <vertAlign val="subscript"/>
        <sz val="11"/>
        <rFont val="Calibri"/>
        <family val="2"/>
      </rPr>
      <t>INORG</t>
    </r>
    <r>
      <rPr>
        <sz val="11"/>
        <rFont val="Calibri"/>
        <family val="2"/>
      </rPr>
      <t>*(1-i</t>
    </r>
    <r>
      <rPr>
        <vertAlign val="subscript"/>
        <sz val="11"/>
        <rFont val="Calibri"/>
        <family val="2"/>
      </rPr>
      <t>Ca,INORG</t>
    </r>
    <r>
      <rPr>
        <sz val="11"/>
        <rFont val="Calibri"/>
        <family val="2"/>
      </rPr>
      <t>*(AM</t>
    </r>
    <r>
      <rPr>
        <vertAlign val="subscript"/>
        <sz val="11"/>
        <rFont val="Calibri"/>
        <family val="2"/>
      </rPr>
      <t>Ca</t>
    </r>
    <r>
      <rPr>
        <sz val="11"/>
        <rFont val="Calibri"/>
        <family val="2"/>
      </rPr>
      <t>+2*AM</t>
    </r>
    <r>
      <rPr>
        <vertAlign val="subscript"/>
        <sz val="11"/>
        <rFont val="Calibri"/>
        <family val="2"/>
      </rPr>
      <t>Cl</t>
    </r>
    <r>
      <rPr>
        <sz val="11"/>
        <rFont val="Calibri"/>
        <family val="2"/>
      </rPr>
      <t>)/AM</t>
    </r>
    <r>
      <rPr>
        <vertAlign val="subscript"/>
        <sz val="11"/>
        <rFont val="Calibri"/>
        <family val="2"/>
      </rPr>
      <t>Ca</t>
    </r>
    <r>
      <rPr>
        <sz val="11"/>
        <rFont val="Calibri"/>
        <family val="2"/>
      </rPr>
      <t>-i</t>
    </r>
    <r>
      <rPr>
        <vertAlign val="subscript"/>
        <sz val="11"/>
        <rFont val="Calibri"/>
        <family val="2"/>
      </rPr>
      <t>Mg,INORG</t>
    </r>
    <r>
      <rPr>
        <sz val="11"/>
        <rFont val="Calibri"/>
        <family val="2"/>
      </rPr>
      <t>*(AM</t>
    </r>
    <r>
      <rPr>
        <vertAlign val="subscript"/>
        <sz val="11"/>
        <rFont val="Calibri"/>
        <family val="2"/>
      </rPr>
      <t>Mg</t>
    </r>
    <r>
      <rPr>
        <sz val="11"/>
        <rFont val="Calibri"/>
        <family val="2"/>
      </rPr>
      <t>+2*AM</t>
    </r>
    <r>
      <rPr>
        <vertAlign val="subscript"/>
        <sz val="11"/>
        <rFont val="Calibri"/>
        <family val="2"/>
      </rPr>
      <t>Cl</t>
    </r>
    <r>
      <rPr>
        <sz val="11"/>
        <rFont val="Calibri"/>
        <family val="2"/>
      </rPr>
      <t>)/AM</t>
    </r>
    <r>
      <rPr>
        <vertAlign val="subscript"/>
        <sz val="11"/>
        <rFont val="Calibri"/>
        <family val="2"/>
      </rPr>
      <t>Mg)</t>
    </r>
    <r>
      <rPr>
        <sz val="11"/>
        <rFont val="Calibri"/>
        <family val="2"/>
      </rPr>
      <t>*(1-f</t>
    </r>
    <r>
      <rPr>
        <vertAlign val="subscript"/>
        <sz val="11"/>
        <rFont val="Calibri"/>
        <family val="2"/>
      </rPr>
      <t>Na</t>
    </r>
    <r>
      <rPr>
        <sz val="11"/>
        <rFont val="Calibri"/>
        <family val="2"/>
      </rPr>
      <t>)</t>
    </r>
  </si>
  <si>
    <r>
      <t>-i</t>
    </r>
    <r>
      <rPr>
        <vertAlign val="subscript"/>
        <sz val="11"/>
        <rFont val="Calibri"/>
        <family val="2"/>
      </rPr>
      <t>INORG</t>
    </r>
    <r>
      <rPr>
        <sz val="11"/>
        <rFont val="Calibri"/>
        <family val="2"/>
      </rPr>
      <t>*i</t>
    </r>
    <r>
      <rPr>
        <vertAlign val="subscript"/>
        <sz val="11"/>
        <rFont val="Calibri"/>
        <family val="2"/>
      </rPr>
      <t>Ca,INORG</t>
    </r>
  </si>
  <si>
    <r>
      <t>-i</t>
    </r>
    <r>
      <rPr>
        <vertAlign val="subscript"/>
        <sz val="11"/>
        <rFont val="Calibri"/>
        <family val="2"/>
      </rPr>
      <t>INORG</t>
    </r>
    <r>
      <rPr>
        <sz val="11"/>
        <rFont val="Calibri"/>
        <family val="2"/>
      </rPr>
      <t>*i</t>
    </r>
    <r>
      <rPr>
        <vertAlign val="subscript"/>
        <sz val="11"/>
        <rFont val="Calibri"/>
        <family val="2"/>
      </rPr>
      <t>Mg,INORG</t>
    </r>
  </si>
  <si>
    <r>
      <t>i</t>
    </r>
    <r>
      <rPr>
        <vertAlign val="subscript"/>
        <sz val="11"/>
        <rFont val="Calibri"/>
        <family val="2"/>
      </rPr>
      <t>INORG</t>
    </r>
    <r>
      <rPr>
        <sz val="11"/>
        <rFont val="Calibri"/>
        <family val="2"/>
      </rPr>
      <t>*(1-i</t>
    </r>
    <r>
      <rPr>
        <vertAlign val="subscript"/>
        <sz val="11"/>
        <rFont val="Calibri"/>
        <family val="2"/>
      </rPr>
      <t>Ca,INORG</t>
    </r>
    <r>
      <rPr>
        <sz val="11"/>
        <rFont val="Calibri"/>
        <family val="2"/>
      </rPr>
      <t>*(AM</t>
    </r>
    <r>
      <rPr>
        <vertAlign val="subscript"/>
        <sz val="11"/>
        <rFont val="Calibri"/>
        <family val="2"/>
      </rPr>
      <t>Ca</t>
    </r>
    <r>
      <rPr>
        <sz val="11"/>
        <rFont val="Calibri"/>
        <family val="2"/>
      </rPr>
      <t>+2*AM</t>
    </r>
    <r>
      <rPr>
        <vertAlign val="subscript"/>
        <sz val="11"/>
        <rFont val="Calibri"/>
        <family val="2"/>
      </rPr>
      <t>Cl</t>
    </r>
    <r>
      <rPr>
        <sz val="11"/>
        <rFont val="Calibri"/>
        <family val="2"/>
      </rPr>
      <t>)/AM</t>
    </r>
    <r>
      <rPr>
        <vertAlign val="subscript"/>
        <sz val="11"/>
        <rFont val="Calibri"/>
        <family val="2"/>
      </rPr>
      <t>Ca</t>
    </r>
    <r>
      <rPr>
        <sz val="11"/>
        <rFont val="Calibri"/>
        <family val="2"/>
      </rPr>
      <t>-i</t>
    </r>
    <r>
      <rPr>
        <vertAlign val="subscript"/>
        <sz val="11"/>
        <rFont val="Calibri"/>
        <family val="2"/>
      </rPr>
      <t>Mg,INORG</t>
    </r>
    <r>
      <rPr>
        <sz val="11"/>
        <rFont val="Calibri"/>
        <family val="2"/>
      </rPr>
      <t>*(AM</t>
    </r>
    <r>
      <rPr>
        <vertAlign val="subscript"/>
        <sz val="11"/>
        <rFont val="Calibri"/>
        <family val="2"/>
      </rPr>
      <t>Mg</t>
    </r>
    <r>
      <rPr>
        <sz val="11"/>
        <rFont val="Calibri"/>
        <family val="2"/>
      </rPr>
      <t>+2*AM</t>
    </r>
    <r>
      <rPr>
        <vertAlign val="subscript"/>
        <sz val="11"/>
        <rFont val="Calibri"/>
        <family val="2"/>
      </rPr>
      <t>Cl</t>
    </r>
    <r>
      <rPr>
        <sz val="11"/>
        <rFont val="Calibri"/>
        <family val="2"/>
      </rPr>
      <t>)/AM</t>
    </r>
    <r>
      <rPr>
        <vertAlign val="subscript"/>
        <sz val="11"/>
        <rFont val="Calibri"/>
        <family val="2"/>
      </rPr>
      <t>Mg)</t>
    </r>
    <r>
      <rPr>
        <sz val="11"/>
        <rFont val="Calibri"/>
        <family val="2"/>
      </rPr>
      <t>*f</t>
    </r>
    <r>
      <rPr>
        <vertAlign val="subscript"/>
        <sz val="11"/>
        <rFont val="Calibri"/>
        <family val="2"/>
      </rPr>
      <t>Na</t>
    </r>
  </si>
  <si>
    <r>
      <t>i</t>
    </r>
    <r>
      <rPr>
        <vertAlign val="subscript"/>
        <sz val="11"/>
        <rFont val="Calibri"/>
        <family val="2"/>
      </rPr>
      <t>INORG</t>
    </r>
    <r>
      <rPr>
        <sz val="11"/>
        <rFont val="Calibri"/>
        <family val="2"/>
      </rPr>
      <t>*(i</t>
    </r>
    <r>
      <rPr>
        <vertAlign val="subscript"/>
        <sz val="11"/>
        <rFont val="Calibri"/>
        <family val="2"/>
      </rPr>
      <t>Ca,INORG</t>
    </r>
    <r>
      <rPr>
        <sz val="11"/>
        <rFont val="Calibri"/>
        <family val="2"/>
      </rPr>
      <t>*(2*AM</t>
    </r>
    <r>
      <rPr>
        <vertAlign val="subscript"/>
        <sz val="11"/>
        <rFont val="Calibri"/>
        <family val="2"/>
      </rPr>
      <t>Cl</t>
    </r>
    <r>
      <rPr>
        <sz val="11"/>
        <rFont val="Calibri"/>
        <family val="2"/>
      </rPr>
      <t>)/AM</t>
    </r>
    <r>
      <rPr>
        <vertAlign val="subscript"/>
        <sz val="11"/>
        <rFont val="Calibri"/>
        <family val="2"/>
      </rPr>
      <t>Ca</t>
    </r>
    <r>
      <rPr>
        <sz val="11"/>
        <rFont val="Calibri"/>
        <family val="2"/>
      </rPr>
      <t>+i</t>
    </r>
    <r>
      <rPr>
        <vertAlign val="subscript"/>
        <sz val="11"/>
        <rFont val="Calibri"/>
        <family val="2"/>
      </rPr>
      <t>Mg,INORG</t>
    </r>
    <r>
      <rPr>
        <sz val="11"/>
        <rFont val="Calibri"/>
        <family val="2"/>
      </rPr>
      <t>*(2*AM</t>
    </r>
    <r>
      <rPr>
        <vertAlign val="subscript"/>
        <sz val="11"/>
        <rFont val="Calibri"/>
        <family val="2"/>
      </rPr>
      <t>Cl</t>
    </r>
    <r>
      <rPr>
        <sz val="11"/>
        <rFont val="Calibri"/>
        <family val="2"/>
      </rPr>
      <t>)/AM</t>
    </r>
    <r>
      <rPr>
        <vertAlign val="subscript"/>
        <sz val="11"/>
        <rFont val="Calibri"/>
        <family val="2"/>
      </rPr>
      <t>Mg</t>
    </r>
    <r>
      <rPr>
        <sz val="11"/>
        <rFont val="Calibri"/>
        <family val="2"/>
      </rPr>
      <t>)+i</t>
    </r>
    <r>
      <rPr>
        <vertAlign val="subscript"/>
        <sz val="11"/>
        <rFont val="Calibri"/>
        <family val="2"/>
      </rPr>
      <t>INORG</t>
    </r>
    <r>
      <rPr>
        <sz val="11"/>
        <rFont val="Calibri"/>
        <family val="2"/>
      </rPr>
      <t>*(1-i</t>
    </r>
    <r>
      <rPr>
        <vertAlign val="subscript"/>
        <sz val="11"/>
        <rFont val="Calibri"/>
        <family val="2"/>
      </rPr>
      <t>Ca,INORG</t>
    </r>
    <r>
      <rPr>
        <sz val="11"/>
        <rFont val="Calibri"/>
        <family val="2"/>
      </rPr>
      <t>*(AM</t>
    </r>
    <r>
      <rPr>
        <vertAlign val="subscript"/>
        <sz val="11"/>
        <rFont val="Calibri"/>
        <family val="2"/>
      </rPr>
      <t>Ca</t>
    </r>
    <r>
      <rPr>
        <sz val="11"/>
        <rFont val="Calibri"/>
        <family val="2"/>
      </rPr>
      <t>+2*AM</t>
    </r>
    <r>
      <rPr>
        <vertAlign val="subscript"/>
        <sz val="11"/>
        <rFont val="Calibri"/>
        <family val="2"/>
      </rPr>
      <t>Cl</t>
    </r>
    <r>
      <rPr>
        <sz val="11"/>
        <rFont val="Calibri"/>
        <family val="2"/>
      </rPr>
      <t>)/AM</t>
    </r>
    <r>
      <rPr>
        <vertAlign val="subscript"/>
        <sz val="11"/>
        <rFont val="Calibri"/>
        <family val="2"/>
      </rPr>
      <t>Ca</t>
    </r>
    <r>
      <rPr>
        <sz val="11"/>
        <rFont val="Calibri"/>
        <family val="2"/>
      </rPr>
      <t>-i</t>
    </r>
    <r>
      <rPr>
        <vertAlign val="subscript"/>
        <sz val="11"/>
        <rFont val="Calibri"/>
        <family val="2"/>
      </rPr>
      <t>Mg,INORG</t>
    </r>
    <r>
      <rPr>
        <sz val="11"/>
        <rFont val="Calibri"/>
        <family val="2"/>
      </rPr>
      <t>*(AM</t>
    </r>
    <r>
      <rPr>
        <vertAlign val="subscript"/>
        <sz val="11"/>
        <rFont val="Calibri"/>
        <family val="2"/>
      </rPr>
      <t>Mg</t>
    </r>
    <r>
      <rPr>
        <sz val="11"/>
        <rFont val="Calibri"/>
        <family val="2"/>
      </rPr>
      <t>+2*AM</t>
    </r>
    <r>
      <rPr>
        <vertAlign val="subscript"/>
        <sz val="11"/>
        <rFont val="Calibri"/>
        <family val="2"/>
      </rPr>
      <t>Cl</t>
    </r>
    <r>
      <rPr>
        <sz val="11"/>
        <rFont val="Calibri"/>
        <family val="2"/>
      </rPr>
      <t>)/AM</t>
    </r>
    <r>
      <rPr>
        <vertAlign val="subscript"/>
        <sz val="11"/>
        <rFont val="Calibri"/>
        <family val="2"/>
      </rPr>
      <t>Mg)</t>
    </r>
    <r>
      <rPr>
        <sz val="11"/>
        <rFont val="Calibri"/>
        <family val="2"/>
      </rPr>
      <t>*(1-f</t>
    </r>
    <r>
      <rPr>
        <vertAlign val="subscript"/>
        <sz val="11"/>
        <rFont val="Calibri"/>
        <family val="2"/>
      </rPr>
      <t>Na</t>
    </r>
    <r>
      <rPr>
        <sz val="11"/>
        <rFont val="Calibri"/>
        <family val="2"/>
      </rPr>
      <t>)</t>
    </r>
  </si>
  <si>
    <r>
      <t>i</t>
    </r>
    <r>
      <rPr>
        <vertAlign val="subscript"/>
        <sz val="11"/>
        <rFont val="Calibri"/>
        <family val="2"/>
      </rPr>
      <t>INORG</t>
    </r>
    <r>
      <rPr>
        <sz val="11"/>
        <rFont val="Calibri"/>
        <family val="2"/>
      </rPr>
      <t>*i</t>
    </r>
    <r>
      <rPr>
        <vertAlign val="subscript"/>
        <sz val="11"/>
        <rFont val="Calibri"/>
        <family val="2"/>
      </rPr>
      <t>Ca,INORG</t>
    </r>
  </si>
  <si>
    <r>
      <t>i</t>
    </r>
    <r>
      <rPr>
        <vertAlign val="subscript"/>
        <sz val="11"/>
        <rFont val="Calibri"/>
        <family val="2"/>
      </rPr>
      <t>INORG</t>
    </r>
    <r>
      <rPr>
        <sz val="11"/>
        <rFont val="Calibri"/>
        <family val="2"/>
      </rPr>
      <t>*i</t>
    </r>
    <r>
      <rPr>
        <vertAlign val="subscript"/>
        <sz val="11"/>
        <rFont val="Calibri"/>
        <family val="2"/>
      </rPr>
      <t>Mg,INORG</t>
    </r>
  </si>
  <si>
    <r>
      <t>-i</t>
    </r>
    <r>
      <rPr>
        <vertAlign val="subscript"/>
        <sz val="11"/>
        <rFont val="Calibri"/>
        <family val="2"/>
      </rPr>
      <t>INORG</t>
    </r>
    <r>
      <rPr>
        <sz val="11"/>
        <rFont val="Calibri"/>
        <family val="2"/>
      </rPr>
      <t>*i</t>
    </r>
    <r>
      <rPr>
        <vertAlign val="subscript"/>
        <sz val="11"/>
        <rFont val="Calibri"/>
        <family val="2"/>
      </rPr>
      <t>Ca,INORG</t>
    </r>
    <r>
      <rPr>
        <sz val="11"/>
        <rFont val="Calibri"/>
        <family val="2"/>
      </rPr>
      <t>+i</t>
    </r>
    <r>
      <rPr>
        <vertAlign val="subscript"/>
        <sz val="11"/>
        <rFont val="Calibri"/>
        <family val="2"/>
      </rPr>
      <t>Ca,PP</t>
    </r>
    <r>
      <rPr>
        <sz val="11"/>
        <rFont val="Calibri"/>
        <family val="2"/>
      </rPr>
      <t>*AM</t>
    </r>
    <r>
      <rPr>
        <vertAlign val="subscript"/>
        <sz val="11"/>
        <rFont val="Calibri"/>
        <family val="2"/>
      </rPr>
      <t>Ca</t>
    </r>
    <r>
      <rPr>
        <sz val="11"/>
        <rFont val="Calibri"/>
        <family val="2"/>
      </rPr>
      <t>/AM</t>
    </r>
    <r>
      <rPr>
        <vertAlign val="subscript"/>
        <sz val="11"/>
        <rFont val="Calibri"/>
        <family val="2"/>
      </rPr>
      <t>P</t>
    </r>
    <r>
      <rPr>
        <sz val="11"/>
        <rFont val="Calibri"/>
        <family val="2"/>
      </rPr>
      <t>*i</t>
    </r>
    <r>
      <rPr>
        <vertAlign val="subscript"/>
        <sz val="11"/>
        <rFont val="Calibri"/>
        <family val="2"/>
      </rPr>
      <t>P,BIO</t>
    </r>
  </si>
  <si>
    <r>
      <t>-i</t>
    </r>
    <r>
      <rPr>
        <vertAlign val="subscript"/>
        <sz val="11"/>
        <rFont val="Calibri"/>
        <family val="2"/>
      </rPr>
      <t>INORG</t>
    </r>
    <r>
      <rPr>
        <sz val="11"/>
        <rFont val="Calibri"/>
        <family val="2"/>
      </rPr>
      <t>*i</t>
    </r>
    <r>
      <rPr>
        <vertAlign val="subscript"/>
        <sz val="11"/>
        <rFont val="Calibri"/>
        <family val="2"/>
      </rPr>
      <t>Mg,INORG</t>
    </r>
    <r>
      <rPr>
        <sz val="11"/>
        <rFont val="Calibri"/>
        <family val="2"/>
      </rPr>
      <t>+i</t>
    </r>
    <r>
      <rPr>
        <vertAlign val="subscript"/>
        <sz val="11"/>
        <rFont val="Calibri"/>
        <family val="2"/>
      </rPr>
      <t>Mg,PP</t>
    </r>
    <r>
      <rPr>
        <sz val="11"/>
        <rFont val="Calibri"/>
        <family val="2"/>
      </rPr>
      <t>*AM</t>
    </r>
    <r>
      <rPr>
        <vertAlign val="subscript"/>
        <sz val="11"/>
        <rFont val="Calibri"/>
        <family val="2"/>
      </rPr>
      <t>Mg</t>
    </r>
    <r>
      <rPr>
        <sz val="11"/>
        <rFont val="Calibri"/>
        <family val="2"/>
      </rPr>
      <t>/AM</t>
    </r>
    <r>
      <rPr>
        <vertAlign val="subscript"/>
        <sz val="11"/>
        <rFont val="Calibri"/>
        <family val="2"/>
      </rPr>
      <t>P</t>
    </r>
    <r>
      <rPr>
        <sz val="11"/>
        <rFont val="Calibri"/>
        <family val="2"/>
      </rPr>
      <t>*i</t>
    </r>
    <r>
      <rPr>
        <vertAlign val="subscript"/>
        <sz val="11"/>
        <rFont val="Calibri"/>
        <family val="2"/>
      </rPr>
      <t>P,BIO</t>
    </r>
  </si>
  <si>
    <r>
      <t>µ</t>
    </r>
    <r>
      <rPr>
        <vertAlign val="subscript"/>
        <sz val="11"/>
        <rFont val="Calibri"/>
        <family val="2"/>
      </rPr>
      <t>OHO,T</t>
    </r>
    <r>
      <rPr>
        <sz val="11"/>
        <rFont val="Calibri"/>
        <family val="2"/>
      </rPr>
      <t>*X</t>
    </r>
    <r>
      <rPr>
        <vertAlign val="subscript"/>
        <sz val="11"/>
        <rFont val="Calibri"/>
        <family val="2"/>
      </rPr>
      <t>OHO</t>
    </r>
    <r>
      <rPr>
        <sz val="11"/>
        <rFont val="Calibri"/>
        <family val="2"/>
      </rPr>
      <t>*Msat</t>
    </r>
    <r>
      <rPr>
        <vertAlign val="subscript"/>
        <sz val="11"/>
        <rFont val="Calibri"/>
        <family val="2"/>
      </rPr>
      <t>SVFA,KVFA</t>
    </r>
    <r>
      <rPr>
        <sz val="11"/>
        <rFont val="Calibri"/>
        <family val="2"/>
      </rPr>
      <t>*Msat</t>
    </r>
    <r>
      <rPr>
        <vertAlign val="subscript"/>
        <sz val="11"/>
        <rFont val="Calibri"/>
        <family val="2"/>
      </rPr>
      <t>SO2,KO2,OHO</t>
    </r>
    <r>
      <rPr>
        <sz val="11"/>
        <rFont val="Calibri"/>
        <family val="2"/>
      </rPr>
      <t>*Msat</t>
    </r>
    <r>
      <rPr>
        <vertAlign val="subscript"/>
        <sz val="11"/>
        <rFont val="Calibri"/>
        <family val="2"/>
      </rPr>
      <t>SNHx,KNHx,BIO</t>
    </r>
    <r>
      <rPr>
        <sz val="11"/>
        <rFont val="Calibri"/>
        <family val="2"/>
      </rPr>
      <t>*Msat</t>
    </r>
    <r>
      <rPr>
        <vertAlign val="subscript"/>
        <sz val="11"/>
        <rFont val="Calibri"/>
        <family val="2"/>
      </rPr>
      <t>SPO4,KPO4,BIO</t>
    </r>
    <r>
      <rPr>
        <sz val="11"/>
        <rFont val="Calibri"/>
        <family val="2"/>
      </rPr>
      <t>*Msat</t>
    </r>
    <r>
      <rPr>
        <vertAlign val="subscript"/>
        <sz val="11"/>
        <rFont val="Calibri"/>
        <family val="2"/>
      </rPr>
      <t>SCAT,KCAT</t>
    </r>
    <r>
      <rPr>
        <sz val="11"/>
        <rFont val="Calibri"/>
        <family val="2"/>
      </rPr>
      <t>*Msat</t>
    </r>
    <r>
      <rPr>
        <vertAlign val="subscript"/>
        <sz val="11"/>
        <rFont val="Calibri"/>
        <family val="2"/>
      </rPr>
      <t>SAN,KAN</t>
    </r>
    <r>
      <rPr>
        <sz val="11"/>
        <rFont val="Calibri"/>
        <family val="2"/>
      </rPr>
      <t>*Msat</t>
    </r>
    <r>
      <rPr>
        <vertAlign val="subscript"/>
        <sz val="11"/>
        <rFont val="Calibri"/>
        <family val="2"/>
      </rPr>
      <t>SCa,KCa</t>
    </r>
    <r>
      <rPr>
        <sz val="11"/>
        <rFont val="Calibri"/>
        <family val="2"/>
      </rPr>
      <t>*Msat</t>
    </r>
    <r>
      <rPr>
        <vertAlign val="subscript"/>
        <sz val="11"/>
        <rFont val="Calibri"/>
        <family val="2"/>
      </rPr>
      <t>SMg,KMg</t>
    </r>
    <r>
      <rPr>
        <sz val="11"/>
        <rFont val="Calibri"/>
        <family val="2"/>
      </rPr>
      <t>*Bellinh</t>
    </r>
    <r>
      <rPr>
        <vertAlign val="subscript"/>
        <sz val="11"/>
        <rFont val="Calibri"/>
        <family val="2"/>
      </rPr>
      <t>pH</t>
    </r>
  </si>
  <si>
    <r>
      <t>µ</t>
    </r>
    <r>
      <rPr>
        <vertAlign val="subscript"/>
        <sz val="11"/>
        <rFont val="Calibri"/>
        <family val="2"/>
      </rPr>
      <t>OHO,T</t>
    </r>
    <r>
      <rPr>
        <sz val="11"/>
        <rFont val="Calibri"/>
        <family val="2"/>
      </rPr>
      <t>*X</t>
    </r>
    <r>
      <rPr>
        <vertAlign val="subscript"/>
        <sz val="11"/>
        <rFont val="Calibri"/>
        <family val="2"/>
      </rPr>
      <t>OHO</t>
    </r>
    <r>
      <rPr>
        <sz val="11"/>
        <rFont val="Calibri"/>
        <family val="2"/>
      </rPr>
      <t>*Msat</t>
    </r>
    <r>
      <rPr>
        <vertAlign val="subscript"/>
        <sz val="11"/>
        <rFont val="Calibri"/>
        <family val="2"/>
      </rPr>
      <t>SB,KSB,poly</t>
    </r>
    <r>
      <rPr>
        <sz val="11"/>
        <rFont val="Calibri"/>
        <family val="2"/>
      </rPr>
      <t>*Minh</t>
    </r>
    <r>
      <rPr>
        <vertAlign val="subscript"/>
        <sz val="11"/>
        <rFont val="Calibri"/>
        <family val="2"/>
      </rPr>
      <t>SVFA,KVFA</t>
    </r>
    <r>
      <rPr>
        <sz val="11"/>
        <rFont val="Calibri"/>
        <family val="2"/>
      </rPr>
      <t>*Msat</t>
    </r>
    <r>
      <rPr>
        <vertAlign val="subscript"/>
        <sz val="11"/>
        <rFont val="Calibri"/>
        <family val="2"/>
      </rPr>
      <t>SO2,KO2,OHO</t>
    </r>
    <r>
      <rPr>
        <sz val="11"/>
        <rFont val="Calibri"/>
        <family val="2"/>
      </rPr>
      <t>*Msat</t>
    </r>
    <r>
      <rPr>
        <vertAlign val="subscript"/>
        <sz val="11"/>
        <rFont val="Calibri"/>
        <family val="2"/>
      </rPr>
      <t>SNHx,KNHx,BIO</t>
    </r>
    <r>
      <rPr>
        <sz val="11"/>
        <rFont val="Calibri"/>
        <family val="2"/>
      </rPr>
      <t>*Msat</t>
    </r>
    <r>
      <rPr>
        <vertAlign val="subscript"/>
        <sz val="11"/>
        <rFont val="Calibri"/>
        <family val="2"/>
      </rPr>
      <t>SPO4,KPO4,BIO</t>
    </r>
    <r>
      <rPr>
        <sz val="11"/>
        <rFont val="Calibri"/>
        <family val="2"/>
      </rPr>
      <t>*Msat</t>
    </r>
    <r>
      <rPr>
        <vertAlign val="subscript"/>
        <sz val="11"/>
        <rFont val="Calibri"/>
        <family val="2"/>
      </rPr>
      <t>SCAT,KCAT</t>
    </r>
    <r>
      <rPr>
        <sz val="11"/>
        <rFont val="Calibri"/>
        <family val="2"/>
      </rPr>
      <t>*Msat</t>
    </r>
    <r>
      <rPr>
        <vertAlign val="subscript"/>
        <sz val="11"/>
        <rFont val="Calibri"/>
        <family val="2"/>
      </rPr>
      <t>SAN,KAN</t>
    </r>
    <r>
      <rPr>
        <sz val="11"/>
        <rFont val="Calibri"/>
        <family val="2"/>
      </rPr>
      <t>*Msat</t>
    </r>
    <r>
      <rPr>
        <vertAlign val="subscript"/>
        <sz val="11"/>
        <rFont val="Calibri"/>
        <family val="2"/>
      </rPr>
      <t>SCa,KCa</t>
    </r>
    <r>
      <rPr>
        <sz val="11"/>
        <rFont val="Calibri"/>
        <family val="2"/>
      </rPr>
      <t>*Msat</t>
    </r>
    <r>
      <rPr>
        <vertAlign val="subscript"/>
        <sz val="11"/>
        <rFont val="Calibri"/>
        <family val="2"/>
      </rPr>
      <t>SMg,KMg</t>
    </r>
    <r>
      <rPr>
        <sz val="11"/>
        <rFont val="Calibri"/>
        <family val="2"/>
      </rPr>
      <t>*Bellinh</t>
    </r>
    <r>
      <rPr>
        <vertAlign val="subscript"/>
        <sz val="11"/>
        <rFont val="Calibri"/>
        <family val="2"/>
      </rPr>
      <t>pH</t>
    </r>
  </si>
  <si>
    <r>
      <t>µ</t>
    </r>
    <r>
      <rPr>
        <vertAlign val="subscript"/>
        <sz val="11"/>
        <rFont val="Calibri"/>
        <family val="2"/>
      </rPr>
      <t>OHO,T</t>
    </r>
    <r>
      <rPr>
        <sz val="11"/>
        <rFont val="Calibri"/>
        <family val="2"/>
      </rPr>
      <t>*X</t>
    </r>
    <r>
      <rPr>
        <vertAlign val="subscript"/>
        <sz val="11"/>
        <rFont val="Calibri"/>
        <family val="2"/>
      </rPr>
      <t>OHO</t>
    </r>
    <r>
      <rPr>
        <sz val="11"/>
        <rFont val="Calibri"/>
        <family val="2"/>
      </rPr>
      <t>*η</t>
    </r>
    <r>
      <rPr>
        <vertAlign val="subscript"/>
        <sz val="11"/>
        <rFont val="Calibri"/>
        <family val="2"/>
      </rPr>
      <t>OHO,anox</t>
    </r>
    <r>
      <rPr>
        <sz val="11"/>
        <rFont val="Calibri"/>
        <family val="2"/>
      </rPr>
      <t>*Msat</t>
    </r>
    <r>
      <rPr>
        <vertAlign val="subscript"/>
        <sz val="11"/>
        <rFont val="Calibri"/>
        <family val="2"/>
      </rPr>
      <t>SB,KSB,poly</t>
    </r>
    <r>
      <rPr>
        <sz val="11"/>
        <rFont val="Calibri"/>
        <family val="2"/>
      </rPr>
      <t>*Minh</t>
    </r>
    <r>
      <rPr>
        <vertAlign val="subscript"/>
        <sz val="11"/>
        <rFont val="Calibri"/>
        <family val="2"/>
      </rPr>
      <t>SVFA,KVFA</t>
    </r>
    <r>
      <rPr>
        <sz val="11"/>
        <rFont val="Calibri"/>
        <family val="2"/>
      </rPr>
      <t>*Msat</t>
    </r>
    <r>
      <rPr>
        <vertAlign val="subscript"/>
        <sz val="11"/>
        <rFont val="Calibri"/>
        <family val="2"/>
      </rPr>
      <t>SNO2,KNO2,OHO</t>
    </r>
    <r>
      <rPr>
        <sz val="11"/>
        <rFont val="Calibri"/>
        <family val="2"/>
      </rPr>
      <t>*Minh</t>
    </r>
    <r>
      <rPr>
        <vertAlign val="subscript"/>
        <sz val="11"/>
        <rFont val="Calibri"/>
        <family val="2"/>
      </rPr>
      <t>SO2,KO2,OHO</t>
    </r>
    <r>
      <rPr>
        <sz val="11"/>
        <rFont val="Calibri"/>
        <family val="2"/>
      </rPr>
      <t>*Msat</t>
    </r>
    <r>
      <rPr>
        <vertAlign val="subscript"/>
        <sz val="11"/>
        <rFont val="Calibri"/>
        <family val="2"/>
      </rPr>
      <t>SNHx,KNHx,BIO</t>
    </r>
    <r>
      <rPr>
        <sz val="11"/>
        <rFont val="Calibri"/>
        <family val="2"/>
      </rPr>
      <t>*Msat</t>
    </r>
    <r>
      <rPr>
        <vertAlign val="subscript"/>
        <sz val="11"/>
        <rFont val="Calibri"/>
        <family val="2"/>
      </rPr>
      <t>SPO4,KPO4,BIO</t>
    </r>
    <r>
      <rPr>
        <sz val="11"/>
        <rFont val="Calibri"/>
        <family val="2"/>
      </rPr>
      <t>*Msat</t>
    </r>
    <r>
      <rPr>
        <vertAlign val="subscript"/>
        <sz val="11"/>
        <rFont val="Calibri"/>
        <family val="2"/>
      </rPr>
      <t>SCAT,KCAT</t>
    </r>
    <r>
      <rPr>
        <sz val="11"/>
        <rFont val="Calibri"/>
        <family val="2"/>
      </rPr>
      <t>*Msat</t>
    </r>
    <r>
      <rPr>
        <vertAlign val="subscript"/>
        <sz val="11"/>
        <rFont val="Calibri"/>
        <family val="2"/>
      </rPr>
      <t>SAN,KAN</t>
    </r>
    <r>
      <rPr>
        <sz val="11"/>
        <rFont val="Calibri"/>
        <family val="2"/>
      </rPr>
      <t>*Msat</t>
    </r>
    <r>
      <rPr>
        <vertAlign val="subscript"/>
        <sz val="11"/>
        <rFont val="Calibri"/>
        <family val="2"/>
      </rPr>
      <t>SCa,KCa</t>
    </r>
    <r>
      <rPr>
        <sz val="11"/>
        <rFont val="Calibri"/>
        <family val="2"/>
      </rPr>
      <t>*Msat</t>
    </r>
    <r>
      <rPr>
        <vertAlign val="subscript"/>
        <sz val="11"/>
        <rFont val="Calibri"/>
        <family val="2"/>
      </rPr>
      <t>SMg,KMg</t>
    </r>
    <r>
      <rPr>
        <sz val="11"/>
        <rFont val="Calibri"/>
        <family val="2"/>
      </rPr>
      <t>*Bellinh</t>
    </r>
    <r>
      <rPr>
        <vertAlign val="subscript"/>
        <sz val="11"/>
        <rFont val="Calibri"/>
        <family val="2"/>
      </rPr>
      <t>pH</t>
    </r>
  </si>
  <si>
    <r>
      <t>µ</t>
    </r>
    <r>
      <rPr>
        <vertAlign val="subscript"/>
        <sz val="11"/>
        <rFont val="Calibri"/>
        <family val="2"/>
      </rPr>
      <t>OHO,T</t>
    </r>
    <r>
      <rPr>
        <sz val="11"/>
        <rFont val="Calibri"/>
        <family val="2"/>
      </rPr>
      <t>*X</t>
    </r>
    <r>
      <rPr>
        <vertAlign val="subscript"/>
        <sz val="11"/>
        <rFont val="Calibri"/>
        <family val="2"/>
      </rPr>
      <t>OHO</t>
    </r>
    <r>
      <rPr>
        <sz val="11"/>
        <rFont val="Calibri"/>
        <family val="2"/>
      </rPr>
      <t>*η</t>
    </r>
    <r>
      <rPr>
        <vertAlign val="subscript"/>
        <sz val="11"/>
        <rFont val="Calibri"/>
        <family val="2"/>
      </rPr>
      <t>OHO,anox</t>
    </r>
    <r>
      <rPr>
        <sz val="11"/>
        <rFont val="Calibri"/>
        <family val="2"/>
      </rPr>
      <t>*Msat</t>
    </r>
    <r>
      <rPr>
        <vertAlign val="subscript"/>
        <sz val="11"/>
        <rFont val="Calibri"/>
        <family val="2"/>
      </rPr>
      <t>SB,KSB,poly</t>
    </r>
    <r>
      <rPr>
        <sz val="11"/>
        <rFont val="Calibri"/>
        <family val="2"/>
      </rPr>
      <t>*Minh</t>
    </r>
    <r>
      <rPr>
        <vertAlign val="subscript"/>
        <sz val="11"/>
        <rFont val="Calibri"/>
        <family val="2"/>
      </rPr>
      <t>SVFA,KVFA</t>
    </r>
    <r>
      <rPr>
        <sz val="11"/>
        <rFont val="Calibri"/>
        <family val="2"/>
      </rPr>
      <t>*Msat</t>
    </r>
    <r>
      <rPr>
        <vertAlign val="subscript"/>
        <sz val="11"/>
        <rFont val="Calibri"/>
        <family val="2"/>
      </rPr>
      <t>SNO3,KNO3,OHO</t>
    </r>
    <r>
      <rPr>
        <sz val="11"/>
        <rFont val="Calibri"/>
        <family val="2"/>
      </rPr>
      <t>*Minh</t>
    </r>
    <r>
      <rPr>
        <vertAlign val="subscript"/>
        <sz val="11"/>
        <rFont val="Calibri"/>
        <family val="2"/>
      </rPr>
      <t>SO2,KO2,OHO</t>
    </r>
    <r>
      <rPr>
        <sz val="11"/>
        <rFont val="Calibri"/>
        <family val="2"/>
      </rPr>
      <t>*Minh</t>
    </r>
    <r>
      <rPr>
        <vertAlign val="subscript"/>
        <sz val="11"/>
        <rFont val="Calibri"/>
        <family val="2"/>
      </rPr>
      <t>SNO2,KNO2,OHO</t>
    </r>
    <r>
      <rPr>
        <sz val="11"/>
        <rFont val="Calibri"/>
        <family val="2"/>
      </rPr>
      <t>*Msat</t>
    </r>
    <r>
      <rPr>
        <vertAlign val="subscript"/>
        <sz val="11"/>
        <rFont val="Calibri"/>
        <family val="2"/>
      </rPr>
      <t>SNHx,KNHx,BIO</t>
    </r>
    <r>
      <rPr>
        <sz val="11"/>
        <rFont val="Calibri"/>
        <family val="2"/>
      </rPr>
      <t>*Msat</t>
    </r>
    <r>
      <rPr>
        <vertAlign val="subscript"/>
        <sz val="11"/>
        <rFont val="Calibri"/>
        <family val="2"/>
      </rPr>
      <t>SPO4,KPO4,BIO</t>
    </r>
    <r>
      <rPr>
        <sz val="11"/>
        <rFont val="Calibri"/>
        <family val="2"/>
      </rPr>
      <t>*Msat</t>
    </r>
    <r>
      <rPr>
        <vertAlign val="subscript"/>
        <sz val="11"/>
        <rFont val="Calibri"/>
        <family val="2"/>
      </rPr>
      <t>SCAT,KCAT</t>
    </r>
    <r>
      <rPr>
        <sz val="11"/>
        <rFont val="Calibri"/>
        <family val="2"/>
      </rPr>
      <t>*Msat</t>
    </r>
    <r>
      <rPr>
        <vertAlign val="subscript"/>
        <sz val="11"/>
        <rFont val="Calibri"/>
        <family val="2"/>
      </rPr>
      <t>SAN,KAN</t>
    </r>
    <r>
      <rPr>
        <sz val="11"/>
        <rFont val="Calibri"/>
        <family val="2"/>
      </rPr>
      <t>*Msat</t>
    </r>
    <r>
      <rPr>
        <vertAlign val="subscript"/>
        <sz val="11"/>
        <rFont val="Calibri"/>
        <family val="2"/>
      </rPr>
      <t>SCa,KCa</t>
    </r>
    <r>
      <rPr>
        <sz val="11"/>
        <rFont val="Calibri"/>
        <family val="2"/>
      </rPr>
      <t>*Msat</t>
    </r>
    <r>
      <rPr>
        <vertAlign val="subscript"/>
        <sz val="11"/>
        <rFont val="Calibri"/>
        <family val="2"/>
      </rPr>
      <t>SMg,KMg</t>
    </r>
    <r>
      <rPr>
        <sz val="11"/>
        <rFont val="Calibri"/>
        <family val="2"/>
      </rPr>
      <t>*Bellinh</t>
    </r>
    <r>
      <rPr>
        <vertAlign val="subscript"/>
        <sz val="11"/>
        <rFont val="Calibri"/>
        <family val="2"/>
      </rPr>
      <t>pH</t>
    </r>
  </si>
  <si>
    <r>
      <t>µ</t>
    </r>
    <r>
      <rPr>
        <vertAlign val="subscript"/>
        <sz val="11"/>
        <rFont val="Calibri"/>
        <family val="2"/>
      </rPr>
      <t>FERM,OHO,T</t>
    </r>
    <r>
      <rPr>
        <sz val="11"/>
        <rFont val="Calibri"/>
        <family val="2"/>
      </rPr>
      <t>*X</t>
    </r>
    <r>
      <rPr>
        <vertAlign val="subscript"/>
        <sz val="11"/>
        <rFont val="Calibri"/>
        <family val="2"/>
      </rPr>
      <t>OHO</t>
    </r>
    <r>
      <rPr>
        <sz val="11"/>
        <rFont val="Calibri"/>
        <family val="2"/>
      </rPr>
      <t>*Logsat</t>
    </r>
    <r>
      <rPr>
        <vertAlign val="subscript"/>
        <sz val="11"/>
        <rFont val="Calibri"/>
        <family val="2"/>
      </rPr>
      <t>SVFA,KVFA,FERM</t>
    </r>
    <r>
      <rPr>
        <sz val="11"/>
        <rFont val="Calibri"/>
        <family val="2"/>
      </rPr>
      <t>*Msat</t>
    </r>
    <r>
      <rPr>
        <vertAlign val="subscript"/>
        <sz val="11"/>
        <rFont val="Calibri"/>
        <family val="2"/>
      </rPr>
      <t>SB,KSB,poly,ana</t>
    </r>
    <r>
      <rPr>
        <sz val="11"/>
        <rFont val="Calibri"/>
        <family val="2"/>
      </rPr>
      <t>*Minh</t>
    </r>
    <r>
      <rPr>
        <vertAlign val="subscript"/>
        <sz val="11"/>
        <rFont val="Calibri"/>
        <family val="2"/>
      </rPr>
      <t>SO2,KO2,OHO</t>
    </r>
    <r>
      <rPr>
        <sz val="11"/>
        <rFont val="Calibri"/>
        <family val="2"/>
      </rPr>
      <t>*Minh</t>
    </r>
    <r>
      <rPr>
        <vertAlign val="subscript"/>
        <sz val="11"/>
        <rFont val="Calibri"/>
        <family val="2"/>
      </rPr>
      <t>SNO2,KNO2,OHO</t>
    </r>
    <r>
      <rPr>
        <sz val="11"/>
        <rFont val="Calibri"/>
        <family val="2"/>
      </rPr>
      <t>*Minh</t>
    </r>
    <r>
      <rPr>
        <vertAlign val="subscript"/>
        <sz val="11"/>
        <rFont val="Calibri"/>
        <family val="2"/>
      </rPr>
      <t>SNO3,KNO3,OHO</t>
    </r>
    <r>
      <rPr>
        <sz val="11"/>
        <rFont val="Calibri"/>
        <family val="2"/>
      </rPr>
      <t>*Msat</t>
    </r>
    <r>
      <rPr>
        <vertAlign val="subscript"/>
        <sz val="11"/>
        <rFont val="Calibri"/>
        <family val="2"/>
      </rPr>
      <t>SNHx,KNHx,BIO</t>
    </r>
    <r>
      <rPr>
        <sz val="11"/>
        <rFont val="Calibri"/>
        <family val="2"/>
      </rPr>
      <t>*Msat</t>
    </r>
    <r>
      <rPr>
        <vertAlign val="subscript"/>
        <sz val="11"/>
        <rFont val="Calibri"/>
        <family val="2"/>
      </rPr>
      <t>SPO4,KPO4,BIO</t>
    </r>
    <r>
      <rPr>
        <sz val="11"/>
        <rFont val="Calibri"/>
        <family val="2"/>
      </rPr>
      <t>*Msat</t>
    </r>
    <r>
      <rPr>
        <vertAlign val="subscript"/>
        <sz val="11"/>
        <rFont val="Calibri"/>
        <family val="2"/>
      </rPr>
      <t>SCAT,KCAT</t>
    </r>
    <r>
      <rPr>
        <sz val="11"/>
        <rFont val="Calibri"/>
        <family val="2"/>
      </rPr>
      <t>*Msat</t>
    </r>
    <r>
      <rPr>
        <vertAlign val="subscript"/>
        <sz val="11"/>
        <rFont val="Calibri"/>
        <family val="2"/>
      </rPr>
      <t>SAN,KAN</t>
    </r>
    <r>
      <rPr>
        <sz val="11"/>
        <rFont val="Calibri"/>
        <family val="2"/>
      </rPr>
      <t>*Msat</t>
    </r>
    <r>
      <rPr>
        <vertAlign val="subscript"/>
        <sz val="11"/>
        <rFont val="Calibri"/>
        <family val="2"/>
      </rPr>
      <t>SCa,KCa</t>
    </r>
    <r>
      <rPr>
        <sz val="11"/>
        <rFont val="Calibri"/>
        <family val="2"/>
      </rPr>
      <t>*Msat</t>
    </r>
    <r>
      <rPr>
        <vertAlign val="subscript"/>
        <sz val="11"/>
        <rFont val="Calibri"/>
        <family val="2"/>
      </rPr>
      <t>SMg,KMg</t>
    </r>
    <r>
      <rPr>
        <sz val="11"/>
        <rFont val="Calibri"/>
        <family val="2"/>
      </rPr>
      <t>*Bellinh</t>
    </r>
    <r>
      <rPr>
        <vertAlign val="subscript"/>
        <sz val="11"/>
        <rFont val="Calibri"/>
        <family val="2"/>
      </rPr>
      <t>pH</t>
    </r>
  </si>
  <si>
    <r>
      <t>µ</t>
    </r>
    <r>
      <rPr>
        <vertAlign val="subscript"/>
        <sz val="11"/>
        <rFont val="Calibri"/>
        <family val="2"/>
      </rPr>
      <t>FERM,OHO,T</t>
    </r>
    <r>
      <rPr>
        <sz val="11"/>
        <rFont val="Calibri"/>
        <family val="2"/>
      </rPr>
      <t>*X</t>
    </r>
    <r>
      <rPr>
        <vertAlign val="subscript"/>
        <sz val="11"/>
        <rFont val="Calibri"/>
        <family val="2"/>
      </rPr>
      <t>OHO</t>
    </r>
    <r>
      <rPr>
        <sz val="11"/>
        <rFont val="Calibri"/>
        <family val="2"/>
      </rPr>
      <t>*Loginh</t>
    </r>
    <r>
      <rPr>
        <vertAlign val="subscript"/>
        <sz val="11"/>
        <rFont val="Calibri"/>
        <family val="2"/>
      </rPr>
      <t>SVFA,KVFA,FERM</t>
    </r>
    <r>
      <rPr>
        <sz val="11"/>
        <rFont val="Calibri"/>
        <family val="2"/>
      </rPr>
      <t>*Msat</t>
    </r>
    <r>
      <rPr>
        <vertAlign val="subscript"/>
        <sz val="11"/>
        <rFont val="Calibri"/>
        <family val="2"/>
      </rPr>
      <t>SB,KSB,poly,ana</t>
    </r>
    <r>
      <rPr>
        <sz val="11"/>
        <rFont val="Calibri"/>
        <family val="2"/>
      </rPr>
      <t>*Minh</t>
    </r>
    <r>
      <rPr>
        <vertAlign val="subscript"/>
        <sz val="11"/>
        <rFont val="Calibri"/>
        <family val="2"/>
      </rPr>
      <t>SO2,KO2,OHO</t>
    </r>
    <r>
      <rPr>
        <sz val="11"/>
        <rFont val="Calibri"/>
        <family val="2"/>
      </rPr>
      <t>*Minh</t>
    </r>
    <r>
      <rPr>
        <vertAlign val="subscript"/>
        <sz val="11"/>
        <rFont val="Calibri"/>
        <family val="2"/>
      </rPr>
      <t>SNO2,KNO2,OHO</t>
    </r>
    <r>
      <rPr>
        <sz val="11"/>
        <rFont val="Calibri"/>
        <family val="2"/>
      </rPr>
      <t>*Minh</t>
    </r>
    <r>
      <rPr>
        <vertAlign val="subscript"/>
        <sz val="11"/>
        <rFont val="Calibri"/>
        <family val="2"/>
      </rPr>
      <t>SNO3,KNO3,OHO</t>
    </r>
    <r>
      <rPr>
        <sz val="11"/>
        <rFont val="Calibri"/>
        <family val="2"/>
      </rPr>
      <t>*Msat</t>
    </r>
    <r>
      <rPr>
        <vertAlign val="subscript"/>
        <sz val="11"/>
        <rFont val="Calibri"/>
        <family val="2"/>
      </rPr>
      <t>SNHx,KNHx,BIO</t>
    </r>
    <r>
      <rPr>
        <sz val="11"/>
        <rFont val="Calibri"/>
        <family val="2"/>
      </rPr>
      <t>*Msat</t>
    </r>
    <r>
      <rPr>
        <vertAlign val="subscript"/>
        <sz val="11"/>
        <rFont val="Calibri"/>
        <family val="2"/>
      </rPr>
      <t>SPO4,KPO4,BIO</t>
    </r>
    <r>
      <rPr>
        <sz val="11"/>
        <rFont val="Calibri"/>
        <family val="2"/>
      </rPr>
      <t>*Msat</t>
    </r>
    <r>
      <rPr>
        <vertAlign val="subscript"/>
        <sz val="11"/>
        <rFont val="Calibri"/>
        <family val="2"/>
      </rPr>
      <t>SCAT,KCAT</t>
    </r>
    <r>
      <rPr>
        <sz val="11"/>
        <rFont val="Calibri"/>
        <family val="2"/>
      </rPr>
      <t>*Msat</t>
    </r>
    <r>
      <rPr>
        <vertAlign val="subscript"/>
        <sz val="11"/>
        <rFont val="Calibri"/>
        <family val="2"/>
      </rPr>
      <t>SAN,KAN</t>
    </r>
    <r>
      <rPr>
        <sz val="11"/>
        <rFont val="Calibri"/>
        <family val="2"/>
      </rPr>
      <t>*Msat</t>
    </r>
    <r>
      <rPr>
        <vertAlign val="subscript"/>
        <sz val="11"/>
        <rFont val="Calibri"/>
        <family val="2"/>
      </rPr>
      <t>SCa,KCa</t>
    </r>
    <r>
      <rPr>
        <sz val="11"/>
        <rFont val="Calibri"/>
        <family val="2"/>
      </rPr>
      <t>*Msat</t>
    </r>
    <r>
      <rPr>
        <vertAlign val="subscript"/>
        <sz val="11"/>
        <rFont val="Calibri"/>
        <family val="2"/>
      </rPr>
      <t>SMg,KMg</t>
    </r>
    <r>
      <rPr>
        <sz val="11"/>
        <rFont val="Calibri"/>
        <family val="2"/>
      </rPr>
      <t>*Msat</t>
    </r>
    <r>
      <rPr>
        <vertAlign val="subscript"/>
        <sz val="11"/>
        <rFont val="Calibri"/>
        <family val="2"/>
      </rPr>
      <t>SCO2,KCO2,BIO</t>
    </r>
    <r>
      <rPr>
        <sz val="11"/>
        <rFont val="Calibri"/>
        <family val="2"/>
      </rPr>
      <t>*Bellinh</t>
    </r>
    <r>
      <rPr>
        <vertAlign val="subscript"/>
        <sz val="11"/>
        <rFont val="Calibri"/>
        <family val="2"/>
      </rPr>
      <t>pH</t>
    </r>
  </si>
  <si>
    <r>
      <t>µ</t>
    </r>
    <r>
      <rPr>
        <vertAlign val="subscript"/>
        <sz val="11"/>
        <rFont val="Calibri"/>
        <family val="2"/>
      </rPr>
      <t>OHO,T</t>
    </r>
    <r>
      <rPr>
        <sz val="11"/>
        <rFont val="Calibri"/>
        <family val="2"/>
      </rPr>
      <t>*X</t>
    </r>
    <r>
      <rPr>
        <vertAlign val="subscript"/>
        <sz val="11"/>
        <rFont val="Calibri"/>
        <family val="2"/>
      </rPr>
      <t>OHO</t>
    </r>
    <r>
      <rPr>
        <sz val="11"/>
        <rFont val="Calibri"/>
        <family val="2"/>
      </rPr>
      <t>*Msat</t>
    </r>
    <r>
      <rPr>
        <vertAlign val="subscript"/>
        <sz val="11"/>
        <rFont val="Calibri"/>
        <family val="2"/>
      </rPr>
      <t>SMEOL,KMEOL,OHO</t>
    </r>
    <r>
      <rPr>
        <sz val="11"/>
        <rFont val="Calibri"/>
        <family val="2"/>
      </rPr>
      <t>*Msat</t>
    </r>
    <r>
      <rPr>
        <vertAlign val="subscript"/>
        <sz val="11"/>
        <rFont val="Calibri"/>
        <family val="2"/>
      </rPr>
      <t>SO2,KO2,OHO</t>
    </r>
    <r>
      <rPr>
        <sz val="11"/>
        <rFont val="Calibri"/>
        <family val="2"/>
      </rPr>
      <t>*Msat</t>
    </r>
    <r>
      <rPr>
        <vertAlign val="subscript"/>
        <sz val="11"/>
        <rFont val="Calibri"/>
        <family val="2"/>
      </rPr>
      <t>SNHx,KNHx,BIO</t>
    </r>
    <r>
      <rPr>
        <sz val="11"/>
        <rFont val="Calibri"/>
        <family val="2"/>
      </rPr>
      <t>*Msat</t>
    </r>
    <r>
      <rPr>
        <vertAlign val="subscript"/>
        <sz val="11"/>
        <rFont val="Calibri"/>
        <family val="2"/>
      </rPr>
      <t>SPO4,KPO4,BIO</t>
    </r>
    <r>
      <rPr>
        <sz val="11"/>
        <rFont val="Calibri"/>
        <family val="2"/>
      </rPr>
      <t>*Msat</t>
    </r>
    <r>
      <rPr>
        <vertAlign val="subscript"/>
        <sz val="11"/>
        <rFont val="Calibri"/>
        <family val="2"/>
      </rPr>
      <t>SCAT,KCAT</t>
    </r>
    <r>
      <rPr>
        <sz val="11"/>
        <rFont val="Calibri"/>
        <family val="2"/>
      </rPr>
      <t>*Msat</t>
    </r>
    <r>
      <rPr>
        <vertAlign val="subscript"/>
        <sz val="11"/>
        <rFont val="Calibri"/>
        <family val="2"/>
      </rPr>
      <t>SAN,KAN</t>
    </r>
    <r>
      <rPr>
        <sz val="11"/>
        <rFont val="Calibri"/>
        <family val="2"/>
      </rPr>
      <t>*Msat</t>
    </r>
    <r>
      <rPr>
        <vertAlign val="subscript"/>
        <sz val="11"/>
        <rFont val="Calibri"/>
        <family val="2"/>
      </rPr>
      <t>SCa,KCa</t>
    </r>
    <r>
      <rPr>
        <sz val="11"/>
        <rFont val="Calibri"/>
        <family val="2"/>
      </rPr>
      <t>*Msat</t>
    </r>
    <r>
      <rPr>
        <vertAlign val="subscript"/>
        <sz val="11"/>
        <rFont val="Calibri"/>
        <family val="2"/>
      </rPr>
      <t>SMg,KMg</t>
    </r>
    <r>
      <rPr>
        <sz val="11"/>
        <rFont val="Calibri"/>
        <family val="2"/>
      </rPr>
      <t>*Bellinh</t>
    </r>
    <r>
      <rPr>
        <vertAlign val="subscript"/>
        <sz val="11"/>
        <rFont val="Calibri"/>
        <family val="2"/>
      </rPr>
      <t>pH</t>
    </r>
  </si>
  <si>
    <r>
      <t>µ</t>
    </r>
    <r>
      <rPr>
        <vertAlign val="subscript"/>
        <sz val="11"/>
        <color indexed="8"/>
        <rFont val="Calibri"/>
        <family val="2"/>
      </rPr>
      <t>AHO,T</t>
    </r>
    <r>
      <rPr>
        <sz val="11"/>
        <color indexed="8"/>
        <rFont val="Calibri"/>
        <family val="2"/>
      </rPr>
      <t>*X</t>
    </r>
    <r>
      <rPr>
        <vertAlign val="subscript"/>
        <sz val="11"/>
        <color indexed="8"/>
        <rFont val="Calibri"/>
        <family val="2"/>
      </rPr>
      <t>AHO</t>
    </r>
    <r>
      <rPr>
        <sz val="11"/>
        <color indexed="8"/>
        <rFont val="Calibri"/>
        <family val="2"/>
      </rPr>
      <t>*MRsat</t>
    </r>
    <r>
      <rPr>
        <vertAlign val="subscript"/>
        <sz val="11"/>
        <color indexed="8"/>
        <rFont val="Calibri"/>
        <family val="2"/>
      </rPr>
      <t>XSTO,XAHO,KSTO</t>
    </r>
    <r>
      <rPr>
        <sz val="11"/>
        <color indexed="8"/>
        <rFont val="Calibri"/>
        <family val="2"/>
      </rPr>
      <t>*Msat</t>
    </r>
    <r>
      <rPr>
        <vertAlign val="subscript"/>
        <sz val="11"/>
        <color indexed="8"/>
        <rFont val="Calibri"/>
        <family val="2"/>
      </rPr>
      <t>SO2,KO2,AHO</t>
    </r>
    <r>
      <rPr>
        <sz val="11"/>
        <color indexed="8"/>
        <rFont val="Calibri"/>
        <family val="2"/>
      </rPr>
      <t>*Msat</t>
    </r>
    <r>
      <rPr>
        <vertAlign val="subscript"/>
        <sz val="11"/>
        <color indexed="8"/>
        <rFont val="Calibri"/>
        <family val="2"/>
      </rPr>
      <t>SNHx,KNHx,BIO</t>
    </r>
    <r>
      <rPr>
        <sz val="11"/>
        <color indexed="8"/>
        <rFont val="Calibri"/>
        <family val="2"/>
      </rPr>
      <t>*Msat</t>
    </r>
    <r>
      <rPr>
        <vertAlign val="subscript"/>
        <sz val="11"/>
        <color indexed="8"/>
        <rFont val="Calibri"/>
        <family val="2"/>
      </rPr>
      <t>SPO4,KPO4,BIO</t>
    </r>
    <r>
      <rPr>
        <sz val="11"/>
        <color indexed="8"/>
        <rFont val="Calibri"/>
        <family val="2"/>
      </rPr>
      <t>*Msat</t>
    </r>
    <r>
      <rPr>
        <vertAlign val="subscript"/>
        <sz val="11"/>
        <color indexed="8"/>
        <rFont val="Calibri"/>
        <family val="2"/>
      </rPr>
      <t>SCAT,KCAT</t>
    </r>
    <r>
      <rPr>
        <sz val="11"/>
        <color indexed="8"/>
        <rFont val="Calibri"/>
        <family val="2"/>
      </rPr>
      <t>*Msat</t>
    </r>
    <r>
      <rPr>
        <vertAlign val="subscript"/>
        <sz val="11"/>
        <color indexed="8"/>
        <rFont val="Calibri"/>
        <family val="2"/>
      </rPr>
      <t>SAN,KAN</t>
    </r>
    <r>
      <rPr>
        <sz val="11"/>
        <color rgb="FF000000"/>
        <rFont val="Calibri"/>
        <family val="2"/>
      </rPr>
      <t>*Msat</t>
    </r>
    <r>
      <rPr>
        <vertAlign val="subscript"/>
        <sz val="11"/>
        <color indexed="8"/>
        <rFont val="Calibri"/>
        <family val="2"/>
      </rPr>
      <t>SCa,KCa</t>
    </r>
    <r>
      <rPr>
        <sz val="11"/>
        <color rgb="FF000000"/>
        <rFont val="Calibri"/>
        <family val="2"/>
      </rPr>
      <t>*Msat</t>
    </r>
    <r>
      <rPr>
        <vertAlign val="subscript"/>
        <sz val="11"/>
        <color indexed="8"/>
        <rFont val="Calibri"/>
        <family val="2"/>
      </rPr>
      <t>SMg,KMg</t>
    </r>
    <r>
      <rPr>
        <sz val="11"/>
        <color indexed="8"/>
        <rFont val="Calibri"/>
        <family val="2"/>
      </rPr>
      <t>*Bellinh</t>
    </r>
    <r>
      <rPr>
        <vertAlign val="subscript"/>
        <sz val="11"/>
        <color indexed="8"/>
        <rFont val="Calibri"/>
        <family val="2"/>
      </rPr>
      <t>pH</t>
    </r>
  </si>
  <si>
    <r>
      <t>µ</t>
    </r>
    <r>
      <rPr>
        <vertAlign val="subscript"/>
        <sz val="11"/>
        <color indexed="8"/>
        <rFont val="Calibri"/>
        <family val="2"/>
        <charset val="238"/>
      </rPr>
      <t>AMX,T</t>
    </r>
    <r>
      <rPr>
        <sz val="11"/>
        <color indexed="8"/>
        <rFont val="Calibri"/>
        <family val="2"/>
      </rPr>
      <t>*X</t>
    </r>
    <r>
      <rPr>
        <vertAlign val="subscript"/>
        <sz val="11"/>
        <color indexed="8"/>
        <rFont val="Calibri"/>
        <family val="2"/>
        <charset val="238"/>
      </rPr>
      <t>AMX</t>
    </r>
    <r>
      <rPr>
        <sz val="11"/>
        <color indexed="8"/>
        <rFont val="Calibri"/>
        <family val="2"/>
      </rPr>
      <t>*Msat</t>
    </r>
    <r>
      <rPr>
        <vertAlign val="subscript"/>
        <sz val="11"/>
        <color indexed="8"/>
        <rFont val="Calibri"/>
        <family val="2"/>
        <charset val="238"/>
      </rPr>
      <t>SNHx,KNHx,AMX</t>
    </r>
    <r>
      <rPr>
        <sz val="11"/>
        <color indexed="8"/>
        <rFont val="Calibri"/>
        <family val="2"/>
      </rPr>
      <t>*Msat</t>
    </r>
    <r>
      <rPr>
        <vertAlign val="subscript"/>
        <sz val="11"/>
        <color indexed="8"/>
        <rFont val="Calibri"/>
        <family val="2"/>
        <charset val="238"/>
      </rPr>
      <t>SNO2,KNO2,AMX</t>
    </r>
    <r>
      <rPr>
        <sz val="11"/>
        <color indexed="8"/>
        <rFont val="Calibri"/>
        <family val="2"/>
      </rPr>
      <t>*Minh</t>
    </r>
    <r>
      <rPr>
        <vertAlign val="subscript"/>
        <sz val="11"/>
        <color indexed="8"/>
        <rFont val="Calibri"/>
        <family val="2"/>
        <charset val="238"/>
      </rPr>
      <t>SO2,KiO2,AMX</t>
    </r>
    <r>
      <rPr>
        <sz val="11"/>
        <color indexed="8"/>
        <rFont val="Calibri"/>
        <family val="2"/>
      </rPr>
      <t>*LogsatpH</t>
    </r>
    <r>
      <rPr>
        <vertAlign val="subscript"/>
        <sz val="11"/>
        <color indexed="8"/>
        <rFont val="Calibri"/>
        <family val="2"/>
        <charset val="238"/>
      </rPr>
      <t>CO2,AMX</t>
    </r>
    <r>
      <rPr>
        <sz val="11"/>
        <color indexed="8"/>
        <rFont val="Calibri"/>
        <family val="2"/>
      </rPr>
      <t>*Msat</t>
    </r>
    <r>
      <rPr>
        <vertAlign val="subscript"/>
        <sz val="11"/>
        <color indexed="8"/>
        <rFont val="Calibri"/>
        <family val="2"/>
        <charset val="238"/>
      </rPr>
      <t>SPO4,KPO4,BIO</t>
    </r>
    <r>
      <rPr>
        <sz val="11"/>
        <color indexed="8"/>
        <rFont val="Calibri"/>
        <family val="2"/>
      </rPr>
      <t>*Msat</t>
    </r>
    <r>
      <rPr>
        <vertAlign val="subscript"/>
        <sz val="11"/>
        <color indexed="8"/>
        <rFont val="Calibri"/>
        <family val="2"/>
        <charset val="238"/>
      </rPr>
      <t>SCAT,KCAT</t>
    </r>
    <r>
      <rPr>
        <sz val="11"/>
        <color indexed="8"/>
        <rFont val="Calibri"/>
        <family val="2"/>
      </rPr>
      <t>*Msat</t>
    </r>
    <r>
      <rPr>
        <vertAlign val="subscript"/>
        <sz val="11"/>
        <color indexed="8"/>
        <rFont val="Calibri"/>
        <family val="2"/>
        <charset val="238"/>
      </rPr>
      <t>SAN,KAN</t>
    </r>
    <r>
      <rPr>
        <sz val="11"/>
        <color rgb="FF000000"/>
        <rFont val="Calibri"/>
        <family val="2"/>
      </rPr>
      <t>*Msat</t>
    </r>
    <r>
      <rPr>
        <vertAlign val="subscript"/>
        <sz val="11"/>
        <color indexed="8"/>
        <rFont val="Calibri"/>
        <family val="2"/>
        <charset val="238"/>
      </rPr>
      <t>SCa,KCa</t>
    </r>
    <r>
      <rPr>
        <sz val="11"/>
        <color rgb="FF000000"/>
        <rFont val="Calibri"/>
        <family val="2"/>
      </rPr>
      <t>*Msat</t>
    </r>
    <r>
      <rPr>
        <vertAlign val="subscript"/>
        <sz val="11"/>
        <color indexed="8"/>
        <rFont val="Calibri"/>
        <family val="2"/>
        <charset val="238"/>
      </rPr>
      <t>SMg,KMg</t>
    </r>
    <r>
      <rPr>
        <sz val="11"/>
        <color indexed="8"/>
        <rFont val="Calibri"/>
        <family val="2"/>
      </rPr>
      <t>*Bellinh</t>
    </r>
    <r>
      <rPr>
        <vertAlign val="subscript"/>
        <sz val="11"/>
        <color indexed="8"/>
        <rFont val="Calibri"/>
        <family val="2"/>
        <charset val="238"/>
      </rPr>
      <t>pH</t>
    </r>
    <r>
      <rPr>
        <sz val="11"/>
        <color indexed="8"/>
        <rFont val="Calibri"/>
        <family val="2"/>
      </rPr>
      <t>*MinhpH</t>
    </r>
    <r>
      <rPr>
        <vertAlign val="subscript"/>
        <sz val="11"/>
        <color indexed="8"/>
        <rFont val="Calibri"/>
        <family val="2"/>
        <charset val="238"/>
      </rPr>
      <t>HNO2,AMX</t>
    </r>
  </si>
  <si>
    <r>
      <t>µ</t>
    </r>
    <r>
      <rPr>
        <vertAlign val="subscript"/>
        <sz val="11"/>
        <rFont val="Calibri"/>
        <family val="2"/>
      </rPr>
      <t>HMETO,T</t>
    </r>
    <r>
      <rPr>
        <sz val="11"/>
        <rFont val="Calibri"/>
        <family val="2"/>
      </rPr>
      <t>*X</t>
    </r>
    <r>
      <rPr>
        <vertAlign val="subscript"/>
        <sz val="11"/>
        <rFont val="Calibri"/>
        <family val="2"/>
      </rPr>
      <t>HMETO</t>
    </r>
    <r>
      <rPr>
        <sz val="11"/>
        <rFont val="Calibri"/>
        <family val="2"/>
      </rPr>
      <t>*Msat</t>
    </r>
    <r>
      <rPr>
        <vertAlign val="subscript"/>
        <sz val="11"/>
        <rFont val="Calibri"/>
        <family val="2"/>
      </rPr>
      <t>SCO2,KCO2,BIO</t>
    </r>
    <r>
      <rPr>
        <sz val="11"/>
        <rFont val="Calibri"/>
        <family val="2"/>
      </rPr>
      <t>*Msat</t>
    </r>
    <r>
      <rPr>
        <vertAlign val="subscript"/>
        <sz val="11"/>
        <rFont val="Calibri"/>
        <family val="2"/>
      </rPr>
      <t>SH2,KH2,HMETO</t>
    </r>
    <r>
      <rPr>
        <sz val="11"/>
        <rFont val="Calibri"/>
        <family val="2"/>
      </rPr>
      <t>*Minh</t>
    </r>
    <r>
      <rPr>
        <vertAlign val="subscript"/>
        <sz val="11"/>
        <rFont val="Calibri"/>
        <family val="2"/>
      </rPr>
      <t>SO2,KiO2,HMETO</t>
    </r>
    <r>
      <rPr>
        <sz val="11"/>
        <rFont val="Calibri"/>
        <family val="2"/>
      </rPr>
      <t>*Minh</t>
    </r>
    <r>
      <rPr>
        <vertAlign val="subscript"/>
        <sz val="11"/>
        <rFont val="Calibri"/>
        <family val="2"/>
      </rPr>
      <t>SNOx,KNO3,HMETO</t>
    </r>
    <r>
      <rPr>
        <sz val="11"/>
        <rFont val="Calibri"/>
        <family val="2"/>
      </rPr>
      <t>*Msat</t>
    </r>
    <r>
      <rPr>
        <vertAlign val="subscript"/>
        <sz val="11"/>
        <rFont val="Calibri"/>
        <family val="2"/>
      </rPr>
      <t>SNHx,KNHx,BIO</t>
    </r>
    <r>
      <rPr>
        <sz val="11"/>
        <rFont val="Calibri"/>
        <family val="2"/>
      </rPr>
      <t>*Msat</t>
    </r>
    <r>
      <rPr>
        <vertAlign val="subscript"/>
        <sz val="11"/>
        <rFont val="Calibri"/>
        <family val="2"/>
      </rPr>
      <t>SPO4,KPO4,BIO</t>
    </r>
    <r>
      <rPr>
        <sz val="11"/>
        <rFont val="Calibri"/>
        <family val="2"/>
      </rPr>
      <t>*Msat</t>
    </r>
    <r>
      <rPr>
        <vertAlign val="subscript"/>
        <sz val="11"/>
        <rFont val="Calibri"/>
        <family val="2"/>
      </rPr>
      <t>SCAT,KCAT</t>
    </r>
    <r>
      <rPr>
        <sz val="11"/>
        <rFont val="Calibri"/>
        <family val="2"/>
      </rPr>
      <t>*Msat</t>
    </r>
    <r>
      <rPr>
        <vertAlign val="subscript"/>
        <sz val="11"/>
        <rFont val="Calibri"/>
        <family val="2"/>
      </rPr>
      <t>SAN,KAN</t>
    </r>
    <r>
      <rPr>
        <sz val="11"/>
        <rFont val="Calibri"/>
        <family val="2"/>
      </rPr>
      <t>*Msat</t>
    </r>
    <r>
      <rPr>
        <vertAlign val="subscript"/>
        <sz val="11"/>
        <rFont val="Calibri"/>
        <family val="2"/>
      </rPr>
      <t>SCa,KCa</t>
    </r>
    <r>
      <rPr>
        <sz val="11"/>
        <rFont val="Calibri"/>
        <family val="2"/>
      </rPr>
      <t>*Msat</t>
    </r>
    <r>
      <rPr>
        <vertAlign val="subscript"/>
        <sz val="11"/>
        <rFont val="Calibri"/>
        <family val="2"/>
      </rPr>
      <t>SMg,KMg</t>
    </r>
    <r>
      <rPr>
        <sz val="11"/>
        <rFont val="Calibri"/>
        <family val="2"/>
      </rPr>
      <t>*Bellinh</t>
    </r>
    <r>
      <rPr>
        <vertAlign val="subscript"/>
        <sz val="11"/>
        <rFont val="Calibri"/>
        <family val="2"/>
      </rPr>
      <t>pH,HMETO</t>
    </r>
  </si>
  <si>
    <r>
      <t>(1-i</t>
    </r>
    <r>
      <rPr>
        <vertAlign val="subscript"/>
        <sz val="11"/>
        <rFont val="Calibri"/>
        <family val="2"/>
      </rPr>
      <t>Ca,INORG</t>
    </r>
    <r>
      <rPr>
        <sz val="11"/>
        <rFont val="Calibri"/>
        <family val="2"/>
      </rPr>
      <t>*(AM</t>
    </r>
    <r>
      <rPr>
        <vertAlign val="subscript"/>
        <sz val="11"/>
        <rFont val="Calibri"/>
        <family val="2"/>
      </rPr>
      <t>Ca</t>
    </r>
    <r>
      <rPr>
        <sz val="11"/>
        <rFont val="Calibri"/>
        <family val="2"/>
      </rPr>
      <t>+2*AM</t>
    </r>
    <r>
      <rPr>
        <vertAlign val="subscript"/>
        <sz val="11"/>
        <rFont val="Calibri"/>
        <family val="2"/>
      </rPr>
      <t>Cl</t>
    </r>
    <r>
      <rPr>
        <sz val="11"/>
        <rFont val="Calibri"/>
        <family val="2"/>
      </rPr>
      <t>)/AM</t>
    </r>
    <r>
      <rPr>
        <vertAlign val="subscript"/>
        <sz val="11"/>
        <rFont val="Calibri"/>
        <family val="2"/>
      </rPr>
      <t>Ca</t>
    </r>
    <r>
      <rPr>
        <sz val="11"/>
        <rFont val="Calibri"/>
        <family val="2"/>
      </rPr>
      <t>-i</t>
    </r>
    <r>
      <rPr>
        <vertAlign val="subscript"/>
        <sz val="11"/>
        <rFont val="Calibri"/>
        <family val="2"/>
      </rPr>
      <t>Mg,INORG</t>
    </r>
    <r>
      <rPr>
        <sz val="11"/>
        <rFont val="Calibri"/>
        <family val="2"/>
      </rPr>
      <t>*(AM</t>
    </r>
    <r>
      <rPr>
        <vertAlign val="subscript"/>
        <sz val="11"/>
        <rFont val="Calibri"/>
        <family val="2"/>
      </rPr>
      <t>Mg</t>
    </r>
    <r>
      <rPr>
        <sz val="11"/>
        <rFont val="Calibri"/>
        <family val="2"/>
      </rPr>
      <t>+2*AM</t>
    </r>
    <r>
      <rPr>
        <vertAlign val="subscript"/>
        <sz val="11"/>
        <rFont val="Calibri"/>
        <family val="2"/>
      </rPr>
      <t>Cl</t>
    </r>
    <r>
      <rPr>
        <sz val="11"/>
        <rFont val="Calibri"/>
        <family val="2"/>
      </rPr>
      <t>)/AM</t>
    </r>
    <r>
      <rPr>
        <vertAlign val="subscript"/>
        <sz val="11"/>
        <rFont val="Calibri"/>
        <family val="2"/>
      </rPr>
      <t>Mg)</t>
    </r>
    <r>
      <rPr>
        <sz val="11"/>
        <rFont val="Calibri"/>
        <family val="2"/>
      </rPr>
      <t>*f</t>
    </r>
    <r>
      <rPr>
        <vertAlign val="subscript"/>
        <sz val="11"/>
        <rFont val="Calibri"/>
        <family val="2"/>
      </rPr>
      <t>Na</t>
    </r>
  </si>
  <si>
    <r>
      <t>(i</t>
    </r>
    <r>
      <rPr>
        <vertAlign val="subscript"/>
        <sz val="11"/>
        <rFont val="Calibri"/>
        <family val="2"/>
      </rPr>
      <t>Ca,INORG</t>
    </r>
    <r>
      <rPr>
        <sz val="11"/>
        <rFont val="Calibri"/>
        <family val="2"/>
      </rPr>
      <t>*(2*AM</t>
    </r>
    <r>
      <rPr>
        <vertAlign val="subscript"/>
        <sz val="11"/>
        <rFont val="Calibri"/>
        <family val="2"/>
      </rPr>
      <t>Cl</t>
    </r>
    <r>
      <rPr>
        <sz val="11"/>
        <rFont val="Calibri"/>
        <family val="2"/>
      </rPr>
      <t>)/AM</t>
    </r>
    <r>
      <rPr>
        <vertAlign val="subscript"/>
        <sz val="11"/>
        <rFont val="Calibri"/>
        <family val="2"/>
      </rPr>
      <t>Ca</t>
    </r>
    <r>
      <rPr>
        <sz val="11"/>
        <rFont val="Calibri"/>
        <family val="2"/>
      </rPr>
      <t>+i</t>
    </r>
    <r>
      <rPr>
        <vertAlign val="subscript"/>
        <sz val="11"/>
        <rFont val="Calibri"/>
        <family val="2"/>
      </rPr>
      <t>Mg,INORG</t>
    </r>
    <r>
      <rPr>
        <sz val="11"/>
        <rFont val="Calibri"/>
        <family val="2"/>
      </rPr>
      <t>*(2*AM</t>
    </r>
    <r>
      <rPr>
        <vertAlign val="subscript"/>
        <sz val="11"/>
        <rFont val="Calibri"/>
        <family val="2"/>
      </rPr>
      <t>Cl</t>
    </r>
    <r>
      <rPr>
        <sz val="11"/>
        <rFont val="Calibri"/>
        <family val="2"/>
      </rPr>
      <t>)/AM</t>
    </r>
    <r>
      <rPr>
        <vertAlign val="subscript"/>
        <sz val="11"/>
        <rFont val="Calibri"/>
        <family val="2"/>
      </rPr>
      <t>Mg</t>
    </r>
    <r>
      <rPr>
        <sz val="11"/>
        <rFont val="Calibri"/>
        <family val="2"/>
      </rPr>
      <t>)+(1-i</t>
    </r>
    <r>
      <rPr>
        <vertAlign val="subscript"/>
        <sz val="11"/>
        <rFont val="Calibri"/>
        <family val="2"/>
      </rPr>
      <t>Ca,INORG</t>
    </r>
    <r>
      <rPr>
        <sz val="11"/>
        <rFont val="Calibri"/>
        <family val="2"/>
      </rPr>
      <t>*(AM</t>
    </r>
    <r>
      <rPr>
        <vertAlign val="subscript"/>
        <sz val="11"/>
        <rFont val="Calibri"/>
        <family val="2"/>
      </rPr>
      <t>Ca</t>
    </r>
    <r>
      <rPr>
        <sz val="11"/>
        <rFont val="Calibri"/>
        <family val="2"/>
      </rPr>
      <t>+2*AM</t>
    </r>
    <r>
      <rPr>
        <vertAlign val="subscript"/>
        <sz val="11"/>
        <rFont val="Calibri"/>
        <family val="2"/>
      </rPr>
      <t>Cl</t>
    </r>
    <r>
      <rPr>
        <sz val="11"/>
        <rFont val="Calibri"/>
        <family val="2"/>
      </rPr>
      <t>)/AM</t>
    </r>
    <r>
      <rPr>
        <vertAlign val="subscript"/>
        <sz val="11"/>
        <rFont val="Calibri"/>
        <family val="2"/>
      </rPr>
      <t>Ca</t>
    </r>
    <r>
      <rPr>
        <sz val="11"/>
        <rFont val="Calibri"/>
        <family val="2"/>
      </rPr>
      <t>-i</t>
    </r>
    <r>
      <rPr>
        <vertAlign val="subscript"/>
        <sz val="11"/>
        <rFont val="Calibri"/>
        <family val="2"/>
      </rPr>
      <t>Mg,INORG</t>
    </r>
    <r>
      <rPr>
        <sz val="11"/>
        <rFont val="Calibri"/>
        <family val="2"/>
      </rPr>
      <t>*(AM</t>
    </r>
    <r>
      <rPr>
        <vertAlign val="subscript"/>
        <sz val="11"/>
        <rFont val="Calibri"/>
        <family val="2"/>
      </rPr>
      <t>Mg</t>
    </r>
    <r>
      <rPr>
        <sz val="11"/>
        <rFont val="Calibri"/>
        <family val="2"/>
      </rPr>
      <t>+2*AM</t>
    </r>
    <r>
      <rPr>
        <vertAlign val="subscript"/>
        <sz val="11"/>
        <rFont val="Calibri"/>
        <family val="2"/>
      </rPr>
      <t>Cl</t>
    </r>
    <r>
      <rPr>
        <sz val="11"/>
        <rFont val="Calibri"/>
        <family val="2"/>
      </rPr>
      <t>)/AM</t>
    </r>
    <r>
      <rPr>
        <vertAlign val="subscript"/>
        <sz val="11"/>
        <rFont val="Calibri"/>
        <family val="2"/>
      </rPr>
      <t>Mg)</t>
    </r>
    <r>
      <rPr>
        <sz val="11"/>
        <rFont val="Calibri"/>
        <family val="2"/>
      </rPr>
      <t>*(1-f</t>
    </r>
    <r>
      <rPr>
        <vertAlign val="subscript"/>
        <sz val="11"/>
        <rFont val="Calibri"/>
        <family val="2"/>
      </rPr>
      <t>Na</t>
    </r>
    <r>
      <rPr>
        <sz val="11"/>
        <rFont val="Calibri"/>
        <family val="2"/>
      </rPr>
      <t>)</t>
    </r>
  </si>
  <si>
    <r>
      <t>error</t>
    </r>
    <r>
      <rPr>
        <vertAlign val="subscript"/>
        <sz val="11"/>
        <rFont val="Calibri"/>
        <family val="2"/>
        <charset val="238"/>
        <scheme val="minor"/>
      </rPr>
      <t>NHx,NOx</t>
    </r>
  </si>
  <si>
    <r>
      <t>N</t>
    </r>
    <r>
      <rPr>
        <sz val="11"/>
        <rFont val="Calibri"/>
        <family val="2"/>
        <charset val="238"/>
        <scheme val="minor"/>
      </rPr>
      <t>H</t>
    </r>
    <r>
      <rPr>
        <vertAlign val="subscript"/>
        <sz val="11"/>
        <rFont val="Calibri"/>
        <family val="2"/>
        <charset val="238"/>
        <scheme val="minor"/>
      </rPr>
      <t>x</t>
    </r>
    <r>
      <rPr>
        <sz val="11"/>
        <rFont val="Calibri"/>
        <family val="2"/>
        <charset val="238"/>
        <scheme val="minor"/>
      </rPr>
      <t>-NO</t>
    </r>
    <r>
      <rPr>
        <vertAlign val="subscript"/>
        <sz val="11"/>
        <rFont val="Calibri"/>
        <family val="2"/>
        <charset val="238"/>
        <scheme val="minor"/>
      </rPr>
      <t>x</t>
    </r>
    <r>
      <rPr>
        <sz val="11"/>
        <rFont val="Calibri"/>
        <family val="2"/>
        <scheme val="minor"/>
      </rPr>
      <t xml:space="preserve"> error</t>
    </r>
  </si>
  <si>
    <r>
      <t>S</t>
    </r>
    <r>
      <rPr>
        <vertAlign val="subscript"/>
        <sz val="11"/>
        <rFont val="Calibri"/>
        <family val="2"/>
        <charset val="238"/>
        <scheme val="minor"/>
      </rPr>
      <t>NHx</t>
    </r>
    <r>
      <rPr>
        <sz val="11"/>
        <rFont val="Calibri"/>
        <family val="2"/>
        <scheme val="minor"/>
      </rPr>
      <t xml:space="preserve"> - S</t>
    </r>
    <r>
      <rPr>
        <vertAlign val="subscript"/>
        <sz val="11"/>
        <rFont val="Calibri"/>
        <family val="2"/>
        <charset val="238"/>
        <scheme val="minor"/>
      </rPr>
      <t>NOx</t>
    </r>
  </si>
  <si>
    <r>
      <t>g TS.m</t>
    </r>
    <r>
      <rPr>
        <vertAlign val="superscript"/>
        <sz val="11"/>
        <rFont val="Calibri"/>
        <family val="2"/>
        <scheme val="minor"/>
      </rPr>
      <t>-3</t>
    </r>
  </si>
  <si>
    <t>sum of the charges of Ca, Mg and K content of PP…</t>
  </si>
  <si>
    <t>...should be equal to 1…</t>
  </si>
  <si>
    <t>...e.g.: 2*0.1 + 2*0.35 + 1*0.1=1</t>
  </si>
  <si>
    <r>
      <t>g VSS.g TSS</t>
    </r>
    <r>
      <rPr>
        <vertAlign val="superscript"/>
        <sz val="11"/>
        <rFont val="Calibri"/>
        <family val="2"/>
        <charset val="238"/>
        <scheme val="minor"/>
      </rPr>
      <t>-1</t>
    </r>
  </si>
  <si>
    <r>
      <t>S</t>
    </r>
    <r>
      <rPr>
        <vertAlign val="subscript"/>
        <sz val="11"/>
        <rFont val="Calibri"/>
        <family val="2"/>
        <scheme val="minor"/>
      </rPr>
      <t>ALK,calc</t>
    </r>
  </si>
  <si>
    <t>Reference gas composition percentages</t>
  </si>
  <si>
    <t>Input gas</t>
  </si>
  <si>
    <t>Offgas with aeration</t>
  </si>
  <si>
    <t>Offgas without aeration</t>
  </si>
  <si>
    <t>Biogas</t>
  </si>
  <si>
    <r>
      <t>G</t>
    </r>
    <r>
      <rPr>
        <vertAlign val="subscript"/>
        <sz val="11"/>
        <rFont val="Calibri"/>
        <family val="2"/>
      </rPr>
      <t>CO2</t>
    </r>
  </si>
  <si>
    <r>
      <t>Carbon dioxide gas (CO</t>
    </r>
    <r>
      <rPr>
        <vertAlign val="subscript"/>
        <sz val="11"/>
        <rFont val="Calibri"/>
        <family val="2"/>
      </rPr>
      <t>2</t>
    </r>
    <r>
      <rPr>
        <sz val="11"/>
        <rFont val="Calibri"/>
        <family val="2"/>
      </rPr>
      <t>)</t>
    </r>
    <r>
      <rPr>
        <sz val="11"/>
        <rFont val="Calibri"/>
        <family val="2"/>
        <scheme val="minor"/>
      </rPr>
      <t xml:space="preserve"> reference percentage</t>
    </r>
  </si>
  <si>
    <r>
      <t>G</t>
    </r>
    <r>
      <rPr>
        <vertAlign val="subscript"/>
        <sz val="11"/>
        <rFont val="Calibri"/>
        <family val="2"/>
      </rPr>
      <t>CH4</t>
    </r>
  </si>
  <si>
    <r>
      <t>Methane gas (CH</t>
    </r>
    <r>
      <rPr>
        <vertAlign val="subscript"/>
        <sz val="11"/>
        <rFont val="Calibri"/>
        <family val="2"/>
      </rPr>
      <t>4</t>
    </r>
    <r>
      <rPr>
        <sz val="11"/>
        <rFont val="Calibri"/>
        <family val="2"/>
      </rPr>
      <t>)</t>
    </r>
    <r>
      <rPr>
        <sz val="11"/>
        <rFont val="Calibri"/>
        <family val="2"/>
        <scheme val="minor"/>
      </rPr>
      <t xml:space="preserve"> reference percentage</t>
    </r>
  </si>
  <si>
    <r>
      <t>G</t>
    </r>
    <r>
      <rPr>
        <vertAlign val="subscript"/>
        <sz val="11"/>
        <rFont val="Calibri"/>
        <family val="2"/>
      </rPr>
      <t>H2</t>
    </r>
  </si>
  <si>
    <r>
      <t>Hydrogen gas (H</t>
    </r>
    <r>
      <rPr>
        <vertAlign val="subscript"/>
        <sz val="11"/>
        <rFont val="Calibri"/>
        <family val="2"/>
      </rPr>
      <t>2</t>
    </r>
    <r>
      <rPr>
        <sz val="11"/>
        <rFont val="Calibri"/>
        <family val="2"/>
      </rPr>
      <t>)</t>
    </r>
    <r>
      <rPr>
        <sz val="11"/>
        <rFont val="Calibri"/>
        <family val="2"/>
        <scheme val="minor"/>
      </rPr>
      <t xml:space="preserve"> reference percentage</t>
    </r>
  </si>
  <si>
    <r>
      <t>G</t>
    </r>
    <r>
      <rPr>
        <vertAlign val="subscript"/>
        <sz val="11"/>
        <rFont val="Calibri"/>
        <family val="2"/>
      </rPr>
      <t>O2</t>
    </r>
  </si>
  <si>
    <r>
      <t>Oxygen gas (O</t>
    </r>
    <r>
      <rPr>
        <vertAlign val="subscript"/>
        <sz val="11"/>
        <rFont val="Calibri"/>
        <family val="2"/>
      </rPr>
      <t>2</t>
    </r>
    <r>
      <rPr>
        <sz val="11"/>
        <rFont val="Calibri"/>
        <family val="2"/>
      </rPr>
      <t>)</t>
    </r>
    <r>
      <rPr>
        <sz val="11"/>
        <rFont val="Calibri"/>
        <family val="2"/>
        <scheme val="minor"/>
      </rPr>
      <t xml:space="preserve"> reference percentage</t>
    </r>
  </si>
  <si>
    <r>
      <t>G</t>
    </r>
    <r>
      <rPr>
        <vertAlign val="subscript"/>
        <sz val="11"/>
        <rFont val="Calibri"/>
        <family val="2"/>
      </rPr>
      <t>NH3</t>
    </r>
  </si>
  <si>
    <r>
      <t>Ammonia gas (NH</t>
    </r>
    <r>
      <rPr>
        <vertAlign val="subscript"/>
        <sz val="11"/>
        <rFont val="Calibri"/>
        <family val="2"/>
      </rPr>
      <t>3</t>
    </r>
    <r>
      <rPr>
        <sz val="11"/>
        <rFont val="Calibri"/>
        <family val="2"/>
      </rPr>
      <t>)</t>
    </r>
    <r>
      <rPr>
        <sz val="11"/>
        <rFont val="Calibri"/>
        <family val="2"/>
        <scheme val="minor"/>
      </rPr>
      <t xml:space="preserve"> reference percentage</t>
    </r>
  </si>
  <si>
    <r>
      <t>G</t>
    </r>
    <r>
      <rPr>
        <vertAlign val="subscript"/>
        <sz val="11"/>
        <rFont val="Calibri"/>
        <family val="2"/>
      </rPr>
      <t>N2</t>
    </r>
  </si>
  <si>
    <r>
      <t>Nitrogen gas (N</t>
    </r>
    <r>
      <rPr>
        <vertAlign val="subscript"/>
        <sz val="11"/>
        <rFont val="Calibri"/>
        <family val="2"/>
      </rPr>
      <t>2</t>
    </r>
    <r>
      <rPr>
        <sz val="11"/>
        <rFont val="Calibri"/>
        <family val="2"/>
      </rPr>
      <t>)</t>
    </r>
    <r>
      <rPr>
        <sz val="11"/>
        <rFont val="Calibri"/>
        <family val="2"/>
        <scheme val="minor"/>
      </rPr>
      <t xml:space="preserve"> reference percentage</t>
    </r>
  </si>
  <si>
    <t>High purity oxygen</t>
  </si>
  <si>
    <r>
      <t>f</t>
    </r>
    <r>
      <rPr>
        <vertAlign val="subscript"/>
        <sz val="11"/>
        <rFont val="Calibri"/>
        <family val="2"/>
        <scheme val="minor"/>
      </rPr>
      <t>bw,floc</t>
    </r>
  </si>
  <si>
    <t>Fraction of bound water</t>
  </si>
  <si>
    <r>
      <t>g H2O.g VS</t>
    </r>
    <r>
      <rPr>
        <vertAlign val="superscript"/>
        <sz val="11"/>
        <rFont val="Calibri"/>
        <family val="2"/>
        <scheme val="minor"/>
      </rPr>
      <t>-1</t>
    </r>
  </si>
  <si>
    <t>Interstitial water content</t>
  </si>
  <si>
    <r>
      <t>i</t>
    </r>
    <r>
      <rPr>
        <vertAlign val="subscript"/>
        <sz val="11"/>
        <rFont val="Calibri"/>
        <family val="2"/>
        <scheme val="minor"/>
      </rPr>
      <t>iw,BIO</t>
    </r>
  </si>
  <si>
    <t>Vicinal water content</t>
  </si>
  <si>
    <r>
      <t>i</t>
    </r>
    <r>
      <rPr>
        <vertAlign val="subscript"/>
        <sz val="11"/>
        <rFont val="Calibri"/>
        <family val="2"/>
        <scheme val="minor"/>
      </rPr>
      <t>vw,XB</t>
    </r>
  </si>
  <si>
    <t>Vicinal water of biodegradable substrate in volatile solids</t>
  </si>
  <si>
    <t>Assuming 5% of H2O is associated with vicinal water for these organics</t>
  </si>
  <si>
    <r>
      <t>i</t>
    </r>
    <r>
      <rPr>
        <vertAlign val="subscript"/>
        <sz val="11"/>
        <rFont val="Calibri"/>
        <family val="2"/>
        <scheme val="minor"/>
      </rPr>
      <t>vw,XU</t>
    </r>
  </si>
  <si>
    <t>Vicinal water of particulate unbiodegradable organics in volatile solids</t>
  </si>
  <si>
    <r>
      <t>i</t>
    </r>
    <r>
      <rPr>
        <vertAlign val="subscript"/>
        <sz val="11"/>
        <rFont val="Calibri"/>
        <family val="2"/>
        <scheme val="minor"/>
      </rPr>
      <t>vw,BIO</t>
    </r>
  </si>
  <si>
    <t>Vicinal water of biomass in volatile solids</t>
  </si>
  <si>
    <r>
      <t>i</t>
    </r>
    <r>
      <rPr>
        <vertAlign val="subscript"/>
        <sz val="11"/>
        <rFont val="Calibri"/>
        <family val="2"/>
        <scheme val="minor"/>
      </rPr>
      <t>vw,XE</t>
    </r>
  </si>
  <si>
    <t>Vicinal water of endogenous products in volatile solids</t>
  </si>
  <si>
    <r>
      <t>i</t>
    </r>
    <r>
      <rPr>
        <vertAlign val="subscript"/>
        <sz val="11"/>
        <rFont val="Calibri"/>
        <family val="2"/>
        <scheme val="minor"/>
      </rPr>
      <t>vw,CB</t>
    </r>
  </si>
  <si>
    <t>Vicinal water of colloidal biodegradable substrate in volatile solids</t>
  </si>
  <si>
    <r>
      <t>i</t>
    </r>
    <r>
      <rPr>
        <vertAlign val="subscript"/>
        <sz val="11"/>
        <rFont val="Calibri"/>
        <family val="2"/>
        <scheme val="minor"/>
      </rPr>
      <t>vw,CU</t>
    </r>
  </si>
  <si>
    <t>Vicinal water of colloidal unbiodegradable organics in volatile solids</t>
  </si>
  <si>
    <r>
      <t>i</t>
    </r>
    <r>
      <rPr>
        <vertAlign val="subscript"/>
        <sz val="11"/>
        <rFont val="Calibri"/>
        <family val="2"/>
        <scheme val="minor"/>
      </rPr>
      <t>vw,PHA</t>
    </r>
  </si>
  <si>
    <t>Vicinal water of PHA in volatile solids</t>
  </si>
  <si>
    <r>
      <t>i</t>
    </r>
    <r>
      <rPr>
        <vertAlign val="subscript"/>
        <sz val="11"/>
        <rFont val="Calibri"/>
        <family val="2"/>
        <scheme val="minor"/>
      </rPr>
      <t>vw,EPS</t>
    </r>
  </si>
  <si>
    <t>Vicinal water correction of EPS in volatile solids</t>
  </si>
  <si>
    <t>Water of Hydration content</t>
  </si>
  <si>
    <r>
      <t>i</t>
    </r>
    <r>
      <rPr>
        <vertAlign val="subscript"/>
        <sz val="11"/>
        <rFont val="Calibri"/>
        <family val="2"/>
        <scheme val="minor"/>
      </rPr>
      <t>wh,XB</t>
    </r>
  </si>
  <si>
    <t>Water of hydration of biodegradable substrate in volatile solids</t>
  </si>
  <si>
    <t>Assuming 10% of H2O is associated with water of hydration</t>
  </si>
  <si>
    <r>
      <t>i</t>
    </r>
    <r>
      <rPr>
        <vertAlign val="subscript"/>
        <sz val="11"/>
        <rFont val="Calibri"/>
        <family val="2"/>
        <scheme val="minor"/>
      </rPr>
      <t>wh,XU</t>
    </r>
  </si>
  <si>
    <t>Water of hydration of particulate unbiodegradable organics in volatile solids</t>
  </si>
  <si>
    <r>
      <t>i</t>
    </r>
    <r>
      <rPr>
        <vertAlign val="subscript"/>
        <sz val="11"/>
        <rFont val="Calibri"/>
        <family val="2"/>
        <scheme val="minor"/>
      </rPr>
      <t>wh,BIO</t>
    </r>
  </si>
  <si>
    <t>Water of hydration of biomass in volatile solids</t>
  </si>
  <si>
    <r>
      <t>i</t>
    </r>
    <r>
      <rPr>
        <vertAlign val="subscript"/>
        <sz val="11"/>
        <rFont val="Calibri"/>
        <family val="2"/>
        <scheme val="minor"/>
      </rPr>
      <t>wh,XE</t>
    </r>
  </si>
  <si>
    <t>Water of hydration of endogenous products in volatile solids</t>
  </si>
  <si>
    <r>
      <t>i</t>
    </r>
    <r>
      <rPr>
        <vertAlign val="subscript"/>
        <sz val="11"/>
        <rFont val="Calibri"/>
        <family val="2"/>
        <scheme val="minor"/>
      </rPr>
      <t>wh,PHA</t>
    </r>
  </si>
  <si>
    <t>Water of hydration of PHA in volatile solids</t>
  </si>
  <si>
    <t>Assuming 15% of H2O is associated with water of hydration</t>
  </si>
  <si>
    <r>
      <t>i</t>
    </r>
    <r>
      <rPr>
        <vertAlign val="subscript"/>
        <sz val="11"/>
        <rFont val="Calibri"/>
        <family val="2"/>
        <scheme val="minor"/>
      </rPr>
      <t>wh,EPS</t>
    </r>
  </si>
  <si>
    <t>Water of hydration correction of EPS in volatile solids</t>
  </si>
  <si>
    <t>Assuming 25% of H2O is associated with water of hydration</t>
  </si>
  <si>
    <t>MABR offgas</t>
  </si>
  <si>
    <r>
      <t>IS -IS</t>
    </r>
    <r>
      <rPr>
        <vertAlign val="subscript"/>
        <sz val="11"/>
        <rFont val="Calibri"/>
        <family val="2"/>
        <scheme val="minor"/>
      </rPr>
      <t>calc</t>
    </r>
  </si>
  <si>
    <r>
      <t>q</t>
    </r>
    <r>
      <rPr>
        <vertAlign val="subscript"/>
        <sz val="11"/>
        <rFont val="Calibri"/>
        <family val="2"/>
        <scheme val="minor"/>
      </rPr>
      <t>ALPHA</t>
    </r>
  </si>
  <si>
    <r>
      <t>m</t>
    </r>
    <r>
      <rPr>
        <vertAlign val="superscript"/>
        <sz val="11"/>
        <rFont val="Calibri"/>
        <family val="2"/>
        <charset val="238"/>
        <scheme val="minor"/>
      </rPr>
      <t>3</t>
    </r>
    <r>
      <rPr>
        <sz val="11"/>
        <rFont val="Calibri"/>
        <family val="2"/>
        <scheme val="minor"/>
      </rPr>
      <t>.g</t>
    </r>
    <r>
      <rPr>
        <vertAlign val="superscript"/>
        <sz val="11"/>
        <rFont val="Calibri"/>
        <family val="2"/>
        <charset val="238"/>
        <scheme val="minor"/>
      </rPr>
      <t>-1</t>
    </r>
    <r>
      <rPr>
        <sz val="11"/>
        <rFont val="Calibri"/>
        <family val="2"/>
        <charset val="238"/>
        <scheme val="minor"/>
      </rPr>
      <t>.</t>
    </r>
    <r>
      <rPr>
        <sz val="11"/>
        <rFont val="Calibri"/>
        <family val="2"/>
        <scheme val="minor"/>
      </rPr>
      <t>d</t>
    </r>
    <r>
      <rPr>
        <vertAlign val="superscript"/>
        <sz val="11"/>
        <rFont val="Calibri"/>
        <family val="2"/>
        <scheme val="minor"/>
      </rPr>
      <t>-1</t>
    </r>
  </si>
  <si>
    <r>
      <t>S</t>
    </r>
    <r>
      <rPr>
        <vertAlign val="subscript"/>
        <sz val="11"/>
        <rFont val="Calibri"/>
        <family val="2"/>
        <charset val="238"/>
        <scheme val="minor"/>
      </rPr>
      <t>ALPHA,sat</t>
    </r>
  </si>
  <si>
    <r>
      <t>coeff</t>
    </r>
    <r>
      <rPr>
        <vertAlign val="subscript"/>
        <sz val="11"/>
        <rFont val="Calibri"/>
        <family val="2"/>
        <charset val="238"/>
        <scheme val="minor"/>
      </rPr>
      <t>damp,ALPHA</t>
    </r>
  </si>
  <si>
    <r>
      <t>pow</t>
    </r>
    <r>
      <rPr>
        <vertAlign val="subscript"/>
        <sz val="11"/>
        <rFont val="Calibri"/>
        <family val="2"/>
        <charset val="238"/>
        <scheme val="minor"/>
      </rPr>
      <t>damp,ALPHA</t>
    </r>
  </si>
  <si>
    <r>
      <t>sl</t>
    </r>
    <r>
      <rPr>
        <vertAlign val="subscript"/>
        <sz val="11"/>
        <rFont val="Calibri"/>
        <family val="2"/>
        <charset val="238"/>
        <scheme val="minor"/>
      </rPr>
      <t>TSS,</t>
    </r>
    <r>
      <rPr>
        <vertAlign val="subscript"/>
        <sz val="11"/>
        <rFont val="Calibri"/>
        <family val="2"/>
        <charset val="238"/>
      </rPr>
      <t>α</t>
    </r>
    <r>
      <rPr>
        <vertAlign val="subscript"/>
        <sz val="11"/>
        <rFont val="Calibri"/>
        <family val="2"/>
        <charset val="238"/>
        <scheme val="minor"/>
      </rPr>
      <t>,def</t>
    </r>
  </si>
  <si>
    <r>
      <t>sl</t>
    </r>
    <r>
      <rPr>
        <vertAlign val="subscript"/>
        <sz val="11"/>
        <rFont val="Calibri"/>
        <family val="2"/>
        <charset val="238"/>
        <scheme val="minor"/>
      </rPr>
      <t>TSS,α,coarse</t>
    </r>
  </si>
  <si>
    <r>
      <t>coeff</t>
    </r>
    <r>
      <rPr>
        <vertAlign val="subscript"/>
        <sz val="11"/>
        <rFont val="Calibri"/>
        <family val="2"/>
        <charset val="238"/>
        <scheme val="minor"/>
      </rPr>
      <t>lead,TSS,α,mech</t>
    </r>
  </si>
  <si>
    <r>
      <t>coeff</t>
    </r>
    <r>
      <rPr>
        <vertAlign val="subscript"/>
        <sz val="11"/>
        <rFont val="Calibri"/>
        <family val="2"/>
        <charset val="238"/>
        <scheme val="minor"/>
      </rPr>
      <t>lin,TSS,α,mech</t>
    </r>
  </si>
  <si>
    <r>
      <t>const</t>
    </r>
    <r>
      <rPr>
        <vertAlign val="subscript"/>
        <sz val="11"/>
        <color rgb="FF000000"/>
        <rFont val="Calibri"/>
        <family val="2"/>
        <charset val="238"/>
        <scheme val="minor"/>
      </rPr>
      <t>TSS,α,mech</t>
    </r>
  </si>
  <si>
    <t>Alpha factor influencing expressions</t>
  </si>
  <si>
    <r>
      <t>damp</t>
    </r>
    <r>
      <rPr>
        <vertAlign val="subscript"/>
        <sz val="11"/>
        <rFont val="Calibri"/>
        <family val="2"/>
        <charset val="238"/>
        <scheme val="minor"/>
      </rPr>
      <t>ALPHA</t>
    </r>
  </si>
  <si>
    <r>
      <t>1+coeff</t>
    </r>
    <r>
      <rPr>
        <vertAlign val="subscript"/>
        <sz val="11"/>
        <rFont val="Calibri"/>
        <family val="2"/>
        <charset val="238"/>
        <scheme val="minor"/>
      </rPr>
      <t>damp,ALPHA</t>
    </r>
    <r>
      <rPr>
        <sz val="11"/>
        <rFont val="Calibri"/>
        <family val="2"/>
        <charset val="238"/>
        <scheme val="minor"/>
      </rPr>
      <t>*(</t>
    </r>
    <r>
      <rPr>
        <sz val="11"/>
        <rFont val="Calibri"/>
        <family val="2"/>
        <scheme val="minor"/>
      </rPr>
      <t>S</t>
    </r>
    <r>
      <rPr>
        <vertAlign val="subscript"/>
        <sz val="11"/>
        <rFont val="Calibri"/>
        <family val="2"/>
        <charset val="238"/>
        <scheme val="minor"/>
      </rPr>
      <t>ALPHA</t>
    </r>
    <r>
      <rPr>
        <sz val="11"/>
        <rFont val="Calibri"/>
        <family val="2"/>
        <scheme val="minor"/>
      </rPr>
      <t>/S</t>
    </r>
    <r>
      <rPr>
        <vertAlign val="subscript"/>
        <sz val="11"/>
        <rFont val="Calibri"/>
        <family val="2"/>
        <charset val="238"/>
        <scheme val="minor"/>
      </rPr>
      <t>ALPHA,sat</t>
    </r>
    <r>
      <rPr>
        <sz val="11"/>
        <rFont val="Calibri"/>
        <family val="2"/>
        <charset val="238"/>
        <scheme val="minor"/>
      </rPr>
      <t>)^pow</t>
    </r>
    <r>
      <rPr>
        <vertAlign val="subscript"/>
        <sz val="11"/>
        <rFont val="Calibri"/>
        <family val="2"/>
        <charset val="238"/>
        <scheme val="minor"/>
      </rPr>
      <t>damp,ALPHA</t>
    </r>
  </si>
  <si>
    <r>
      <t>corr</t>
    </r>
    <r>
      <rPr>
        <vertAlign val="subscript"/>
        <sz val="11"/>
        <rFont val="Calibri"/>
        <family val="2"/>
        <charset val="238"/>
        <scheme val="minor"/>
      </rPr>
      <t>TSS,</t>
    </r>
    <r>
      <rPr>
        <vertAlign val="subscript"/>
        <sz val="11"/>
        <rFont val="Calibri"/>
        <family val="2"/>
        <charset val="238"/>
      </rPr>
      <t>α</t>
    </r>
  </si>
  <si>
    <r>
      <t>Exp(</t>
    </r>
    <r>
      <rPr>
        <sz val="11"/>
        <color indexed="8"/>
        <rFont val="Calibri"/>
        <family val="2"/>
      </rPr>
      <t>sl</t>
    </r>
    <r>
      <rPr>
        <vertAlign val="subscript"/>
        <sz val="11"/>
        <color rgb="FF000000"/>
        <rFont val="Calibri"/>
        <family val="2"/>
        <charset val="238"/>
      </rPr>
      <t>TSS,α,def</t>
    </r>
    <r>
      <rPr>
        <sz val="11"/>
        <color rgb="FF000000"/>
        <rFont val="Calibri"/>
        <family val="2"/>
        <charset val="238"/>
      </rPr>
      <t>*X</t>
    </r>
    <r>
      <rPr>
        <vertAlign val="subscript"/>
        <sz val="11"/>
        <color rgb="FF000000"/>
        <rFont val="Calibri"/>
        <family val="2"/>
        <charset val="238"/>
      </rPr>
      <t>TSS</t>
    </r>
    <r>
      <rPr>
        <sz val="11"/>
        <color rgb="FF000000"/>
        <rFont val="Calibri"/>
        <family val="2"/>
        <charset val="238"/>
      </rPr>
      <t>/c</t>
    </r>
    <r>
      <rPr>
        <vertAlign val="subscript"/>
        <sz val="11"/>
        <color rgb="FF000000"/>
        <rFont val="Calibri"/>
        <family val="2"/>
        <charset val="238"/>
      </rPr>
      <t>g,kg</t>
    </r>
    <r>
      <rPr>
        <sz val="11"/>
        <color indexed="8"/>
        <rFont val="Calibri"/>
        <family val="2"/>
      </rPr>
      <t>)</t>
    </r>
  </si>
  <si>
    <r>
      <t>Exp(</t>
    </r>
    <r>
      <rPr>
        <sz val="11"/>
        <color indexed="8"/>
        <rFont val="Calibri"/>
        <family val="2"/>
      </rPr>
      <t>sl</t>
    </r>
    <r>
      <rPr>
        <vertAlign val="subscript"/>
        <sz val="11"/>
        <color rgb="FF000000"/>
        <rFont val="Calibri"/>
        <family val="2"/>
        <charset val="238"/>
      </rPr>
      <t>TSS,α,coarse</t>
    </r>
    <r>
      <rPr>
        <sz val="11"/>
        <color rgb="FF000000"/>
        <rFont val="Calibri"/>
        <family val="2"/>
        <charset val="238"/>
      </rPr>
      <t>*X</t>
    </r>
    <r>
      <rPr>
        <vertAlign val="subscript"/>
        <sz val="11"/>
        <color rgb="FF000000"/>
        <rFont val="Calibri"/>
        <family val="2"/>
        <charset val="238"/>
      </rPr>
      <t>TSS</t>
    </r>
    <r>
      <rPr>
        <sz val="11"/>
        <color rgb="FF000000"/>
        <rFont val="Calibri"/>
        <family val="2"/>
        <charset val="238"/>
      </rPr>
      <t>/c</t>
    </r>
    <r>
      <rPr>
        <vertAlign val="subscript"/>
        <sz val="11"/>
        <color rgb="FF000000"/>
        <rFont val="Calibri"/>
        <family val="2"/>
        <charset val="238"/>
      </rPr>
      <t>g,kg</t>
    </r>
    <r>
      <rPr>
        <sz val="11"/>
        <color indexed="8"/>
        <rFont val="Calibri"/>
        <family val="2"/>
      </rPr>
      <t>)</t>
    </r>
  </si>
  <si>
    <t>SOTECorr_cap</t>
  </si>
  <si>
    <t>SOTEFixed_coarse</t>
  </si>
  <si>
    <r>
      <t>coeff</t>
    </r>
    <r>
      <rPr>
        <vertAlign val="subscript"/>
        <sz val="11"/>
        <rFont val="Calibri"/>
        <family val="2"/>
        <charset val="238"/>
        <scheme val="minor"/>
      </rPr>
      <t>lead,TSS,</t>
    </r>
    <r>
      <rPr>
        <vertAlign val="subscript"/>
        <sz val="11"/>
        <rFont val="Calibri"/>
        <family val="2"/>
        <charset val="238"/>
      </rPr>
      <t>α,mech</t>
    </r>
    <r>
      <rPr>
        <sz val="11"/>
        <rFont val="Calibri"/>
        <family val="2"/>
        <scheme val="minor"/>
      </rPr>
      <t>*(X</t>
    </r>
    <r>
      <rPr>
        <vertAlign val="subscript"/>
        <sz val="11"/>
        <rFont val="Calibri"/>
        <family val="2"/>
        <charset val="238"/>
        <scheme val="minor"/>
      </rPr>
      <t>TSS</t>
    </r>
    <r>
      <rPr>
        <sz val="11"/>
        <rFont val="Calibri"/>
        <family val="2"/>
        <charset val="238"/>
        <scheme val="minor"/>
      </rPr>
      <t>/c</t>
    </r>
    <r>
      <rPr>
        <vertAlign val="subscript"/>
        <sz val="11"/>
        <rFont val="Calibri"/>
        <family val="2"/>
        <charset val="238"/>
        <scheme val="minor"/>
      </rPr>
      <t>g,kg</t>
    </r>
    <r>
      <rPr>
        <sz val="11"/>
        <rFont val="Calibri"/>
        <family val="2"/>
        <charset val="238"/>
        <scheme val="minor"/>
      </rPr>
      <t>)^</t>
    </r>
    <r>
      <rPr>
        <sz val="11"/>
        <rFont val="Calibri"/>
        <family val="2"/>
        <scheme val="minor"/>
      </rPr>
      <t>2 + coeff</t>
    </r>
    <r>
      <rPr>
        <vertAlign val="subscript"/>
        <sz val="11"/>
        <rFont val="Calibri"/>
        <family val="2"/>
        <charset val="238"/>
        <scheme val="minor"/>
      </rPr>
      <t>lin,TSS,α,mech</t>
    </r>
    <r>
      <rPr>
        <sz val="11"/>
        <rFont val="Calibri"/>
        <family val="2"/>
        <scheme val="minor"/>
      </rPr>
      <t xml:space="preserve"> * X</t>
    </r>
    <r>
      <rPr>
        <vertAlign val="subscript"/>
        <sz val="11"/>
        <rFont val="Calibri"/>
        <family val="2"/>
        <charset val="238"/>
        <scheme val="minor"/>
      </rPr>
      <t>TSS</t>
    </r>
    <r>
      <rPr>
        <sz val="11"/>
        <rFont val="Calibri"/>
        <family val="2"/>
        <charset val="238"/>
        <scheme val="minor"/>
      </rPr>
      <t>/c</t>
    </r>
    <r>
      <rPr>
        <vertAlign val="subscript"/>
        <sz val="11"/>
        <rFont val="Calibri"/>
        <family val="2"/>
        <charset val="238"/>
        <scheme val="minor"/>
      </rPr>
      <t>g,kg</t>
    </r>
    <r>
      <rPr>
        <sz val="11"/>
        <rFont val="Calibri"/>
        <family val="2"/>
        <scheme val="minor"/>
      </rPr>
      <t xml:space="preserve"> + const</t>
    </r>
    <r>
      <rPr>
        <vertAlign val="subscript"/>
        <sz val="11"/>
        <rFont val="Calibri"/>
        <family val="2"/>
        <charset val="238"/>
        <scheme val="minor"/>
      </rPr>
      <t>TSS,α,mech</t>
    </r>
  </si>
  <si>
    <t>Mechanical</t>
  </si>
  <si>
    <r>
      <t>α</t>
    </r>
    <r>
      <rPr>
        <vertAlign val="subscript"/>
        <sz val="9.35"/>
        <rFont val="Calibri"/>
        <family val="2"/>
        <charset val="238"/>
      </rPr>
      <t>pred</t>
    </r>
  </si>
  <si>
    <t>Alpha factor predicted</t>
  </si>
  <si>
    <r>
      <t>S</t>
    </r>
    <r>
      <rPr>
        <b/>
        <vertAlign val="subscript"/>
        <sz val="11"/>
        <rFont val="Calibri"/>
        <family val="2"/>
        <charset val="238"/>
        <scheme val="minor"/>
      </rPr>
      <t>ALPHA</t>
    </r>
  </si>
  <si>
    <t>Alpha indicator</t>
  </si>
  <si>
    <t>Elimination of surfactants</t>
  </si>
  <si>
    <r>
      <t>S</t>
    </r>
    <r>
      <rPr>
        <b/>
        <vertAlign val="subscript"/>
        <sz val="12"/>
        <rFont val="Calibri"/>
        <family val="2"/>
        <charset val="238"/>
        <scheme val="minor"/>
      </rPr>
      <t>ALPHA</t>
    </r>
  </si>
  <si>
    <r>
      <rPr>
        <sz val="11"/>
        <rFont val="Calibri"/>
        <family val="2"/>
      </rPr>
      <t>d</t>
    </r>
    <r>
      <rPr>
        <vertAlign val="superscript"/>
        <sz val="11"/>
        <rFont val="Calibri"/>
        <family val="2"/>
      </rPr>
      <t>-1</t>
    </r>
  </si>
  <si>
    <r>
      <t>T</t>
    </r>
    <r>
      <rPr>
        <vertAlign val="subscript"/>
        <sz val="11"/>
        <rFont val="Calibri"/>
        <family val="2"/>
        <charset val="238"/>
      </rPr>
      <t>IN</t>
    </r>
  </si>
  <si>
    <t>Total inorganic nitrogen</t>
  </si>
  <si>
    <r>
      <t>T</t>
    </r>
    <r>
      <rPr>
        <vertAlign val="subscript"/>
        <sz val="11"/>
        <rFont val="Calibri"/>
        <family val="2"/>
        <scheme val="minor"/>
      </rPr>
      <t>KN</t>
    </r>
    <r>
      <rPr>
        <sz val="11"/>
        <rFont val="Calibri"/>
        <family val="2"/>
        <scheme val="minor"/>
      </rPr>
      <t xml:space="preserve"> + S</t>
    </r>
    <r>
      <rPr>
        <vertAlign val="subscript"/>
        <sz val="11"/>
        <rFont val="Calibri"/>
        <family val="2"/>
        <scheme val="minor"/>
      </rPr>
      <t>NOx</t>
    </r>
    <r>
      <rPr>
        <sz val="11"/>
        <rFont val="Calibri"/>
        <family val="2"/>
      </rPr>
      <t/>
    </r>
  </si>
  <si>
    <r>
      <t>S</t>
    </r>
    <r>
      <rPr>
        <vertAlign val="subscript"/>
        <sz val="11"/>
        <rFont val="Calibri"/>
        <family val="2"/>
      </rPr>
      <t>NO2</t>
    </r>
    <r>
      <rPr>
        <sz val="11"/>
        <rFont val="Calibri"/>
        <family val="2"/>
      </rPr>
      <t xml:space="preserve"> + S</t>
    </r>
    <r>
      <rPr>
        <vertAlign val="subscript"/>
        <sz val="11"/>
        <rFont val="Calibri"/>
        <family val="2"/>
      </rPr>
      <t>NO3</t>
    </r>
  </si>
  <si>
    <r>
      <t>S</t>
    </r>
    <r>
      <rPr>
        <vertAlign val="subscript"/>
        <sz val="11"/>
        <rFont val="Calibri"/>
        <family val="2"/>
        <scheme val="minor"/>
      </rPr>
      <t>NHx</t>
    </r>
    <r>
      <rPr>
        <sz val="11"/>
        <rFont val="Calibri"/>
        <family val="2"/>
        <scheme val="minor"/>
      </rPr>
      <t xml:space="preserve"> + S</t>
    </r>
    <r>
      <rPr>
        <vertAlign val="subscript"/>
        <sz val="11"/>
        <rFont val="Calibri"/>
        <family val="2"/>
        <scheme val="minor"/>
      </rPr>
      <t>NOx</t>
    </r>
    <r>
      <rPr>
        <sz val="11"/>
        <rFont val="Calibri"/>
        <family val="2"/>
      </rPr>
      <t/>
    </r>
  </si>
  <si>
    <t>Enhanced biological phosphorus removal</t>
  </si>
  <si>
    <t>Maximum specific growth rate of CASTOs</t>
  </si>
  <si>
    <r>
      <t>µ</t>
    </r>
    <r>
      <rPr>
        <vertAlign val="subscript"/>
        <sz val="11"/>
        <rFont val="Calibri"/>
        <family val="2"/>
        <scheme val="minor"/>
      </rPr>
      <t>CASTO</t>
    </r>
  </si>
  <si>
    <r>
      <t>q</t>
    </r>
    <r>
      <rPr>
        <vertAlign val="subscript"/>
        <sz val="11"/>
        <rFont val="Calibri"/>
        <family val="2"/>
        <scheme val="minor"/>
      </rPr>
      <t>PAO,PP</t>
    </r>
  </si>
  <si>
    <t>Maximum polyphosphate uptake rate of PAOs</t>
  </si>
  <si>
    <t>Decay rate of CASTOs</t>
  </si>
  <si>
    <r>
      <t>b</t>
    </r>
    <r>
      <rPr>
        <vertAlign val="subscript"/>
        <sz val="11"/>
        <rFont val="Calibri"/>
        <family val="2"/>
        <scheme val="minor"/>
      </rPr>
      <t>CASTO</t>
    </r>
  </si>
  <si>
    <r>
      <t>b</t>
    </r>
    <r>
      <rPr>
        <vertAlign val="subscript"/>
        <sz val="11"/>
        <rFont val="Calibri"/>
        <family val="2"/>
        <scheme val="minor"/>
      </rPr>
      <t>STC</t>
    </r>
  </si>
  <si>
    <t>previously 0.05 (0.15 for Lopez et al. 2006; Hao et al., 2010)</t>
  </si>
  <si>
    <t>Reduction factor for anoxic growth of CASTOs</t>
  </si>
  <si>
    <t>Reduction factor for anoxic decay of CASTOs</t>
  </si>
  <si>
    <t>Reduction factor for anaerobic decay of CASTOs</t>
  </si>
  <si>
    <r>
      <t>η</t>
    </r>
    <r>
      <rPr>
        <vertAlign val="subscript"/>
        <sz val="11"/>
        <rFont val="Calibri"/>
        <family val="2"/>
        <scheme val="minor"/>
      </rPr>
      <t>CASTO,anox</t>
    </r>
  </si>
  <si>
    <r>
      <t>η</t>
    </r>
    <r>
      <rPr>
        <vertAlign val="subscript"/>
        <sz val="11"/>
        <rFont val="Calibri"/>
        <family val="2"/>
        <scheme val="minor"/>
      </rPr>
      <t>bCASTO,anox</t>
    </r>
  </si>
  <si>
    <r>
      <t>η</t>
    </r>
    <r>
      <rPr>
        <vertAlign val="subscript"/>
        <sz val="11"/>
        <rFont val="Calibri"/>
        <family val="2"/>
        <scheme val="minor"/>
      </rPr>
      <t>bCASTO,ana</t>
    </r>
  </si>
  <si>
    <r>
      <t>η</t>
    </r>
    <r>
      <rPr>
        <vertAlign val="subscript"/>
        <sz val="11"/>
        <rFont val="Calibri"/>
        <family val="2"/>
        <scheme val="minor"/>
      </rPr>
      <t>bSTC,anox</t>
    </r>
  </si>
  <si>
    <r>
      <t>K</t>
    </r>
    <r>
      <rPr>
        <vertAlign val="subscript"/>
        <sz val="11"/>
        <rFont val="Calibri"/>
        <family val="2"/>
        <scheme val="minor"/>
      </rPr>
      <t>PHA,cle</t>
    </r>
  </si>
  <si>
    <t>Half-saturation of PHA for PAOs at PP cleavage</t>
  </si>
  <si>
    <r>
      <t>K</t>
    </r>
    <r>
      <rPr>
        <vertAlign val="subscript"/>
        <sz val="11"/>
        <rFont val="Calibri"/>
        <family val="2"/>
        <scheme val="minor"/>
      </rPr>
      <t>STC</t>
    </r>
  </si>
  <si>
    <t>Half-saturation of PHA and GLY for PAOs</t>
  </si>
  <si>
    <r>
      <t>Half-saturation of O</t>
    </r>
    <r>
      <rPr>
        <vertAlign val="subscript"/>
        <sz val="11"/>
        <color rgb="FF000000"/>
        <rFont val="Calibri"/>
        <family val="2"/>
        <scheme val="minor"/>
      </rPr>
      <t>2</t>
    </r>
    <r>
      <rPr>
        <sz val="11"/>
        <color rgb="FF000000"/>
        <rFont val="Calibri"/>
        <family val="2"/>
        <charset val="238"/>
        <scheme val="minor"/>
      </rPr>
      <t xml:space="preserve"> for CASTOs (AS)</t>
    </r>
  </si>
  <si>
    <r>
      <t>Half-saturation of NO</t>
    </r>
    <r>
      <rPr>
        <vertAlign val="subscript"/>
        <sz val="11"/>
        <color rgb="FF000000"/>
        <rFont val="Calibri"/>
        <family val="2"/>
        <scheme val="minor"/>
      </rPr>
      <t>3</t>
    </r>
    <r>
      <rPr>
        <sz val="11"/>
        <color rgb="FF000000"/>
        <rFont val="Calibri"/>
        <family val="2"/>
        <charset val="238"/>
        <scheme val="minor"/>
      </rPr>
      <t xml:space="preserve"> for CASTOs (AS)</t>
    </r>
  </si>
  <si>
    <r>
      <t>Half-saturation of NO</t>
    </r>
    <r>
      <rPr>
        <vertAlign val="subscript"/>
        <sz val="11"/>
        <color rgb="FF000000"/>
        <rFont val="Calibri"/>
        <family val="2"/>
        <scheme val="minor"/>
      </rPr>
      <t>2</t>
    </r>
    <r>
      <rPr>
        <sz val="11"/>
        <color rgb="FF000000"/>
        <rFont val="Calibri"/>
        <family val="2"/>
        <charset val="238"/>
        <scheme val="minor"/>
      </rPr>
      <t xml:space="preserve"> for CASTOs (AS)</t>
    </r>
  </si>
  <si>
    <t>Half-saturation of VFA storage for CASTOs (AS)</t>
  </si>
  <si>
    <r>
      <t>g COD.g P</t>
    </r>
    <r>
      <rPr>
        <vertAlign val="superscript"/>
        <sz val="11"/>
        <rFont val="Calibri"/>
        <family val="2"/>
        <scheme val="minor"/>
      </rPr>
      <t>-1</t>
    </r>
  </si>
  <si>
    <t>Half-saturation of PP (nutrient) for PAOs under PO4 limitation (AS)</t>
  </si>
  <si>
    <r>
      <t>Logsat</t>
    </r>
    <r>
      <rPr>
        <vertAlign val="subscript"/>
        <sz val="11"/>
        <rFont val="Calibri"/>
        <family val="2"/>
        <scheme val="minor"/>
      </rPr>
      <t>ORP,GAO,Half,15</t>
    </r>
  </si>
  <si>
    <t>Half-value of ORP switch of glycogen storage by GAO at 15°C / 59°F</t>
  </si>
  <si>
    <r>
      <t>Logsat</t>
    </r>
    <r>
      <rPr>
        <vertAlign val="subscript"/>
        <sz val="11"/>
        <rFont val="Calibri"/>
        <family val="2"/>
        <scheme val="minor"/>
      </rPr>
      <t>ORP,GAO,Half,25</t>
    </r>
  </si>
  <si>
    <t>Half-value of ORP switch of glycogen storage by GAO at 25°C / 77°F</t>
  </si>
  <si>
    <r>
      <t>Logsat</t>
    </r>
    <r>
      <rPr>
        <vertAlign val="subscript"/>
        <sz val="11"/>
        <rFont val="Calibri"/>
        <family val="2"/>
        <scheme val="minor"/>
      </rPr>
      <t>ORP,GAO,Slope</t>
    </r>
  </si>
  <si>
    <t>Carbon storing organism kinetics (CASTO)</t>
  </si>
  <si>
    <t>Arrhenius coefficient for CASTO growth</t>
  </si>
  <si>
    <r>
      <t>θ</t>
    </r>
    <r>
      <rPr>
        <vertAlign val="subscript"/>
        <sz val="11"/>
        <color indexed="8"/>
        <rFont val="Calibri"/>
        <family val="2"/>
        <scheme val="minor"/>
      </rPr>
      <t>µ,CASTO</t>
    </r>
  </si>
  <si>
    <r>
      <t>θ</t>
    </r>
    <r>
      <rPr>
        <vertAlign val="subscript"/>
        <sz val="11"/>
        <color indexed="8"/>
        <rFont val="Calibri"/>
        <family val="2"/>
        <scheme val="minor"/>
      </rPr>
      <t>q,PAO,PP</t>
    </r>
  </si>
  <si>
    <t>Arrhenius coefficient for PP storage</t>
  </si>
  <si>
    <t>Arrhenius coefficient for CASTO decay</t>
  </si>
  <si>
    <r>
      <t>θ</t>
    </r>
    <r>
      <rPr>
        <vertAlign val="subscript"/>
        <sz val="11"/>
        <color indexed="8"/>
        <rFont val="Calibri"/>
        <family val="2"/>
        <scheme val="minor"/>
      </rPr>
      <t>b,CASTO</t>
    </r>
  </si>
  <si>
    <r>
      <t>θ</t>
    </r>
    <r>
      <rPr>
        <vertAlign val="subscript"/>
        <sz val="11"/>
        <color indexed="8"/>
        <rFont val="Calibri"/>
        <family val="2"/>
        <scheme val="minor"/>
      </rPr>
      <t>b,STC</t>
    </r>
  </si>
  <si>
    <t>Yield of CASTOs on readily biodegradable substrate under anaerobic conditions</t>
  </si>
  <si>
    <r>
      <t>Y</t>
    </r>
    <r>
      <rPr>
        <vertAlign val="subscript"/>
        <sz val="11"/>
        <rFont val="Calibri"/>
        <family val="2"/>
        <scheme val="minor"/>
      </rPr>
      <t>CASTO,SB,ana</t>
    </r>
  </si>
  <si>
    <t>Yield of H2 production in fermentation with high VFA concentration (CASTO)</t>
  </si>
  <si>
    <t>Yield of H2 production in fermentation with low VFA concentration (CASTO)</t>
  </si>
  <si>
    <r>
      <t>Y</t>
    </r>
    <r>
      <rPr>
        <vertAlign val="subscript"/>
        <sz val="11"/>
        <rFont val="Calibri"/>
        <family val="2"/>
        <scheme val="minor"/>
      </rPr>
      <t>CASTO,H2,ana,high</t>
    </r>
  </si>
  <si>
    <r>
      <t>Y</t>
    </r>
    <r>
      <rPr>
        <vertAlign val="subscript"/>
        <sz val="11"/>
        <rFont val="Calibri"/>
        <family val="2"/>
        <scheme val="minor"/>
      </rPr>
      <t>CASTO,H2,ana,low</t>
    </r>
  </si>
  <si>
    <r>
      <t>Y</t>
    </r>
    <r>
      <rPr>
        <vertAlign val="subscript"/>
        <sz val="11"/>
        <rFont val="Calibri"/>
        <family val="2"/>
        <scheme val="minor"/>
      </rPr>
      <t>PP,CASTO,ox</t>
    </r>
  </si>
  <si>
    <t>Yield of CASTOs consumed per PP uptake under aerobic conditions</t>
  </si>
  <si>
    <r>
      <t>Y</t>
    </r>
    <r>
      <rPr>
        <vertAlign val="subscript"/>
        <sz val="11"/>
        <rFont val="Calibri"/>
        <family val="2"/>
        <scheme val="minor"/>
      </rPr>
      <t>PP,CASTO,anox</t>
    </r>
  </si>
  <si>
    <t>Yield of CASTOs consumed per PP uptake under anoxic conditions</t>
  </si>
  <si>
    <t>Carbon storing organisms (CASTO)</t>
  </si>
  <si>
    <r>
      <t>X</t>
    </r>
    <r>
      <rPr>
        <b/>
        <vertAlign val="subscript"/>
        <sz val="11"/>
        <rFont val="Calibri"/>
        <family val="2"/>
        <scheme val="minor"/>
      </rPr>
      <t>CASTO</t>
    </r>
  </si>
  <si>
    <t>CASTO related calculations</t>
  </si>
  <si>
    <r>
      <t>X</t>
    </r>
    <r>
      <rPr>
        <vertAlign val="subscript"/>
        <sz val="11"/>
        <rFont val="Calibri"/>
        <family val="2"/>
        <scheme val="minor"/>
      </rPr>
      <t>STC</t>
    </r>
  </si>
  <si>
    <r>
      <t>act</t>
    </r>
    <r>
      <rPr>
        <vertAlign val="subscript"/>
        <sz val="11"/>
        <rFont val="Calibri"/>
        <family val="2"/>
        <scheme val="minor"/>
      </rPr>
      <t>PAO</t>
    </r>
  </si>
  <si>
    <t>PAO activity of CASTOs</t>
  </si>
  <si>
    <r>
      <t>act</t>
    </r>
    <r>
      <rPr>
        <vertAlign val="subscript"/>
        <sz val="11"/>
        <rFont val="Calibri"/>
        <family val="2"/>
        <scheme val="minor"/>
      </rPr>
      <t>GAO</t>
    </r>
  </si>
  <si>
    <t>GAO activity of CASTOs</t>
  </si>
  <si>
    <r>
      <t>X</t>
    </r>
    <r>
      <rPr>
        <vertAlign val="subscript"/>
        <sz val="11"/>
        <rFont val="Calibri"/>
        <family val="2"/>
        <scheme val="minor"/>
      </rPr>
      <t>PAO</t>
    </r>
  </si>
  <si>
    <r>
      <t>act</t>
    </r>
    <r>
      <rPr>
        <vertAlign val="subscript"/>
        <sz val="11"/>
        <rFont val="Calibri"/>
        <family val="2"/>
        <scheme val="minor"/>
      </rPr>
      <t>PAO</t>
    </r>
    <r>
      <rPr>
        <sz val="11"/>
        <rFont val="Calibri"/>
        <family val="2"/>
        <scheme val="minor"/>
      </rPr>
      <t xml:space="preserve"> * X</t>
    </r>
    <r>
      <rPr>
        <vertAlign val="subscript"/>
        <sz val="11"/>
        <rFont val="Calibri"/>
        <family val="2"/>
        <scheme val="minor"/>
      </rPr>
      <t>CASTO</t>
    </r>
  </si>
  <si>
    <r>
      <t>X</t>
    </r>
    <r>
      <rPr>
        <vertAlign val="subscript"/>
        <sz val="11"/>
        <rFont val="Calibri"/>
        <family val="2"/>
        <scheme val="minor"/>
      </rPr>
      <t>GAO</t>
    </r>
  </si>
  <si>
    <r>
      <t>act</t>
    </r>
    <r>
      <rPr>
        <vertAlign val="subscript"/>
        <sz val="11"/>
        <rFont val="Calibri"/>
        <family val="2"/>
        <scheme val="minor"/>
      </rPr>
      <t>GAO</t>
    </r>
    <r>
      <rPr>
        <sz val="11"/>
        <rFont val="Calibri"/>
        <family val="2"/>
        <scheme val="minor"/>
      </rPr>
      <t xml:space="preserve"> * X</t>
    </r>
    <r>
      <rPr>
        <vertAlign val="subscript"/>
        <sz val="11"/>
        <rFont val="Calibri"/>
        <family val="2"/>
        <scheme val="minor"/>
      </rPr>
      <t>CASTO</t>
    </r>
  </si>
  <si>
    <r>
      <t>act</t>
    </r>
    <r>
      <rPr>
        <vertAlign val="subscript"/>
        <sz val="11"/>
        <rFont val="Calibri"/>
        <family val="2"/>
        <scheme val="minor"/>
      </rPr>
      <t>sto,GAO,ORP</t>
    </r>
  </si>
  <si>
    <t>ORP dependent VFA storage activity of GAOs</t>
  </si>
  <si>
    <r>
      <t>Logsat</t>
    </r>
    <r>
      <rPr>
        <vertAlign val="subscript"/>
        <sz val="11"/>
        <rFont val="Calibri"/>
        <family val="2"/>
        <scheme val="minor"/>
      </rPr>
      <t>ORP,GAO,T</t>
    </r>
  </si>
  <si>
    <r>
      <t>act</t>
    </r>
    <r>
      <rPr>
        <vertAlign val="subscript"/>
        <sz val="11"/>
        <rFont val="Calibri"/>
        <family val="2"/>
        <scheme val="minor"/>
      </rPr>
      <t>sto,PAO,ORP</t>
    </r>
  </si>
  <si>
    <t>ORP dependent VFA storage activity of PAOs</t>
  </si>
  <si>
    <r>
      <t>(1 - Logsat</t>
    </r>
    <r>
      <rPr>
        <vertAlign val="subscript"/>
        <sz val="11"/>
        <color indexed="8"/>
        <rFont val="Calibri"/>
        <family val="2"/>
        <charset val="238"/>
      </rPr>
      <t>ORP,GAO,T</t>
    </r>
    <r>
      <rPr>
        <sz val="11"/>
        <color indexed="8"/>
        <rFont val="Calibri"/>
        <family val="2"/>
        <charset val="238"/>
      </rPr>
      <t xml:space="preserve">) </t>
    </r>
  </si>
  <si>
    <r>
      <t>act</t>
    </r>
    <r>
      <rPr>
        <vertAlign val="subscript"/>
        <sz val="11"/>
        <rFont val="Calibri"/>
        <family val="2"/>
        <scheme val="minor"/>
      </rPr>
      <t>ferm,PAO,ORP</t>
    </r>
  </si>
  <si>
    <t>ORP dependent fermentation activity of PAOs</t>
  </si>
  <si>
    <r>
      <t>(1 - Logsat</t>
    </r>
    <r>
      <rPr>
        <vertAlign val="subscript"/>
        <sz val="11"/>
        <rFont val="Calibri"/>
        <family val="2"/>
        <charset val="238"/>
        <scheme val="minor"/>
      </rPr>
      <t>ORP,GAO,T</t>
    </r>
    <r>
      <rPr>
        <sz val="11"/>
        <rFont val="Calibri"/>
        <family val="2"/>
        <scheme val="minor"/>
      </rPr>
      <t>) * Loginh</t>
    </r>
    <r>
      <rPr>
        <vertAlign val="subscript"/>
        <sz val="11"/>
        <color rgb="FF000000"/>
        <rFont val="Calibri"/>
        <family val="2"/>
      </rPr>
      <t>ORP,PAO</t>
    </r>
    <r>
      <rPr>
        <sz val="11"/>
        <color indexed="8"/>
        <rFont val="Calibri"/>
        <family val="2"/>
      </rPr>
      <t/>
    </r>
  </si>
  <si>
    <r>
      <t>Y</t>
    </r>
    <r>
      <rPr>
        <vertAlign val="subscript"/>
        <sz val="11"/>
        <rFont val="Calibri"/>
        <family val="2"/>
        <scheme val="minor"/>
      </rPr>
      <t>CASTO,STC,ox</t>
    </r>
  </si>
  <si>
    <r>
      <t>g X</t>
    </r>
    <r>
      <rPr>
        <vertAlign val="subscript"/>
        <sz val="11"/>
        <rFont val="Calibri"/>
        <family val="2"/>
        <scheme val="minor"/>
      </rPr>
      <t>CASTO</t>
    </r>
    <r>
      <rPr>
        <sz val="11"/>
        <rFont val="Calibri"/>
        <family val="2"/>
        <scheme val="minor"/>
      </rPr>
      <t>.g X</t>
    </r>
    <r>
      <rPr>
        <vertAlign val="subscript"/>
        <sz val="11"/>
        <rFont val="Calibri"/>
        <family val="2"/>
        <scheme val="minor"/>
      </rPr>
      <t>STC</t>
    </r>
    <r>
      <rPr>
        <vertAlign val="superscript"/>
        <sz val="11"/>
        <rFont val="Calibri"/>
        <family val="2"/>
        <scheme val="minor"/>
      </rPr>
      <t>-1</t>
    </r>
  </si>
  <si>
    <r>
      <t>Y</t>
    </r>
    <r>
      <rPr>
        <vertAlign val="subscript"/>
        <sz val="11"/>
        <rFont val="Calibri"/>
        <family val="2"/>
        <scheme val="minor"/>
      </rPr>
      <t>CASTO,STC,anox</t>
    </r>
  </si>
  <si>
    <r>
      <t>i</t>
    </r>
    <r>
      <rPr>
        <vertAlign val="subscript"/>
        <sz val="11"/>
        <rFont val="Calibri"/>
        <family val="2"/>
        <scheme val="minor"/>
      </rPr>
      <t>CIT,STC</t>
    </r>
  </si>
  <si>
    <t>Observed inorganic carbon content of STC</t>
  </si>
  <si>
    <t>ORP related inhibiton functions</t>
  </si>
  <si>
    <r>
      <t>sl</t>
    </r>
    <r>
      <rPr>
        <vertAlign val="subscript"/>
        <sz val="11"/>
        <rFont val="Calibri"/>
        <family val="2"/>
        <charset val="238"/>
        <scheme val="minor"/>
      </rPr>
      <t>ORP,GAO,Half,T</t>
    </r>
  </si>
  <si>
    <t>Slope of logistic half-saturation of ORP switching of GAOs temperature correction</t>
  </si>
  <si>
    <r>
      <t>(Logsat</t>
    </r>
    <r>
      <rPr>
        <vertAlign val="subscript"/>
        <sz val="11"/>
        <rFont val="Calibri"/>
        <family val="2"/>
        <charset val="238"/>
        <scheme val="minor"/>
      </rPr>
      <t>ORP,GAO,Half,25</t>
    </r>
    <r>
      <rPr>
        <sz val="11"/>
        <rFont val="Calibri"/>
        <family val="2"/>
        <scheme val="minor"/>
      </rPr>
      <t xml:space="preserve"> - Logsat</t>
    </r>
    <r>
      <rPr>
        <vertAlign val="subscript"/>
        <sz val="11"/>
        <rFont val="Calibri"/>
        <family val="2"/>
        <charset val="238"/>
        <scheme val="minor"/>
      </rPr>
      <t>ORP,GAO,Half,15</t>
    </r>
    <r>
      <rPr>
        <sz val="11"/>
        <rFont val="Calibri"/>
        <family val="2"/>
        <scheme val="minor"/>
      </rPr>
      <t>) / (25 - 15)</t>
    </r>
  </si>
  <si>
    <t>mV.°C-1</t>
  </si>
  <si>
    <t>Intercept logistic half-saturation of ORP switching of GAOs temperature correction</t>
  </si>
  <si>
    <r>
      <t>Logsat</t>
    </r>
    <r>
      <rPr>
        <vertAlign val="subscript"/>
        <sz val="11"/>
        <rFont val="Calibri"/>
        <family val="2"/>
        <charset val="238"/>
        <scheme val="minor"/>
      </rPr>
      <t>ORP,GAO,Half,25</t>
    </r>
    <r>
      <rPr>
        <sz val="11"/>
        <rFont val="Calibri"/>
        <family val="2"/>
        <scheme val="minor"/>
      </rPr>
      <t xml:space="preserve"> - sl</t>
    </r>
    <r>
      <rPr>
        <vertAlign val="subscript"/>
        <sz val="11"/>
        <rFont val="Calibri"/>
        <family val="2"/>
        <charset val="238"/>
        <scheme val="minor"/>
      </rPr>
      <t>ORP,GAO,Half,T</t>
    </r>
    <r>
      <rPr>
        <sz val="11"/>
        <rFont val="Calibri"/>
        <family val="2"/>
        <scheme val="minor"/>
      </rPr>
      <t xml:space="preserve"> * 25</t>
    </r>
  </si>
  <si>
    <r>
      <t>Logsat</t>
    </r>
    <r>
      <rPr>
        <vertAlign val="subscript"/>
        <sz val="11"/>
        <rFont val="Calibri"/>
        <family val="2"/>
      </rPr>
      <t>ORP,GAO,Half,T</t>
    </r>
  </si>
  <si>
    <r>
      <t>Logsat</t>
    </r>
    <r>
      <rPr>
        <vertAlign val="subscript"/>
        <sz val="11"/>
        <rFont val="Calibri"/>
        <family val="2"/>
      </rPr>
      <t>ORP,GAO,T</t>
    </r>
  </si>
  <si>
    <r>
      <t>Half-saturation of O</t>
    </r>
    <r>
      <rPr>
        <vertAlign val="subscript"/>
        <sz val="11"/>
        <color rgb="FF000000"/>
        <rFont val="Calibri"/>
        <family val="2"/>
        <scheme val="minor"/>
      </rPr>
      <t>2</t>
    </r>
    <r>
      <rPr>
        <sz val="11"/>
        <color rgb="FF000000"/>
        <rFont val="Calibri"/>
        <family val="2"/>
        <charset val="238"/>
        <scheme val="minor"/>
      </rPr>
      <t xml:space="preserve"> for CASTOs</t>
    </r>
  </si>
  <si>
    <r>
      <t>K</t>
    </r>
    <r>
      <rPr>
        <vertAlign val="subscript"/>
        <sz val="11"/>
        <rFont val="Calibri"/>
        <family val="2"/>
        <scheme val="minor"/>
      </rPr>
      <t>O2,CASTO,AS</t>
    </r>
  </si>
  <si>
    <r>
      <t>K</t>
    </r>
    <r>
      <rPr>
        <vertAlign val="subscript"/>
        <sz val="11"/>
        <rFont val="Calibri"/>
        <family val="2"/>
        <scheme val="minor"/>
      </rPr>
      <t>O2,CASTO,AS</t>
    </r>
    <r>
      <rPr>
        <sz val="11"/>
        <rFont val="Calibri"/>
        <family val="2"/>
        <scheme val="minor"/>
      </rPr>
      <t>*f</t>
    </r>
    <r>
      <rPr>
        <vertAlign val="subscript"/>
        <sz val="11"/>
        <rFont val="Calibri"/>
        <family val="2"/>
        <scheme val="minor"/>
      </rPr>
      <t>KS</t>
    </r>
  </si>
  <si>
    <r>
      <t>Half-saturation of NO</t>
    </r>
    <r>
      <rPr>
        <vertAlign val="subscript"/>
        <sz val="11"/>
        <color rgb="FF000000"/>
        <rFont val="Calibri"/>
        <family val="2"/>
        <scheme val="minor"/>
      </rPr>
      <t>2</t>
    </r>
    <r>
      <rPr>
        <sz val="11"/>
        <color rgb="FF000000"/>
        <rFont val="Calibri"/>
        <family val="2"/>
        <charset val="238"/>
        <scheme val="minor"/>
      </rPr>
      <t xml:space="preserve"> for CASTOs</t>
    </r>
  </si>
  <si>
    <r>
      <t>K</t>
    </r>
    <r>
      <rPr>
        <vertAlign val="subscript"/>
        <sz val="11"/>
        <rFont val="Calibri"/>
        <family val="2"/>
      </rPr>
      <t>NO2,CASTO,AS</t>
    </r>
  </si>
  <si>
    <r>
      <t>K</t>
    </r>
    <r>
      <rPr>
        <vertAlign val="subscript"/>
        <sz val="11"/>
        <rFont val="Calibri"/>
        <family val="2"/>
      </rPr>
      <t>NO2,CASTO,AS</t>
    </r>
    <r>
      <rPr>
        <sz val="11"/>
        <rFont val="Calibri"/>
        <family val="2"/>
      </rPr>
      <t>*f</t>
    </r>
    <r>
      <rPr>
        <vertAlign val="subscript"/>
        <sz val="11"/>
        <rFont val="Calibri"/>
        <family val="2"/>
      </rPr>
      <t>KS</t>
    </r>
  </si>
  <si>
    <r>
      <t>Half-saturation of NO</t>
    </r>
    <r>
      <rPr>
        <vertAlign val="subscript"/>
        <sz val="11"/>
        <color rgb="FF000000"/>
        <rFont val="Calibri"/>
        <family val="2"/>
        <scheme val="minor"/>
      </rPr>
      <t>3</t>
    </r>
    <r>
      <rPr>
        <sz val="11"/>
        <color rgb="FF000000"/>
        <rFont val="Calibri"/>
        <family val="2"/>
        <charset val="238"/>
        <scheme val="minor"/>
      </rPr>
      <t xml:space="preserve"> for CASTOs</t>
    </r>
  </si>
  <si>
    <r>
      <t>K</t>
    </r>
    <r>
      <rPr>
        <vertAlign val="subscript"/>
        <sz val="11"/>
        <rFont val="Calibri"/>
        <family val="2"/>
        <scheme val="minor"/>
      </rPr>
      <t>NO3,CASTO,AS</t>
    </r>
  </si>
  <si>
    <r>
      <t>K</t>
    </r>
    <r>
      <rPr>
        <vertAlign val="subscript"/>
        <sz val="11"/>
        <rFont val="Calibri"/>
        <family val="2"/>
        <scheme val="minor"/>
      </rPr>
      <t>NO3,CASTO,AS</t>
    </r>
    <r>
      <rPr>
        <sz val="11"/>
        <rFont val="Calibri"/>
        <family val="2"/>
        <scheme val="minor"/>
      </rPr>
      <t>*f</t>
    </r>
    <r>
      <rPr>
        <vertAlign val="subscript"/>
        <sz val="11"/>
        <rFont val="Calibri"/>
        <family val="2"/>
        <scheme val="minor"/>
      </rPr>
      <t>KS</t>
    </r>
  </si>
  <si>
    <r>
      <t>K</t>
    </r>
    <r>
      <rPr>
        <vertAlign val="subscript"/>
        <sz val="11"/>
        <rFont val="Calibri"/>
        <family val="2"/>
        <scheme val="minor"/>
      </rPr>
      <t>O2,CASTO</t>
    </r>
  </si>
  <si>
    <r>
      <t>K</t>
    </r>
    <r>
      <rPr>
        <vertAlign val="subscript"/>
        <sz val="11"/>
        <rFont val="Calibri"/>
        <family val="2"/>
      </rPr>
      <t>NO2,CASTO</t>
    </r>
  </si>
  <si>
    <r>
      <t>K</t>
    </r>
    <r>
      <rPr>
        <vertAlign val="subscript"/>
        <sz val="11"/>
        <rFont val="Calibri"/>
        <family val="2"/>
        <scheme val="minor"/>
      </rPr>
      <t>NO3,CASTO</t>
    </r>
  </si>
  <si>
    <t>Half-saturation of VFA storage for CASTOs</t>
  </si>
  <si>
    <r>
      <t>K</t>
    </r>
    <r>
      <rPr>
        <vertAlign val="subscript"/>
        <sz val="11"/>
        <rFont val="Calibri"/>
        <family val="2"/>
        <scheme val="minor"/>
      </rPr>
      <t>VFA,CASTO,AS</t>
    </r>
  </si>
  <si>
    <r>
      <t>K</t>
    </r>
    <r>
      <rPr>
        <vertAlign val="subscript"/>
        <sz val="11"/>
        <rFont val="Calibri"/>
        <family val="2"/>
        <scheme val="minor"/>
      </rPr>
      <t>VFA,CASTO,AS</t>
    </r>
    <r>
      <rPr>
        <sz val="11"/>
        <rFont val="Calibri"/>
        <family val="2"/>
        <scheme val="minor"/>
      </rPr>
      <t>*f</t>
    </r>
    <r>
      <rPr>
        <vertAlign val="subscript"/>
        <sz val="11"/>
        <rFont val="Calibri"/>
        <family val="2"/>
        <scheme val="minor"/>
      </rPr>
      <t>KS</t>
    </r>
  </si>
  <si>
    <r>
      <t>K</t>
    </r>
    <r>
      <rPr>
        <vertAlign val="subscript"/>
        <sz val="11"/>
        <rFont val="Calibri"/>
        <family val="2"/>
        <scheme val="minor"/>
      </rPr>
      <t>VFA,CASTO</t>
    </r>
  </si>
  <si>
    <t>Half-saturations for carbon storing organisms (CASTO)</t>
  </si>
  <si>
    <r>
      <t>Inhibition term for NO</t>
    </r>
    <r>
      <rPr>
        <vertAlign val="subscript"/>
        <sz val="11"/>
        <color rgb="FF000000"/>
        <rFont val="Calibri"/>
        <family val="2"/>
        <scheme val="minor"/>
      </rPr>
      <t>2</t>
    </r>
    <r>
      <rPr>
        <sz val="11"/>
        <color rgb="FF000000"/>
        <rFont val="Calibri"/>
        <family val="2"/>
        <charset val="238"/>
        <scheme val="minor"/>
      </rPr>
      <t xml:space="preserve"> (CASTO)</t>
    </r>
  </si>
  <si>
    <r>
      <t>Minh(S</t>
    </r>
    <r>
      <rPr>
        <vertAlign val="subscript"/>
        <sz val="11"/>
        <rFont val="Calibri"/>
        <family val="2"/>
        <scheme val="minor"/>
      </rPr>
      <t>NO2</t>
    </r>
    <r>
      <rPr>
        <sz val="11"/>
        <rFont val="Calibri"/>
        <family val="2"/>
        <scheme val="minor"/>
      </rPr>
      <t>;K</t>
    </r>
    <r>
      <rPr>
        <vertAlign val="subscript"/>
        <sz val="11"/>
        <rFont val="Calibri"/>
        <family val="2"/>
        <scheme val="minor"/>
      </rPr>
      <t>NO2,CASTO</t>
    </r>
    <r>
      <rPr>
        <sz val="11"/>
        <rFont val="Calibri"/>
        <family val="2"/>
        <scheme val="minor"/>
      </rPr>
      <t>)</t>
    </r>
  </si>
  <si>
    <r>
      <t>Inhibition term for NO</t>
    </r>
    <r>
      <rPr>
        <vertAlign val="subscript"/>
        <sz val="11"/>
        <color rgb="FF000000"/>
        <rFont val="Calibri"/>
        <family val="2"/>
        <scheme val="minor"/>
      </rPr>
      <t>3</t>
    </r>
    <r>
      <rPr>
        <sz val="11"/>
        <color rgb="FF000000"/>
        <rFont val="Calibri"/>
        <family val="2"/>
        <charset val="238"/>
        <scheme val="minor"/>
      </rPr>
      <t xml:space="preserve"> (CASTO)</t>
    </r>
  </si>
  <si>
    <r>
      <t>Minh(S</t>
    </r>
    <r>
      <rPr>
        <vertAlign val="subscript"/>
        <sz val="11"/>
        <rFont val="Calibri"/>
        <family val="2"/>
        <scheme val="minor"/>
      </rPr>
      <t>NO3</t>
    </r>
    <r>
      <rPr>
        <sz val="11"/>
        <rFont val="Calibri"/>
        <family val="2"/>
        <scheme val="minor"/>
      </rPr>
      <t>;K</t>
    </r>
    <r>
      <rPr>
        <vertAlign val="subscript"/>
        <sz val="11"/>
        <rFont val="Calibri"/>
        <family val="2"/>
        <scheme val="minor"/>
      </rPr>
      <t>NO3,CASTO</t>
    </r>
    <r>
      <rPr>
        <sz val="11"/>
        <rFont val="Calibri"/>
        <family val="2"/>
        <scheme val="minor"/>
      </rPr>
      <t>)</t>
    </r>
  </si>
  <si>
    <r>
      <t>Inhibition term for O</t>
    </r>
    <r>
      <rPr>
        <vertAlign val="subscript"/>
        <sz val="11"/>
        <color rgb="FF000000"/>
        <rFont val="Calibri"/>
        <family val="2"/>
        <scheme val="minor"/>
      </rPr>
      <t>2</t>
    </r>
    <r>
      <rPr>
        <sz val="11"/>
        <color rgb="FF000000"/>
        <rFont val="Calibri"/>
        <family val="2"/>
        <charset val="238"/>
        <scheme val="minor"/>
      </rPr>
      <t xml:space="preserve"> (CASTO)</t>
    </r>
  </si>
  <si>
    <r>
      <t>Minh(S</t>
    </r>
    <r>
      <rPr>
        <vertAlign val="subscript"/>
        <sz val="11"/>
        <rFont val="Calibri"/>
        <family val="2"/>
        <scheme val="minor"/>
      </rPr>
      <t>O2</t>
    </r>
    <r>
      <rPr>
        <sz val="11"/>
        <rFont val="Calibri"/>
        <family val="2"/>
        <scheme val="minor"/>
      </rPr>
      <t>;K</t>
    </r>
    <r>
      <rPr>
        <vertAlign val="subscript"/>
        <sz val="11"/>
        <rFont val="Calibri"/>
        <family val="2"/>
        <scheme val="minor"/>
      </rPr>
      <t>O2,CASTO</t>
    </r>
    <r>
      <rPr>
        <sz val="11"/>
        <rFont val="Calibri"/>
        <family val="2"/>
        <scheme val="minor"/>
      </rPr>
      <t>)</t>
    </r>
  </si>
  <si>
    <r>
      <t>Minh</t>
    </r>
    <r>
      <rPr>
        <vertAlign val="subscript"/>
        <sz val="11"/>
        <rFont val="Calibri"/>
        <family val="2"/>
        <scheme val="minor"/>
      </rPr>
      <t>SNO2,KNO2,CASTO</t>
    </r>
  </si>
  <si>
    <r>
      <t>Minh</t>
    </r>
    <r>
      <rPr>
        <vertAlign val="subscript"/>
        <sz val="11"/>
        <rFont val="Calibri"/>
        <family val="2"/>
        <scheme val="minor"/>
      </rPr>
      <t>SNO3,KNO3,CASTO</t>
    </r>
  </si>
  <si>
    <r>
      <t>Minh</t>
    </r>
    <r>
      <rPr>
        <vertAlign val="subscript"/>
        <sz val="11"/>
        <rFont val="Calibri"/>
        <family val="2"/>
        <scheme val="minor"/>
      </rPr>
      <t>SO2,KO2,CASTO</t>
    </r>
  </si>
  <si>
    <r>
      <t>MRsat</t>
    </r>
    <r>
      <rPr>
        <vertAlign val="subscript"/>
        <sz val="11"/>
        <rFont val="Calibri"/>
        <family val="2"/>
        <scheme val="minor"/>
      </rPr>
      <t>XSTC,XCASTO,KSTC</t>
    </r>
  </si>
  <si>
    <r>
      <t>MRsat(X</t>
    </r>
    <r>
      <rPr>
        <vertAlign val="subscript"/>
        <sz val="11"/>
        <rFont val="Calibri"/>
        <family val="2"/>
        <scheme val="minor"/>
      </rPr>
      <t>STC</t>
    </r>
    <r>
      <rPr>
        <sz val="11"/>
        <rFont val="Calibri"/>
        <family val="2"/>
        <scheme val="minor"/>
      </rPr>
      <t>;X</t>
    </r>
    <r>
      <rPr>
        <vertAlign val="subscript"/>
        <sz val="11"/>
        <rFont val="Calibri"/>
        <family val="2"/>
        <scheme val="minor"/>
      </rPr>
      <t>CASTO</t>
    </r>
    <r>
      <rPr>
        <sz val="11"/>
        <rFont val="Calibri"/>
        <family val="2"/>
        <scheme val="minor"/>
      </rPr>
      <t>;K</t>
    </r>
    <r>
      <rPr>
        <vertAlign val="subscript"/>
        <sz val="11"/>
        <rFont val="Calibri"/>
        <family val="2"/>
        <scheme val="minor"/>
      </rPr>
      <t>STC</t>
    </r>
    <r>
      <rPr>
        <sz val="11"/>
        <rFont val="Calibri"/>
        <family val="2"/>
        <scheme val="minor"/>
      </rPr>
      <t>)</t>
    </r>
  </si>
  <si>
    <r>
      <t>MRinh</t>
    </r>
    <r>
      <rPr>
        <vertAlign val="subscript"/>
        <sz val="11"/>
        <rFont val="Calibri"/>
        <family val="2"/>
        <scheme val="minor"/>
      </rPr>
      <t>XPHA,XPAO,KPHA,cle</t>
    </r>
  </si>
  <si>
    <r>
      <t>MRinh</t>
    </r>
    <r>
      <rPr>
        <vertAlign val="subscript"/>
        <sz val="11"/>
        <rFont val="Calibri"/>
        <family val="2"/>
        <scheme val="minor"/>
      </rPr>
      <t>XSTC,XCASTO,KSTC</t>
    </r>
  </si>
  <si>
    <r>
      <t>MRinh(X</t>
    </r>
    <r>
      <rPr>
        <vertAlign val="subscript"/>
        <sz val="11"/>
        <rFont val="Calibri"/>
        <family val="2"/>
        <scheme val="minor"/>
      </rPr>
      <t>STC</t>
    </r>
    <r>
      <rPr>
        <sz val="11"/>
        <rFont val="Calibri"/>
        <family val="2"/>
        <scheme val="minor"/>
      </rPr>
      <t>;X</t>
    </r>
    <r>
      <rPr>
        <vertAlign val="subscript"/>
        <sz val="11"/>
        <rFont val="Calibri"/>
        <family val="2"/>
        <scheme val="minor"/>
      </rPr>
      <t>CASTO</t>
    </r>
    <r>
      <rPr>
        <sz val="11"/>
        <rFont val="Calibri"/>
        <family val="2"/>
        <scheme val="minor"/>
      </rPr>
      <t>;K</t>
    </r>
    <r>
      <rPr>
        <vertAlign val="subscript"/>
        <sz val="11"/>
        <rFont val="Calibri"/>
        <family val="2"/>
        <scheme val="minor"/>
      </rPr>
      <t>STC</t>
    </r>
    <r>
      <rPr>
        <sz val="11"/>
        <rFont val="Calibri"/>
        <family val="2"/>
        <scheme val="minor"/>
      </rPr>
      <t>)</t>
    </r>
  </si>
  <si>
    <r>
      <t>Saturation term for NO</t>
    </r>
    <r>
      <rPr>
        <vertAlign val="subscript"/>
        <sz val="11"/>
        <color rgb="FF000000"/>
        <rFont val="Calibri"/>
        <family val="2"/>
        <scheme val="minor"/>
      </rPr>
      <t>2</t>
    </r>
    <r>
      <rPr>
        <sz val="11"/>
        <color rgb="FF000000"/>
        <rFont val="Calibri"/>
        <family val="2"/>
        <charset val="238"/>
        <scheme val="minor"/>
      </rPr>
      <t xml:space="preserve"> (CASTO)</t>
    </r>
  </si>
  <si>
    <r>
      <t>Msat(S</t>
    </r>
    <r>
      <rPr>
        <vertAlign val="subscript"/>
        <sz val="11"/>
        <rFont val="Calibri"/>
        <family val="2"/>
      </rPr>
      <t>NO2</t>
    </r>
    <r>
      <rPr>
        <sz val="11"/>
        <rFont val="Calibri"/>
        <family val="2"/>
      </rPr>
      <t>;K</t>
    </r>
    <r>
      <rPr>
        <vertAlign val="subscript"/>
        <sz val="11"/>
        <rFont val="Calibri"/>
        <family val="2"/>
      </rPr>
      <t>NO2,CASTO</t>
    </r>
    <r>
      <rPr>
        <sz val="11"/>
        <rFont val="Calibri"/>
        <family val="2"/>
      </rPr>
      <t>)</t>
    </r>
  </si>
  <si>
    <r>
      <t>Saturation term for NO</t>
    </r>
    <r>
      <rPr>
        <vertAlign val="subscript"/>
        <sz val="11"/>
        <color rgb="FF000000"/>
        <rFont val="Calibri"/>
        <family val="2"/>
        <scheme val="minor"/>
      </rPr>
      <t>3</t>
    </r>
    <r>
      <rPr>
        <sz val="11"/>
        <color rgb="FF000000"/>
        <rFont val="Calibri"/>
        <family val="2"/>
        <charset val="238"/>
        <scheme val="minor"/>
      </rPr>
      <t xml:space="preserve"> (CASTO)</t>
    </r>
  </si>
  <si>
    <r>
      <t>Msat(S</t>
    </r>
    <r>
      <rPr>
        <vertAlign val="subscript"/>
        <sz val="11"/>
        <rFont val="Calibri"/>
        <family val="2"/>
      </rPr>
      <t>NO3</t>
    </r>
    <r>
      <rPr>
        <sz val="11"/>
        <rFont val="Calibri"/>
        <family val="2"/>
      </rPr>
      <t>;K</t>
    </r>
    <r>
      <rPr>
        <vertAlign val="subscript"/>
        <sz val="11"/>
        <rFont val="Calibri"/>
        <family val="2"/>
      </rPr>
      <t>NO3,CASTO</t>
    </r>
    <r>
      <rPr>
        <sz val="11"/>
        <rFont val="Calibri"/>
        <family val="2"/>
      </rPr>
      <t>)</t>
    </r>
  </si>
  <si>
    <r>
      <t>Saturation term for O</t>
    </r>
    <r>
      <rPr>
        <vertAlign val="subscript"/>
        <sz val="11"/>
        <color rgb="FF000000"/>
        <rFont val="Calibri"/>
        <family val="2"/>
        <scheme val="minor"/>
      </rPr>
      <t>2</t>
    </r>
    <r>
      <rPr>
        <sz val="11"/>
        <color rgb="FF000000"/>
        <rFont val="Calibri"/>
        <family val="2"/>
        <charset val="238"/>
        <scheme val="minor"/>
      </rPr>
      <t xml:space="preserve"> (CASTO)</t>
    </r>
  </si>
  <si>
    <r>
      <t>Msat(S</t>
    </r>
    <r>
      <rPr>
        <vertAlign val="subscript"/>
        <sz val="11"/>
        <rFont val="Calibri"/>
        <family val="2"/>
        <scheme val="minor"/>
      </rPr>
      <t>O2</t>
    </r>
    <r>
      <rPr>
        <sz val="11"/>
        <rFont val="Calibri"/>
        <family val="2"/>
        <scheme val="minor"/>
      </rPr>
      <t>;K</t>
    </r>
    <r>
      <rPr>
        <vertAlign val="subscript"/>
        <sz val="11"/>
        <rFont val="Calibri"/>
        <family val="2"/>
        <scheme val="minor"/>
      </rPr>
      <t>O2,CASTO</t>
    </r>
    <r>
      <rPr>
        <sz val="11"/>
        <rFont val="Calibri"/>
        <family val="2"/>
        <scheme val="minor"/>
      </rPr>
      <t>)</t>
    </r>
  </si>
  <si>
    <r>
      <t>Msat</t>
    </r>
    <r>
      <rPr>
        <vertAlign val="subscript"/>
        <sz val="11"/>
        <rFont val="Calibri"/>
        <family val="2"/>
      </rPr>
      <t>SNO2,KNO2,CASTO</t>
    </r>
  </si>
  <si>
    <r>
      <t>Msat</t>
    </r>
    <r>
      <rPr>
        <vertAlign val="subscript"/>
        <sz val="11"/>
        <rFont val="Calibri"/>
        <family val="2"/>
      </rPr>
      <t>SNO3,KNO3,CASTO</t>
    </r>
  </si>
  <si>
    <r>
      <t>Msat</t>
    </r>
    <r>
      <rPr>
        <vertAlign val="subscript"/>
        <sz val="11"/>
        <rFont val="Calibri"/>
        <family val="2"/>
        <scheme val="minor"/>
      </rPr>
      <t>SO2,KO2,CASTO</t>
    </r>
  </si>
  <si>
    <r>
      <t>Logsat</t>
    </r>
    <r>
      <rPr>
        <vertAlign val="subscript"/>
        <sz val="11"/>
        <rFont val="Calibri"/>
        <family val="2"/>
        <scheme val="minor"/>
      </rPr>
      <t>SPO4,KPO4,PAO</t>
    </r>
  </si>
  <si>
    <r>
      <t>Logistic saturation term for PO</t>
    </r>
    <r>
      <rPr>
        <vertAlign val="subscript"/>
        <sz val="11"/>
        <color rgb="FF000000"/>
        <rFont val="Calibri"/>
        <family val="2"/>
        <scheme val="minor"/>
      </rPr>
      <t>4</t>
    </r>
    <r>
      <rPr>
        <sz val="11"/>
        <color rgb="FF000000"/>
        <rFont val="Calibri"/>
        <family val="2"/>
        <charset val="238"/>
        <scheme val="minor"/>
      </rPr>
      <t xml:space="preserve"> (PAO)</t>
    </r>
  </si>
  <si>
    <t>Saturation term for VFA storage (CASTO)</t>
  </si>
  <si>
    <r>
      <t>Msat(S</t>
    </r>
    <r>
      <rPr>
        <vertAlign val="subscript"/>
        <sz val="11"/>
        <rFont val="Calibri"/>
        <family val="2"/>
        <scheme val="minor"/>
      </rPr>
      <t>VFA</t>
    </r>
    <r>
      <rPr>
        <sz val="11"/>
        <rFont val="Calibri"/>
        <family val="2"/>
        <scheme val="minor"/>
      </rPr>
      <t>;K</t>
    </r>
    <r>
      <rPr>
        <vertAlign val="subscript"/>
        <sz val="11"/>
        <rFont val="Calibri"/>
        <family val="2"/>
        <scheme val="minor"/>
      </rPr>
      <t>VFA,CASTO</t>
    </r>
    <r>
      <rPr>
        <sz val="11"/>
        <rFont val="Calibri"/>
        <family val="2"/>
        <scheme val="minor"/>
      </rPr>
      <t>)</t>
    </r>
  </si>
  <si>
    <r>
      <t>Msat</t>
    </r>
    <r>
      <rPr>
        <vertAlign val="subscript"/>
        <sz val="11"/>
        <rFont val="Calibri"/>
        <family val="2"/>
        <scheme val="minor"/>
      </rPr>
      <t>SVFA,KVFA,CASTO</t>
    </r>
  </si>
  <si>
    <t>Logistic inhibition term for PHA (PAO)</t>
  </si>
  <si>
    <t>Logistic inhibition term for PP (PAO)</t>
  </si>
  <si>
    <r>
      <t>K</t>
    </r>
    <r>
      <rPr>
        <vertAlign val="subscript"/>
        <sz val="11"/>
        <rFont val="Calibri"/>
        <family val="2"/>
        <scheme val="minor"/>
      </rPr>
      <t>NO2,CASTO,AS</t>
    </r>
  </si>
  <si>
    <t>Observed maximum specific growth rate of CASTOs (temperature corrected)</t>
  </si>
  <si>
    <r>
      <t>µ</t>
    </r>
    <r>
      <rPr>
        <vertAlign val="subscript"/>
        <sz val="11"/>
        <color indexed="8"/>
        <rFont val="Calibri"/>
        <family val="2"/>
        <scheme val="minor"/>
      </rPr>
      <t>CASTO</t>
    </r>
    <r>
      <rPr>
        <sz val="11"/>
        <color indexed="8"/>
        <rFont val="Calibri"/>
        <family val="2"/>
        <scheme val="minor"/>
      </rPr>
      <t>*Arrh(θ</t>
    </r>
    <r>
      <rPr>
        <vertAlign val="subscript"/>
        <sz val="11"/>
        <color indexed="8"/>
        <rFont val="Calibri"/>
        <family val="2"/>
        <scheme val="minor"/>
      </rPr>
      <t>µ,CASTO</t>
    </r>
    <r>
      <rPr>
        <sz val="11"/>
        <color indexed="8"/>
        <rFont val="Calibri"/>
        <family val="2"/>
        <scheme val="minor"/>
      </rPr>
      <t>; T; T</t>
    </r>
    <r>
      <rPr>
        <vertAlign val="subscript"/>
        <sz val="11"/>
        <color indexed="8"/>
        <rFont val="Calibri"/>
        <family val="2"/>
        <scheme val="minor"/>
      </rPr>
      <t>base</t>
    </r>
    <r>
      <rPr>
        <sz val="11"/>
        <color indexed="8"/>
        <rFont val="Calibri"/>
        <family val="2"/>
        <scheme val="minor"/>
      </rPr>
      <t>)</t>
    </r>
  </si>
  <si>
    <r>
      <t>µ</t>
    </r>
    <r>
      <rPr>
        <vertAlign val="subscript"/>
        <sz val="11"/>
        <color indexed="8"/>
        <rFont val="Calibri"/>
        <family val="2"/>
        <scheme val="minor"/>
      </rPr>
      <t>CASTO,T</t>
    </r>
  </si>
  <si>
    <r>
      <t>q</t>
    </r>
    <r>
      <rPr>
        <vertAlign val="subscript"/>
        <sz val="11"/>
        <color indexed="8"/>
        <rFont val="Calibri"/>
        <family val="2"/>
        <scheme val="minor"/>
      </rPr>
      <t>PAO,PP,T</t>
    </r>
  </si>
  <si>
    <t>Rate of polyphosphate storage for PAOs (temperature corrected)</t>
  </si>
  <si>
    <r>
      <t>q</t>
    </r>
    <r>
      <rPr>
        <vertAlign val="subscript"/>
        <sz val="11"/>
        <color indexed="8"/>
        <rFont val="Calibri"/>
        <family val="2"/>
        <scheme val="minor"/>
      </rPr>
      <t>PAO,PP</t>
    </r>
    <r>
      <rPr>
        <sz val="11"/>
        <color indexed="8"/>
        <rFont val="Calibri"/>
        <family val="2"/>
        <scheme val="minor"/>
      </rPr>
      <t>*Arrh(θ</t>
    </r>
    <r>
      <rPr>
        <vertAlign val="subscript"/>
        <sz val="11"/>
        <color indexed="8"/>
        <rFont val="Calibri"/>
        <family val="2"/>
        <scheme val="minor"/>
      </rPr>
      <t>q,PAO,PP</t>
    </r>
    <r>
      <rPr>
        <sz val="11"/>
        <color indexed="8"/>
        <rFont val="Calibri"/>
        <family val="2"/>
        <scheme val="minor"/>
      </rPr>
      <t>; T; T</t>
    </r>
    <r>
      <rPr>
        <vertAlign val="subscript"/>
        <sz val="11"/>
        <color indexed="8"/>
        <rFont val="Calibri"/>
        <family val="2"/>
        <scheme val="minor"/>
      </rPr>
      <t>base</t>
    </r>
    <r>
      <rPr>
        <sz val="11"/>
        <color indexed="8"/>
        <rFont val="Calibri"/>
        <family val="2"/>
        <scheme val="minor"/>
      </rPr>
      <t>)</t>
    </r>
  </si>
  <si>
    <r>
      <t>b</t>
    </r>
    <r>
      <rPr>
        <vertAlign val="subscript"/>
        <sz val="11"/>
        <color indexed="8"/>
        <rFont val="Calibri"/>
        <family val="2"/>
        <charset val="238"/>
        <scheme val="minor"/>
      </rPr>
      <t>STC</t>
    </r>
    <r>
      <rPr>
        <sz val="11"/>
        <color indexed="8"/>
        <rFont val="Calibri"/>
        <family val="2"/>
        <scheme val="minor"/>
      </rPr>
      <t>*Arrh(θ</t>
    </r>
    <r>
      <rPr>
        <vertAlign val="subscript"/>
        <sz val="11"/>
        <color indexed="8"/>
        <rFont val="Calibri"/>
        <family val="2"/>
        <scheme val="minor"/>
      </rPr>
      <t>b,STC</t>
    </r>
    <r>
      <rPr>
        <sz val="11"/>
        <color indexed="8"/>
        <rFont val="Calibri"/>
        <family val="2"/>
        <scheme val="minor"/>
      </rPr>
      <t>; T; T</t>
    </r>
    <r>
      <rPr>
        <vertAlign val="subscript"/>
        <sz val="11"/>
        <color indexed="8"/>
        <rFont val="Calibri"/>
        <family val="2"/>
        <scheme val="minor"/>
      </rPr>
      <t>base</t>
    </r>
    <r>
      <rPr>
        <sz val="11"/>
        <color indexed="8"/>
        <rFont val="Calibri"/>
        <family val="2"/>
        <scheme val="minor"/>
      </rPr>
      <t>)</t>
    </r>
  </si>
  <si>
    <r>
      <t>b</t>
    </r>
    <r>
      <rPr>
        <vertAlign val="subscript"/>
        <sz val="11"/>
        <color indexed="8"/>
        <rFont val="Calibri"/>
        <family val="2"/>
        <scheme val="minor"/>
      </rPr>
      <t>STC,T</t>
    </r>
  </si>
  <si>
    <t>Decay rate of CASTOs (temperature corrected)</t>
  </si>
  <si>
    <r>
      <t>b</t>
    </r>
    <r>
      <rPr>
        <vertAlign val="subscript"/>
        <sz val="11"/>
        <color indexed="8"/>
        <rFont val="Calibri"/>
        <family val="2"/>
        <scheme val="minor"/>
      </rPr>
      <t>CASTO</t>
    </r>
    <r>
      <rPr>
        <sz val="11"/>
        <color indexed="8"/>
        <rFont val="Calibri"/>
        <family val="2"/>
        <scheme val="minor"/>
      </rPr>
      <t>*Arrh(θ</t>
    </r>
    <r>
      <rPr>
        <vertAlign val="subscript"/>
        <sz val="11"/>
        <color indexed="8"/>
        <rFont val="Calibri"/>
        <family val="2"/>
        <scheme val="minor"/>
      </rPr>
      <t>b,CASTO</t>
    </r>
    <r>
      <rPr>
        <sz val="11"/>
        <color indexed="8"/>
        <rFont val="Calibri"/>
        <family val="2"/>
        <scheme val="minor"/>
      </rPr>
      <t>; T; T</t>
    </r>
    <r>
      <rPr>
        <vertAlign val="subscript"/>
        <sz val="11"/>
        <color indexed="8"/>
        <rFont val="Calibri"/>
        <family val="2"/>
        <scheme val="minor"/>
      </rPr>
      <t>base</t>
    </r>
    <r>
      <rPr>
        <sz val="11"/>
        <color indexed="8"/>
        <rFont val="Calibri"/>
        <family val="2"/>
        <scheme val="minor"/>
      </rPr>
      <t>)</t>
    </r>
  </si>
  <si>
    <r>
      <t>b</t>
    </r>
    <r>
      <rPr>
        <vertAlign val="subscript"/>
        <sz val="11"/>
        <color indexed="8"/>
        <rFont val="Calibri"/>
        <family val="2"/>
        <scheme val="minor"/>
      </rPr>
      <t>CASTO,T</t>
    </r>
  </si>
  <si>
    <r>
      <t>PAO polyphosphate storage, O</t>
    </r>
    <r>
      <rPr>
        <vertAlign val="subscript"/>
        <sz val="11"/>
        <rFont val="Calibri"/>
        <family val="2"/>
      </rPr>
      <t>2</t>
    </r>
  </si>
  <si>
    <r>
      <t>PAO polyphosphate storage, NO</t>
    </r>
    <r>
      <rPr>
        <vertAlign val="subscript"/>
        <sz val="11"/>
        <rFont val="Calibri"/>
        <family val="2"/>
      </rPr>
      <t>2</t>
    </r>
  </si>
  <si>
    <r>
      <t>PAO polyphosphate storage, NO</t>
    </r>
    <r>
      <rPr>
        <vertAlign val="subscript"/>
        <sz val="11"/>
        <rFont val="Calibri"/>
        <family val="2"/>
      </rPr>
      <t>3</t>
    </r>
  </si>
  <si>
    <r>
      <t>PAO's PHA storage from VFAs and PO</t>
    </r>
    <r>
      <rPr>
        <vertAlign val="subscript"/>
        <sz val="11"/>
        <rFont val="Calibri"/>
        <family val="2"/>
        <charset val="238"/>
      </rPr>
      <t>4</t>
    </r>
    <r>
      <rPr>
        <sz val="11"/>
        <rFont val="Calibri"/>
        <family val="2"/>
      </rPr>
      <t xml:space="preserve"> release</t>
    </r>
  </si>
  <si>
    <t>CASTO aerobic maintenance</t>
  </si>
  <si>
    <r>
      <t>CASTO anoxic maintenance, NO</t>
    </r>
    <r>
      <rPr>
        <vertAlign val="subscript"/>
        <sz val="11"/>
        <color rgb="FF000000"/>
        <rFont val="Calibri"/>
        <family val="2"/>
        <scheme val="minor"/>
      </rPr>
      <t>2</t>
    </r>
  </si>
  <si>
    <r>
      <t>CASTO anoxic maintenance, NO</t>
    </r>
    <r>
      <rPr>
        <vertAlign val="subscript"/>
        <sz val="11"/>
        <color rgb="FF000000"/>
        <rFont val="Calibri"/>
        <family val="2"/>
        <scheme val="minor"/>
      </rPr>
      <t>3</t>
    </r>
  </si>
  <si>
    <t>CASTO decay</t>
  </si>
  <si>
    <t>CASTO anaerobic decay</t>
  </si>
  <si>
    <r>
      <t>(1-Y</t>
    </r>
    <r>
      <rPr>
        <vertAlign val="subscript"/>
        <sz val="11"/>
        <rFont val="Calibri"/>
        <family val="2"/>
      </rPr>
      <t>CASTO,SB,ana</t>
    </r>
    <r>
      <rPr>
        <sz val="11"/>
        <rFont val="Calibri"/>
        <family val="2"/>
      </rPr>
      <t>-Y</t>
    </r>
    <r>
      <rPr>
        <vertAlign val="subscript"/>
        <sz val="11"/>
        <rFont val="Calibri"/>
        <family val="2"/>
      </rPr>
      <t>CASTO,H2,ana,high</t>
    </r>
    <r>
      <rPr>
        <sz val="11"/>
        <rFont val="Calibri"/>
        <family val="2"/>
      </rPr>
      <t>)/Y</t>
    </r>
    <r>
      <rPr>
        <vertAlign val="subscript"/>
        <sz val="11"/>
        <rFont val="Calibri"/>
        <family val="2"/>
      </rPr>
      <t>CASTO,SB,ana</t>
    </r>
  </si>
  <si>
    <r>
      <t>(1-Y</t>
    </r>
    <r>
      <rPr>
        <vertAlign val="subscript"/>
        <sz val="11"/>
        <rFont val="Calibri"/>
        <family val="2"/>
      </rPr>
      <t>CASTO,SB,ana</t>
    </r>
    <r>
      <rPr>
        <sz val="11"/>
        <rFont val="Calibri"/>
        <family val="2"/>
      </rPr>
      <t>-Y</t>
    </r>
    <r>
      <rPr>
        <vertAlign val="subscript"/>
        <sz val="11"/>
        <rFont val="Calibri"/>
        <family val="2"/>
      </rPr>
      <t>CASTO,H2,ana,low</t>
    </r>
    <r>
      <rPr>
        <sz val="11"/>
        <rFont val="Calibri"/>
        <family val="2"/>
      </rPr>
      <t>)/Y</t>
    </r>
    <r>
      <rPr>
        <vertAlign val="subscript"/>
        <sz val="11"/>
        <rFont val="Calibri"/>
        <family val="2"/>
      </rPr>
      <t>CASTO,SB,ana</t>
    </r>
  </si>
  <si>
    <r>
      <t>X</t>
    </r>
    <r>
      <rPr>
        <vertAlign val="subscript"/>
        <sz val="11"/>
        <rFont val="Calibri"/>
        <family val="2"/>
      </rPr>
      <t>STC</t>
    </r>
    <r>
      <rPr>
        <sz val="11"/>
        <rFont val="Calibri"/>
        <family val="2"/>
      </rPr>
      <t>/X</t>
    </r>
    <r>
      <rPr>
        <vertAlign val="subscript"/>
        <sz val="11"/>
        <rFont val="Calibri"/>
        <family val="2"/>
      </rPr>
      <t>CASTO</t>
    </r>
  </si>
  <si>
    <r>
      <t>-1/Y</t>
    </r>
    <r>
      <rPr>
        <vertAlign val="subscript"/>
        <sz val="11"/>
        <rFont val="Calibri"/>
        <family val="2"/>
      </rPr>
      <t>CASTO,SB,ana</t>
    </r>
  </si>
  <si>
    <r>
      <t>-Y</t>
    </r>
    <r>
      <rPr>
        <vertAlign val="subscript"/>
        <sz val="11"/>
        <rFont val="Calibri"/>
        <family val="2"/>
      </rPr>
      <t>PP,CASTO,ox</t>
    </r>
  </si>
  <si>
    <r>
      <t>-Y</t>
    </r>
    <r>
      <rPr>
        <vertAlign val="subscript"/>
        <sz val="11"/>
        <rFont val="Calibri"/>
        <family val="2"/>
      </rPr>
      <t>PP,CASTO,anox</t>
    </r>
  </si>
  <si>
    <r>
      <t>i</t>
    </r>
    <r>
      <rPr>
        <vertAlign val="subscript"/>
        <sz val="11"/>
        <rFont val="Calibri"/>
        <family val="2"/>
      </rPr>
      <t>N,BIO</t>
    </r>
    <r>
      <rPr>
        <sz val="11"/>
        <rFont val="Calibri"/>
        <family val="2"/>
      </rPr>
      <t>*Y</t>
    </r>
    <r>
      <rPr>
        <vertAlign val="subscript"/>
        <sz val="11"/>
        <rFont val="Calibri"/>
        <family val="2"/>
      </rPr>
      <t>PP,CASTO,ox</t>
    </r>
  </si>
  <si>
    <r>
      <t>i</t>
    </r>
    <r>
      <rPr>
        <vertAlign val="subscript"/>
        <sz val="11"/>
        <rFont val="Calibri"/>
        <family val="2"/>
      </rPr>
      <t>N,BIO</t>
    </r>
    <r>
      <rPr>
        <sz val="11"/>
        <rFont val="Calibri"/>
        <family val="2"/>
      </rPr>
      <t>*Y</t>
    </r>
    <r>
      <rPr>
        <vertAlign val="subscript"/>
        <sz val="11"/>
        <rFont val="Calibri"/>
        <family val="2"/>
      </rPr>
      <t>PP,CASTO,anox</t>
    </r>
  </si>
  <si>
    <r>
      <t>-(1-Y</t>
    </r>
    <r>
      <rPr>
        <vertAlign val="subscript"/>
        <sz val="11"/>
        <rFont val="Calibri"/>
        <family val="2"/>
      </rPr>
      <t>CASTO,STC,anox</t>
    </r>
    <r>
      <rPr>
        <sz val="11"/>
        <rFont val="Calibri"/>
        <family val="2"/>
      </rPr>
      <t>)/(EEQ</t>
    </r>
    <r>
      <rPr>
        <vertAlign val="subscript"/>
        <sz val="11"/>
        <rFont val="Calibri"/>
        <family val="2"/>
      </rPr>
      <t>N2,NO2</t>
    </r>
    <r>
      <rPr>
        <sz val="11"/>
        <rFont val="Calibri"/>
        <family val="2"/>
      </rPr>
      <t>*Y</t>
    </r>
    <r>
      <rPr>
        <vertAlign val="subscript"/>
        <sz val="11"/>
        <rFont val="Calibri"/>
        <family val="2"/>
      </rPr>
      <t>CASTO,STC,anox</t>
    </r>
    <r>
      <rPr>
        <sz val="11"/>
        <rFont val="Calibri"/>
        <family val="2"/>
      </rPr>
      <t>)</t>
    </r>
  </si>
  <si>
    <r>
      <t>(1-Y</t>
    </r>
    <r>
      <rPr>
        <vertAlign val="subscript"/>
        <sz val="11"/>
        <rFont val="Calibri"/>
        <family val="2"/>
      </rPr>
      <t>CASTO,STC,anox</t>
    </r>
    <r>
      <rPr>
        <sz val="11"/>
        <rFont val="Calibri"/>
        <family val="2"/>
      </rPr>
      <t>)/(EEQ</t>
    </r>
    <r>
      <rPr>
        <vertAlign val="subscript"/>
        <sz val="11"/>
        <rFont val="Calibri"/>
        <family val="2"/>
      </rPr>
      <t>NO2,NO3</t>
    </r>
    <r>
      <rPr>
        <sz val="11"/>
        <rFont val="Calibri"/>
        <family val="2"/>
      </rPr>
      <t>*Y</t>
    </r>
    <r>
      <rPr>
        <vertAlign val="subscript"/>
        <sz val="11"/>
        <rFont val="Calibri"/>
        <family val="2"/>
      </rPr>
      <t>CASTO,STC,anox</t>
    </r>
    <r>
      <rPr>
        <sz val="11"/>
        <rFont val="Calibri"/>
        <family val="2"/>
      </rPr>
      <t>)</t>
    </r>
  </si>
  <si>
    <r>
      <t>-(1-Y</t>
    </r>
    <r>
      <rPr>
        <vertAlign val="subscript"/>
        <sz val="11"/>
        <rFont val="Calibri"/>
        <family val="2"/>
      </rPr>
      <t>CASTO,STC,anox</t>
    </r>
    <r>
      <rPr>
        <sz val="11"/>
        <rFont val="Calibri"/>
        <family val="2"/>
      </rPr>
      <t>)/(EEQ</t>
    </r>
    <r>
      <rPr>
        <vertAlign val="subscript"/>
        <sz val="11"/>
        <rFont val="Calibri"/>
        <family val="2"/>
      </rPr>
      <t>NO2,NO3</t>
    </r>
    <r>
      <rPr>
        <sz val="11"/>
        <rFont val="Calibri"/>
        <family val="2"/>
      </rPr>
      <t>*Y</t>
    </r>
    <r>
      <rPr>
        <vertAlign val="subscript"/>
        <sz val="11"/>
        <rFont val="Calibri"/>
        <family val="2"/>
      </rPr>
      <t>CASTO,STC,anox</t>
    </r>
    <r>
      <rPr>
        <sz val="11"/>
        <rFont val="Calibri"/>
        <family val="2"/>
      </rPr>
      <t>)</t>
    </r>
  </si>
  <si>
    <r>
      <t>-Y</t>
    </r>
    <r>
      <rPr>
        <vertAlign val="subscript"/>
        <sz val="11"/>
        <rFont val="Calibri"/>
        <family val="2"/>
      </rPr>
      <t>PP,CASTO,anox</t>
    </r>
    <r>
      <rPr>
        <sz val="11"/>
        <rFont val="Calibri"/>
        <family val="2"/>
      </rPr>
      <t>/EEQ</t>
    </r>
    <r>
      <rPr>
        <vertAlign val="subscript"/>
        <sz val="11"/>
        <rFont val="Calibri"/>
        <family val="2"/>
      </rPr>
      <t>N2,NO2</t>
    </r>
  </si>
  <si>
    <r>
      <t>Y</t>
    </r>
    <r>
      <rPr>
        <vertAlign val="subscript"/>
        <sz val="11"/>
        <rFont val="Calibri"/>
        <family val="2"/>
      </rPr>
      <t>PP,CASTO,anox</t>
    </r>
    <r>
      <rPr>
        <sz val="11"/>
        <rFont val="Calibri"/>
        <family val="2"/>
      </rPr>
      <t>/EEQ</t>
    </r>
    <r>
      <rPr>
        <vertAlign val="subscript"/>
        <sz val="11"/>
        <rFont val="Calibri"/>
        <family val="2"/>
      </rPr>
      <t>NO2,NO3</t>
    </r>
  </si>
  <si>
    <r>
      <t>-Y</t>
    </r>
    <r>
      <rPr>
        <vertAlign val="subscript"/>
        <sz val="11"/>
        <rFont val="Calibri"/>
        <family val="2"/>
      </rPr>
      <t>PP,CASTO,anox</t>
    </r>
    <r>
      <rPr>
        <sz val="11"/>
        <rFont val="Calibri"/>
        <family val="2"/>
      </rPr>
      <t>/EEQ</t>
    </r>
    <r>
      <rPr>
        <vertAlign val="subscript"/>
        <sz val="11"/>
        <rFont val="Calibri"/>
        <family val="2"/>
      </rPr>
      <t>NO2,NO3</t>
    </r>
  </si>
  <si>
    <r>
      <t>(1-Y</t>
    </r>
    <r>
      <rPr>
        <vertAlign val="subscript"/>
        <sz val="11"/>
        <rFont val="Calibri"/>
        <family val="2"/>
      </rPr>
      <t>CASTO,STC,anox</t>
    </r>
    <r>
      <rPr>
        <sz val="11"/>
        <rFont val="Calibri"/>
        <family val="2"/>
      </rPr>
      <t>)/(EEQ</t>
    </r>
    <r>
      <rPr>
        <vertAlign val="subscript"/>
        <sz val="11"/>
        <rFont val="Calibri"/>
        <family val="2"/>
      </rPr>
      <t>N2,NO2</t>
    </r>
    <r>
      <rPr>
        <sz val="11"/>
        <rFont val="Calibri"/>
        <family val="2"/>
      </rPr>
      <t>*Y</t>
    </r>
    <r>
      <rPr>
        <vertAlign val="subscript"/>
        <sz val="11"/>
        <rFont val="Calibri"/>
        <family val="2"/>
      </rPr>
      <t>CASTO,STC,anox</t>
    </r>
    <r>
      <rPr>
        <sz val="11"/>
        <rFont val="Calibri"/>
        <family val="2"/>
      </rPr>
      <t>)</t>
    </r>
  </si>
  <si>
    <r>
      <t>Y</t>
    </r>
    <r>
      <rPr>
        <vertAlign val="subscript"/>
        <sz val="11"/>
        <rFont val="Calibri"/>
        <family val="2"/>
      </rPr>
      <t>PP,CASTO,anox</t>
    </r>
    <r>
      <rPr>
        <sz val="11"/>
        <rFont val="Calibri"/>
        <family val="2"/>
      </rPr>
      <t>/EEQ</t>
    </r>
    <r>
      <rPr>
        <vertAlign val="subscript"/>
        <sz val="11"/>
        <rFont val="Calibri"/>
        <family val="2"/>
      </rPr>
      <t>N2,NO2</t>
    </r>
  </si>
  <si>
    <r>
      <t>i</t>
    </r>
    <r>
      <rPr>
        <vertAlign val="subscript"/>
        <sz val="11"/>
        <rFont val="Calibri"/>
        <family val="2"/>
      </rPr>
      <t>P,BIO</t>
    </r>
    <r>
      <rPr>
        <sz val="11"/>
        <rFont val="Calibri"/>
        <family val="2"/>
      </rPr>
      <t>*Y</t>
    </r>
    <r>
      <rPr>
        <vertAlign val="subscript"/>
        <sz val="11"/>
        <rFont val="Calibri"/>
        <family val="2"/>
      </rPr>
      <t>PP,CASTO,ox</t>
    </r>
    <r>
      <rPr>
        <sz val="11"/>
        <rFont val="Calibri"/>
        <family val="2"/>
      </rPr>
      <t xml:space="preserve"> -1</t>
    </r>
  </si>
  <si>
    <r>
      <t>i</t>
    </r>
    <r>
      <rPr>
        <vertAlign val="subscript"/>
        <sz val="11"/>
        <rFont val="Calibri"/>
        <family val="2"/>
      </rPr>
      <t>P,BIO</t>
    </r>
    <r>
      <rPr>
        <sz val="11"/>
        <rFont val="Calibri"/>
        <family val="2"/>
      </rPr>
      <t>*Y</t>
    </r>
    <r>
      <rPr>
        <vertAlign val="subscript"/>
        <sz val="11"/>
        <rFont val="Calibri"/>
        <family val="2"/>
      </rPr>
      <t>PP,CASTO,anox</t>
    </r>
    <r>
      <rPr>
        <sz val="11"/>
        <rFont val="Calibri"/>
        <family val="2"/>
      </rPr>
      <t xml:space="preserve"> -1</t>
    </r>
  </si>
  <si>
    <r>
      <t>-X</t>
    </r>
    <r>
      <rPr>
        <vertAlign val="subscript"/>
        <sz val="11"/>
        <rFont val="Calibri"/>
        <family val="2"/>
      </rPr>
      <t>PP</t>
    </r>
    <r>
      <rPr>
        <sz val="11"/>
        <rFont val="Calibri"/>
        <family val="2"/>
      </rPr>
      <t>/X</t>
    </r>
    <r>
      <rPr>
        <vertAlign val="subscript"/>
        <sz val="11"/>
        <rFont val="Calibri"/>
        <family val="2"/>
      </rPr>
      <t>CASTO</t>
    </r>
  </si>
  <si>
    <r>
      <t>X</t>
    </r>
    <r>
      <rPr>
        <vertAlign val="subscript"/>
        <sz val="11"/>
        <color indexed="8"/>
        <rFont val="Calibri"/>
        <family val="2"/>
      </rPr>
      <t>PP</t>
    </r>
    <r>
      <rPr>
        <sz val="11"/>
        <color indexed="8"/>
        <rFont val="Calibri"/>
        <family val="2"/>
      </rPr>
      <t>/X</t>
    </r>
    <r>
      <rPr>
        <vertAlign val="subscript"/>
        <sz val="11"/>
        <color indexed="8"/>
        <rFont val="Calibri"/>
        <family val="2"/>
      </rPr>
      <t>CASTO</t>
    </r>
    <r>
      <rPr>
        <sz val="11"/>
        <color indexed="8"/>
        <rFont val="Calibri"/>
        <family val="2"/>
      </rPr>
      <t>+i</t>
    </r>
    <r>
      <rPr>
        <vertAlign val="subscript"/>
        <sz val="11"/>
        <color indexed="8"/>
        <rFont val="Calibri"/>
        <family val="2"/>
      </rPr>
      <t>P,BIO</t>
    </r>
    <r>
      <rPr>
        <sz val="11"/>
        <color indexed="8"/>
        <rFont val="Calibri"/>
        <family val="2"/>
      </rPr>
      <t>-f</t>
    </r>
    <r>
      <rPr>
        <vertAlign val="subscript"/>
        <sz val="11"/>
        <color indexed="8"/>
        <rFont val="Calibri"/>
        <family val="2"/>
      </rPr>
      <t>E</t>
    </r>
    <r>
      <rPr>
        <sz val="11"/>
        <color indexed="8"/>
        <rFont val="Calibri"/>
        <family val="2"/>
      </rPr>
      <t>*(1-f</t>
    </r>
    <r>
      <rPr>
        <vertAlign val="subscript"/>
        <sz val="11"/>
        <color indexed="8"/>
        <rFont val="Calibri"/>
        <family val="2"/>
      </rPr>
      <t>C</t>
    </r>
    <r>
      <rPr>
        <sz val="11"/>
        <color indexed="8"/>
        <rFont val="Calibri"/>
        <family val="2"/>
      </rPr>
      <t>)*i</t>
    </r>
    <r>
      <rPr>
        <vertAlign val="subscript"/>
        <sz val="11"/>
        <color indexed="8"/>
        <rFont val="Calibri"/>
        <family val="2"/>
      </rPr>
      <t>P,BIO</t>
    </r>
    <r>
      <rPr>
        <sz val="11"/>
        <color indexed="8"/>
        <rFont val="Calibri"/>
        <family val="2"/>
      </rPr>
      <t>-f</t>
    </r>
    <r>
      <rPr>
        <vertAlign val="subscript"/>
        <sz val="11"/>
        <color indexed="8"/>
        <rFont val="Calibri"/>
        <family val="2"/>
      </rPr>
      <t>C</t>
    </r>
    <r>
      <rPr>
        <sz val="11"/>
        <color indexed="8"/>
        <rFont val="Calibri"/>
        <family val="2"/>
      </rPr>
      <t>*i</t>
    </r>
    <r>
      <rPr>
        <vertAlign val="subscript"/>
        <sz val="11"/>
        <color indexed="8"/>
        <rFont val="Calibri"/>
        <family val="2"/>
      </rPr>
      <t>P,CB</t>
    </r>
    <r>
      <rPr>
        <sz val="11"/>
        <color indexed="8"/>
        <rFont val="Calibri"/>
        <family val="2"/>
      </rPr>
      <t>-(1-f</t>
    </r>
    <r>
      <rPr>
        <vertAlign val="subscript"/>
        <sz val="11"/>
        <color indexed="8"/>
        <rFont val="Calibri"/>
        <family val="2"/>
      </rPr>
      <t>E</t>
    </r>
    <r>
      <rPr>
        <sz val="11"/>
        <color indexed="8"/>
        <rFont val="Calibri"/>
        <family val="2"/>
      </rPr>
      <t>)*(1-f</t>
    </r>
    <r>
      <rPr>
        <vertAlign val="subscript"/>
        <sz val="11"/>
        <color indexed="8"/>
        <rFont val="Calibri"/>
        <family val="2"/>
      </rPr>
      <t>C</t>
    </r>
    <r>
      <rPr>
        <sz val="11"/>
        <color indexed="8"/>
        <rFont val="Calibri"/>
        <family val="2"/>
      </rPr>
      <t>)*i</t>
    </r>
    <r>
      <rPr>
        <vertAlign val="subscript"/>
        <sz val="11"/>
        <color indexed="8"/>
        <rFont val="Calibri"/>
        <family val="2"/>
      </rPr>
      <t>P,BIO</t>
    </r>
  </si>
  <si>
    <r>
      <t>-(1-Y</t>
    </r>
    <r>
      <rPr>
        <vertAlign val="subscript"/>
        <sz val="11"/>
        <rFont val="Calibri"/>
        <family val="2"/>
      </rPr>
      <t>CASTO,STC,ox</t>
    </r>
    <r>
      <rPr>
        <sz val="11"/>
        <rFont val="Calibri"/>
        <family val="2"/>
      </rPr>
      <t>)/Y</t>
    </r>
    <r>
      <rPr>
        <vertAlign val="subscript"/>
        <sz val="11"/>
        <rFont val="Calibri"/>
        <family val="2"/>
      </rPr>
      <t>CASTO,STC,ox</t>
    </r>
  </si>
  <si>
    <r>
      <t>Y</t>
    </r>
    <r>
      <rPr>
        <vertAlign val="subscript"/>
        <sz val="11"/>
        <rFont val="Calibri"/>
        <family val="2"/>
      </rPr>
      <t>CASTO,H2,ana,high</t>
    </r>
    <r>
      <rPr>
        <sz val="11"/>
        <rFont val="Calibri"/>
        <family val="2"/>
      </rPr>
      <t>/Y</t>
    </r>
    <r>
      <rPr>
        <vertAlign val="subscript"/>
        <sz val="11"/>
        <rFont val="Calibri"/>
        <family val="2"/>
      </rPr>
      <t>CASTO,SB,ana</t>
    </r>
  </si>
  <si>
    <r>
      <t>Y</t>
    </r>
    <r>
      <rPr>
        <vertAlign val="subscript"/>
        <sz val="11"/>
        <rFont val="Calibri"/>
        <family val="2"/>
      </rPr>
      <t>CASTO,H2,ana,low</t>
    </r>
    <r>
      <rPr>
        <sz val="11"/>
        <rFont val="Calibri"/>
        <family val="2"/>
      </rPr>
      <t>/Y</t>
    </r>
    <r>
      <rPr>
        <vertAlign val="subscript"/>
        <sz val="11"/>
        <rFont val="Calibri"/>
        <family val="2"/>
      </rPr>
      <t>CASTO,SB,ana</t>
    </r>
  </si>
  <si>
    <r>
      <t>(i</t>
    </r>
    <r>
      <rPr>
        <vertAlign val="subscript"/>
        <sz val="11"/>
        <rFont val="Calibri"/>
        <family val="2"/>
      </rPr>
      <t>CIT,STC</t>
    </r>
    <r>
      <rPr>
        <sz val="11"/>
        <rFont val="Calibri"/>
        <family val="2"/>
      </rPr>
      <t>/Y</t>
    </r>
    <r>
      <rPr>
        <vertAlign val="subscript"/>
        <sz val="11"/>
        <rFont val="Calibri"/>
        <family val="2"/>
      </rPr>
      <t>CASTO,STC,ox</t>
    </r>
    <r>
      <rPr>
        <sz val="11"/>
        <rFont val="Calibri"/>
        <family val="2"/>
      </rPr>
      <t>)</t>
    </r>
    <r>
      <rPr>
        <vertAlign val="subscript"/>
        <sz val="11"/>
        <rFont val="Calibri"/>
        <family val="2"/>
      </rPr>
      <t xml:space="preserve"> </t>
    </r>
    <r>
      <rPr>
        <sz val="11"/>
        <rFont val="Calibri"/>
        <family val="2"/>
      </rPr>
      <t>- i</t>
    </r>
    <r>
      <rPr>
        <vertAlign val="subscript"/>
        <sz val="11"/>
        <rFont val="Calibri"/>
        <family val="2"/>
      </rPr>
      <t>CIT,BIO</t>
    </r>
  </si>
  <si>
    <r>
      <t>(i</t>
    </r>
    <r>
      <rPr>
        <vertAlign val="subscript"/>
        <sz val="11"/>
        <rFont val="Calibri"/>
        <family val="2"/>
      </rPr>
      <t>CIT,STC</t>
    </r>
    <r>
      <rPr>
        <sz val="11"/>
        <rFont val="Calibri"/>
        <family val="2"/>
      </rPr>
      <t>/Y</t>
    </r>
    <r>
      <rPr>
        <vertAlign val="subscript"/>
        <sz val="11"/>
        <rFont val="Calibri"/>
        <family val="2"/>
      </rPr>
      <t>CASTO,STC,anox</t>
    </r>
    <r>
      <rPr>
        <sz val="11"/>
        <rFont val="Calibri"/>
        <family val="2"/>
      </rPr>
      <t>)</t>
    </r>
    <r>
      <rPr>
        <vertAlign val="subscript"/>
        <sz val="11"/>
        <rFont val="Calibri"/>
        <family val="2"/>
      </rPr>
      <t xml:space="preserve"> </t>
    </r>
    <r>
      <rPr>
        <sz val="11"/>
        <rFont val="Calibri"/>
        <family val="2"/>
      </rPr>
      <t>- i</t>
    </r>
    <r>
      <rPr>
        <vertAlign val="subscript"/>
        <sz val="11"/>
        <rFont val="Calibri"/>
        <family val="2"/>
      </rPr>
      <t>CIT,BIO</t>
    </r>
  </si>
  <si>
    <r>
      <t>i</t>
    </r>
    <r>
      <rPr>
        <vertAlign val="subscript"/>
        <sz val="11"/>
        <rFont val="Calibri"/>
        <family val="2"/>
      </rPr>
      <t>CIT,BIO</t>
    </r>
    <r>
      <rPr>
        <sz val="11"/>
        <rFont val="Calibri"/>
        <family val="2"/>
      </rPr>
      <t>*Y</t>
    </r>
    <r>
      <rPr>
        <vertAlign val="subscript"/>
        <sz val="11"/>
        <rFont val="Calibri"/>
        <family val="2"/>
      </rPr>
      <t>PP,CASTO,ox</t>
    </r>
  </si>
  <si>
    <r>
      <t>i</t>
    </r>
    <r>
      <rPr>
        <vertAlign val="subscript"/>
        <sz val="11"/>
        <rFont val="Calibri"/>
        <family val="2"/>
      </rPr>
      <t>CIT,BIO</t>
    </r>
    <r>
      <rPr>
        <sz val="11"/>
        <rFont val="Calibri"/>
        <family val="2"/>
      </rPr>
      <t>*Y</t>
    </r>
    <r>
      <rPr>
        <vertAlign val="subscript"/>
        <sz val="11"/>
        <rFont val="Calibri"/>
        <family val="2"/>
      </rPr>
      <t>PP,CASTO,anox</t>
    </r>
  </si>
  <si>
    <r>
      <t>i</t>
    </r>
    <r>
      <rPr>
        <vertAlign val="subscript"/>
        <sz val="11"/>
        <rFont val="Calibri"/>
        <family val="2"/>
      </rPr>
      <t>CIT,STC</t>
    </r>
  </si>
  <si>
    <r>
      <t>-i</t>
    </r>
    <r>
      <rPr>
        <vertAlign val="subscript"/>
        <sz val="11"/>
        <rFont val="Calibri"/>
        <family val="2"/>
      </rPr>
      <t>INORG</t>
    </r>
    <r>
      <rPr>
        <sz val="11"/>
        <rFont val="Calibri"/>
        <family val="2"/>
      </rPr>
      <t>*Y</t>
    </r>
    <r>
      <rPr>
        <vertAlign val="subscript"/>
        <sz val="11"/>
        <rFont val="Calibri"/>
        <family val="2"/>
      </rPr>
      <t>PP,CASTO,ox</t>
    </r>
  </si>
  <si>
    <r>
      <t>-i</t>
    </r>
    <r>
      <rPr>
        <vertAlign val="subscript"/>
        <sz val="11"/>
        <rFont val="Calibri"/>
        <family val="2"/>
      </rPr>
      <t>INORG</t>
    </r>
    <r>
      <rPr>
        <sz val="11"/>
        <rFont val="Calibri"/>
        <family val="2"/>
      </rPr>
      <t>*Y</t>
    </r>
    <r>
      <rPr>
        <vertAlign val="subscript"/>
        <sz val="11"/>
        <rFont val="Calibri"/>
        <family val="2"/>
      </rPr>
      <t>PP,CASTO,anox</t>
    </r>
  </si>
  <si>
    <r>
      <t>Y</t>
    </r>
    <r>
      <rPr>
        <vertAlign val="subscript"/>
        <sz val="11"/>
        <rFont val="Calibri"/>
        <family val="2"/>
      </rPr>
      <t>PP,CASTO,ox</t>
    </r>
    <r>
      <rPr>
        <sz val="11"/>
        <rFont val="Calibri"/>
        <family val="2"/>
      </rPr>
      <t>*i</t>
    </r>
    <r>
      <rPr>
        <vertAlign val="subscript"/>
        <sz val="11"/>
        <rFont val="Calibri"/>
        <family val="2"/>
      </rPr>
      <t>INORG</t>
    </r>
    <r>
      <rPr>
        <sz val="11"/>
        <rFont val="Calibri"/>
        <family val="2"/>
      </rPr>
      <t>*(1-i</t>
    </r>
    <r>
      <rPr>
        <vertAlign val="subscript"/>
        <sz val="11"/>
        <rFont val="Calibri"/>
        <family val="2"/>
      </rPr>
      <t>Ca,INORG</t>
    </r>
    <r>
      <rPr>
        <sz val="11"/>
        <rFont val="Calibri"/>
        <family val="2"/>
      </rPr>
      <t>*(AM</t>
    </r>
    <r>
      <rPr>
        <vertAlign val="subscript"/>
        <sz val="11"/>
        <rFont val="Calibri"/>
        <family val="2"/>
      </rPr>
      <t>Ca</t>
    </r>
    <r>
      <rPr>
        <sz val="11"/>
        <rFont val="Calibri"/>
        <family val="2"/>
      </rPr>
      <t>+2*AM</t>
    </r>
    <r>
      <rPr>
        <vertAlign val="subscript"/>
        <sz val="11"/>
        <rFont val="Calibri"/>
        <family val="2"/>
      </rPr>
      <t>Cl</t>
    </r>
    <r>
      <rPr>
        <sz val="11"/>
        <rFont val="Calibri"/>
        <family val="2"/>
      </rPr>
      <t>)/AM</t>
    </r>
    <r>
      <rPr>
        <vertAlign val="subscript"/>
        <sz val="11"/>
        <rFont val="Calibri"/>
        <family val="2"/>
      </rPr>
      <t>Ca</t>
    </r>
    <r>
      <rPr>
        <sz val="11"/>
        <rFont val="Calibri"/>
        <family val="2"/>
      </rPr>
      <t>-i</t>
    </r>
    <r>
      <rPr>
        <vertAlign val="subscript"/>
        <sz val="11"/>
        <rFont val="Calibri"/>
        <family val="2"/>
      </rPr>
      <t>Mg,INORG</t>
    </r>
    <r>
      <rPr>
        <sz val="11"/>
        <rFont val="Calibri"/>
        <family val="2"/>
      </rPr>
      <t>*(AM</t>
    </r>
    <r>
      <rPr>
        <vertAlign val="subscript"/>
        <sz val="11"/>
        <rFont val="Calibri"/>
        <family val="2"/>
      </rPr>
      <t>Mg</t>
    </r>
    <r>
      <rPr>
        <sz val="11"/>
        <rFont val="Calibri"/>
        <family val="2"/>
      </rPr>
      <t>+2*AM</t>
    </r>
    <r>
      <rPr>
        <vertAlign val="subscript"/>
        <sz val="11"/>
        <rFont val="Calibri"/>
        <family val="2"/>
      </rPr>
      <t>Cl</t>
    </r>
    <r>
      <rPr>
        <sz val="11"/>
        <rFont val="Calibri"/>
        <family val="2"/>
      </rPr>
      <t>)/AM</t>
    </r>
    <r>
      <rPr>
        <vertAlign val="subscript"/>
        <sz val="11"/>
        <rFont val="Calibri"/>
        <family val="2"/>
      </rPr>
      <t>Mg)</t>
    </r>
    <r>
      <rPr>
        <sz val="11"/>
        <rFont val="Calibri"/>
        <family val="2"/>
      </rPr>
      <t>*f</t>
    </r>
    <r>
      <rPr>
        <vertAlign val="subscript"/>
        <sz val="11"/>
        <rFont val="Calibri"/>
        <family val="2"/>
      </rPr>
      <t>Na</t>
    </r>
  </si>
  <si>
    <r>
      <t>Y</t>
    </r>
    <r>
      <rPr>
        <vertAlign val="subscript"/>
        <sz val="11"/>
        <rFont val="Calibri"/>
        <family val="2"/>
      </rPr>
      <t>PP,CASTO,anox</t>
    </r>
    <r>
      <rPr>
        <sz val="11"/>
        <rFont val="Calibri"/>
        <family val="2"/>
      </rPr>
      <t>*i</t>
    </r>
    <r>
      <rPr>
        <vertAlign val="subscript"/>
        <sz val="11"/>
        <rFont val="Calibri"/>
        <family val="2"/>
      </rPr>
      <t>INORG</t>
    </r>
    <r>
      <rPr>
        <sz val="11"/>
        <rFont val="Calibri"/>
        <family val="2"/>
      </rPr>
      <t>*(1-i</t>
    </r>
    <r>
      <rPr>
        <vertAlign val="subscript"/>
        <sz val="11"/>
        <rFont val="Calibri"/>
        <family val="2"/>
      </rPr>
      <t>Ca,INORG</t>
    </r>
    <r>
      <rPr>
        <sz val="11"/>
        <rFont val="Calibri"/>
        <family val="2"/>
      </rPr>
      <t>*(AM</t>
    </r>
    <r>
      <rPr>
        <vertAlign val="subscript"/>
        <sz val="11"/>
        <rFont val="Calibri"/>
        <family val="2"/>
      </rPr>
      <t>Ca</t>
    </r>
    <r>
      <rPr>
        <sz val="11"/>
        <rFont val="Calibri"/>
        <family val="2"/>
      </rPr>
      <t>+2*AM</t>
    </r>
    <r>
      <rPr>
        <vertAlign val="subscript"/>
        <sz val="11"/>
        <rFont val="Calibri"/>
        <family val="2"/>
      </rPr>
      <t>Cl</t>
    </r>
    <r>
      <rPr>
        <sz val="11"/>
        <rFont val="Calibri"/>
        <family val="2"/>
      </rPr>
      <t>)/AM</t>
    </r>
    <r>
      <rPr>
        <vertAlign val="subscript"/>
        <sz val="11"/>
        <rFont val="Calibri"/>
        <family val="2"/>
      </rPr>
      <t>Ca</t>
    </r>
    <r>
      <rPr>
        <sz val="11"/>
        <rFont val="Calibri"/>
        <family val="2"/>
      </rPr>
      <t>-i</t>
    </r>
    <r>
      <rPr>
        <vertAlign val="subscript"/>
        <sz val="11"/>
        <rFont val="Calibri"/>
        <family val="2"/>
      </rPr>
      <t>Mg,INORG</t>
    </r>
    <r>
      <rPr>
        <sz val="11"/>
        <rFont val="Calibri"/>
        <family val="2"/>
      </rPr>
      <t>*(AM</t>
    </r>
    <r>
      <rPr>
        <vertAlign val="subscript"/>
        <sz val="11"/>
        <rFont val="Calibri"/>
        <family val="2"/>
      </rPr>
      <t>Mg</t>
    </r>
    <r>
      <rPr>
        <sz val="11"/>
        <rFont val="Calibri"/>
        <family val="2"/>
      </rPr>
      <t>+2*AM</t>
    </r>
    <r>
      <rPr>
        <vertAlign val="subscript"/>
        <sz val="11"/>
        <rFont val="Calibri"/>
        <family val="2"/>
      </rPr>
      <t>Cl</t>
    </r>
    <r>
      <rPr>
        <sz val="11"/>
        <rFont val="Calibri"/>
        <family val="2"/>
      </rPr>
      <t>)/AM</t>
    </r>
    <r>
      <rPr>
        <vertAlign val="subscript"/>
        <sz val="11"/>
        <rFont val="Calibri"/>
        <family val="2"/>
      </rPr>
      <t>Mg)</t>
    </r>
    <r>
      <rPr>
        <sz val="11"/>
        <rFont val="Calibri"/>
        <family val="2"/>
      </rPr>
      <t>*f</t>
    </r>
    <r>
      <rPr>
        <vertAlign val="subscript"/>
        <sz val="11"/>
        <rFont val="Calibri"/>
        <family val="2"/>
      </rPr>
      <t>Na</t>
    </r>
  </si>
  <si>
    <r>
      <t>Y</t>
    </r>
    <r>
      <rPr>
        <vertAlign val="subscript"/>
        <sz val="11"/>
        <rFont val="Calibri"/>
        <family val="2"/>
      </rPr>
      <t>PP,CASTO,ox</t>
    </r>
    <r>
      <rPr>
        <sz val="11"/>
        <rFont val="Calibri"/>
        <family val="2"/>
      </rPr>
      <t>*(i</t>
    </r>
    <r>
      <rPr>
        <vertAlign val="subscript"/>
        <sz val="11"/>
        <rFont val="Calibri"/>
        <family val="2"/>
      </rPr>
      <t>INORG</t>
    </r>
    <r>
      <rPr>
        <sz val="11"/>
        <rFont val="Calibri"/>
        <family val="2"/>
      </rPr>
      <t>*(i</t>
    </r>
    <r>
      <rPr>
        <vertAlign val="subscript"/>
        <sz val="11"/>
        <rFont val="Calibri"/>
        <family val="2"/>
      </rPr>
      <t>Ca,INORG</t>
    </r>
    <r>
      <rPr>
        <sz val="11"/>
        <rFont val="Calibri"/>
        <family val="2"/>
      </rPr>
      <t>*(2*AM</t>
    </r>
    <r>
      <rPr>
        <vertAlign val="subscript"/>
        <sz val="11"/>
        <rFont val="Calibri"/>
        <family val="2"/>
      </rPr>
      <t>Cl</t>
    </r>
    <r>
      <rPr>
        <sz val="11"/>
        <rFont val="Calibri"/>
        <family val="2"/>
      </rPr>
      <t>)/AM</t>
    </r>
    <r>
      <rPr>
        <vertAlign val="subscript"/>
        <sz val="11"/>
        <rFont val="Calibri"/>
        <family val="2"/>
      </rPr>
      <t>Ca</t>
    </r>
    <r>
      <rPr>
        <sz val="11"/>
        <rFont val="Calibri"/>
        <family val="2"/>
      </rPr>
      <t>+i</t>
    </r>
    <r>
      <rPr>
        <vertAlign val="subscript"/>
        <sz val="11"/>
        <rFont val="Calibri"/>
        <family val="2"/>
      </rPr>
      <t>Mg,INORG</t>
    </r>
    <r>
      <rPr>
        <sz val="11"/>
        <rFont val="Calibri"/>
        <family val="2"/>
      </rPr>
      <t>*(2*AM</t>
    </r>
    <r>
      <rPr>
        <vertAlign val="subscript"/>
        <sz val="11"/>
        <rFont val="Calibri"/>
        <family val="2"/>
      </rPr>
      <t>Cl</t>
    </r>
    <r>
      <rPr>
        <sz val="11"/>
        <rFont val="Calibri"/>
        <family val="2"/>
      </rPr>
      <t>)/AM</t>
    </r>
    <r>
      <rPr>
        <vertAlign val="subscript"/>
        <sz val="11"/>
        <rFont val="Calibri"/>
        <family val="2"/>
      </rPr>
      <t>Mg</t>
    </r>
    <r>
      <rPr>
        <sz val="11"/>
        <rFont val="Calibri"/>
        <family val="2"/>
      </rPr>
      <t>)+i</t>
    </r>
    <r>
      <rPr>
        <vertAlign val="subscript"/>
        <sz val="11"/>
        <rFont val="Calibri"/>
        <family val="2"/>
      </rPr>
      <t>INORG</t>
    </r>
    <r>
      <rPr>
        <sz val="11"/>
        <rFont val="Calibri"/>
        <family val="2"/>
      </rPr>
      <t>*(1-i</t>
    </r>
    <r>
      <rPr>
        <vertAlign val="subscript"/>
        <sz val="11"/>
        <rFont val="Calibri"/>
        <family val="2"/>
      </rPr>
      <t>Ca,INORG</t>
    </r>
    <r>
      <rPr>
        <sz val="11"/>
        <rFont val="Calibri"/>
        <family val="2"/>
      </rPr>
      <t>*(AM</t>
    </r>
    <r>
      <rPr>
        <vertAlign val="subscript"/>
        <sz val="11"/>
        <rFont val="Calibri"/>
        <family val="2"/>
      </rPr>
      <t>Ca</t>
    </r>
    <r>
      <rPr>
        <sz val="11"/>
        <rFont val="Calibri"/>
        <family val="2"/>
      </rPr>
      <t>+2*AM</t>
    </r>
    <r>
      <rPr>
        <vertAlign val="subscript"/>
        <sz val="11"/>
        <rFont val="Calibri"/>
        <family val="2"/>
      </rPr>
      <t>Cl</t>
    </r>
    <r>
      <rPr>
        <sz val="11"/>
        <rFont val="Calibri"/>
        <family val="2"/>
      </rPr>
      <t>)/AM</t>
    </r>
    <r>
      <rPr>
        <vertAlign val="subscript"/>
        <sz val="11"/>
        <rFont val="Calibri"/>
        <family val="2"/>
      </rPr>
      <t>Ca</t>
    </r>
    <r>
      <rPr>
        <sz val="11"/>
        <rFont val="Calibri"/>
        <family val="2"/>
      </rPr>
      <t>-i</t>
    </r>
    <r>
      <rPr>
        <vertAlign val="subscript"/>
        <sz val="11"/>
        <rFont val="Calibri"/>
        <family val="2"/>
      </rPr>
      <t>Mg,INORG</t>
    </r>
    <r>
      <rPr>
        <sz val="11"/>
        <rFont val="Calibri"/>
        <family val="2"/>
      </rPr>
      <t>*(AM</t>
    </r>
    <r>
      <rPr>
        <vertAlign val="subscript"/>
        <sz val="11"/>
        <rFont val="Calibri"/>
        <family val="2"/>
      </rPr>
      <t>Mg</t>
    </r>
    <r>
      <rPr>
        <sz val="11"/>
        <rFont val="Calibri"/>
        <family val="2"/>
      </rPr>
      <t>+2*AM</t>
    </r>
    <r>
      <rPr>
        <vertAlign val="subscript"/>
        <sz val="11"/>
        <rFont val="Calibri"/>
        <family val="2"/>
      </rPr>
      <t>Cl</t>
    </r>
    <r>
      <rPr>
        <sz val="11"/>
        <rFont val="Calibri"/>
        <family val="2"/>
      </rPr>
      <t>)/AM</t>
    </r>
    <r>
      <rPr>
        <vertAlign val="subscript"/>
        <sz val="11"/>
        <rFont val="Calibri"/>
        <family val="2"/>
      </rPr>
      <t>Mg)</t>
    </r>
    <r>
      <rPr>
        <sz val="11"/>
        <rFont val="Calibri"/>
        <family val="2"/>
      </rPr>
      <t>*(1-f</t>
    </r>
    <r>
      <rPr>
        <vertAlign val="subscript"/>
        <sz val="11"/>
        <rFont val="Calibri"/>
        <family val="2"/>
      </rPr>
      <t>Na</t>
    </r>
    <r>
      <rPr>
        <sz val="11"/>
        <rFont val="Calibri"/>
        <family val="2"/>
      </rPr>
      <t>))</t>
    </r>
  </si>
  <si>
    <r>
      <t>Y</t>
    </r>
    <r>
      <rPr>
        <vertAlign val="subscript"/>
        <sz val="11"/>
        <rFont val="Calibri"/>
        <family val="2"/>
      </rPr>
      <t>PP,CASTO,anox</t>
    </r>
    <r>
      <rPr>
        <sz val="11"/>
        <rFont val="Calibri"/>
        <family val="2"/>
      </rPr>
      <t>*(i</t>
    </r>
    <r>
      <rPr>
        <vertAlign val="subscript"/>
        <sz val="11"/>
        <rFont val="Calibri"/>
        <family val="2"/>
      </rPr>
      <t>INORG</t>
    </r>
    <r>
      <rPr>
        <sz val="11"/>
        <rFont val="Calibri"/>
        <family val="2"/>
      </rPr>
      <t>*(i</t>
    </r>
    <r>
      <rPr>
        <vertAlign val="subscript"/>
        <sz val="11"/>
        <rFont val="Calibri"/>
        <family val="2"/>
      </rPr>
      <t>Ca,INORG</t>
    </r>
    <r>
      <rPr>
        <sz val="11"/>
        <rFont val="Calibri"/>
        <family val="2"/>
      </rPr>
      <t>*(2*AM</t>
    </r>
    <r>
      <rPr>
        <vertAlign val="subscript"/>
        <sz val="11"/>
        <rFont val="Calibri"/>
        <family val="2"/>
      </rPr>
      <t>Cl</t>
    </r>
    <r>
      <rPr>
        <sz val="11"/>
        <rFont val="Calibri"/>
        <family val="2"/>
      </rPr>
      <t>)/AM</t>
    </r>
    <r>
      <rPr>
        <vertAlign val="subscript"/>
        <sz val="11"/>
        <rFont val="Calibri"/>
        <family val="2"/>
      </rPr>
      <t>Ca</t>
    </r>
    <r>
      <rPr>
        <sz val="11"/>
        <rFont val="Calibri"/>
        <family val="2"/>
      </rPr>
      <t>+i</t>
    </r>
    <r>
      <rPr>
        <vertAlign val="subscript"/>
        <sz val="11"/>
        <rFont val="Calibri"/>
        <family val="2"/>
      </rPr>
      <t>Mg,INORG</t>
    </r>
    <r>
      <rPr>
        <sz val="11"/>
        <rFont val="Calibri"/>
        <family val="2"/>
      </rPr>
      <t>*(2*AM</t>
    </r>
    <r>
      <rPr>
        <vertAlign val="subscript"/>
        <sz val="11"/>
        <rFont val="Calibri"/>
        <family val="2"/>
      </rPr>
      <t>Cl</t>
    </r>
    <r>
      <rPr>
        <sz val="11"/>
        <rFont val="Calibri"/>
        <family val="2"/>
      </rPr>
      <t>)/AM</t>
    </r>
    <r>
      <rPr>
        <vertAlign val="subscript"/>
        <sz val="11"/>
        <rFont val="Calibri"/>
        <family val="2"/>
      </rPr>
      <t>Mg</t>
    </r>
    <r>
      <rPr>
        <sz val="11"/>
        <rFont val="Calibri"/>
        <family val="2"/>
      </rPr>
      <t>)+i</t>
    </r>
    <r>
      <rPr>
        <vertAlign val="subscript"/>
        <sz val="11"/>
        <rFont val="Calibri"/>
        <family val="2"/>
      </rPr>
      <t>INORG</t>
    </r>
    <r>
      <rPr>
        <sz val="11"/>
        <rFont val="Calibri"/>
        <family val="2"/>
      </rPr>
      <t>*(1-i</t>
    </r>
    <r>
      <rPr>
        <vertAlign val="subscript"/>
        <sz val="11"/>
        <rFont val="Calibri"/>
        <family val="2"/>
      </rPr>
      <t>Ca,INORG</t>
    </r>
    <r>
      <rPr>
        <sz val="11"/>
        <rFont val="Calibri"/>
        <family val="2"/>
      </rPr>
      <t>*(AM</t>
    </r>
    <r>
      <rPr>
        <vertAlign val="subscript"/>
        <sz val="11"/>
        <rFont val="Calibri"/>
        <family val="2"/>
      </rPr>
      <t>Ca</t>
    </r>
    <r>
      <rPr>
        <sz val="11"/>
        <rFont val="Calibri"/>
        <family val="2"/>
      </rPr>
      <t>+2*AM</t>
    </r>
    <r>
      <rPr>
        <vertAlign val="subscript"/>
        <sz val="11"/>
        <rFont val="Calibri"/>
        <family val="2"/>
      </rPr>
      <t>Cl</t>
    </r>
    <r>
      <rPr>
        <sz val="11"/>
        <rFont val="Calibri"/>
        <family val="2"/>
      </rPr>
      <t>)/AM</t>
    </r>
    <r>
      <rPr>
        <vertAlign val="subscript"/>
        <sz val="11"/>
        <rFont val="Calibri"/>
        <family val="2"/>
      </rPr>
      <t>Ca</t>
    </r>
    <r>
      <rPr>
        <sz val="11"/>
        <rFont val="Calibri"/>
        <family val="2"/>
      </rPr>
      <t>-i</t>
    </r>
    <r>
      <rPr>
        <vertAlign val="subscript"/>
        <sz val="11"/>
        <rFont val="Calibri"/>
        <family val="2"/>
      </rPr>
      <t>Mg,INORG</t>
    </r>
    <r>
      <rPr>
        <sz val="11"/>
        <rFont val="Calibri"/>
        <family val="2"/>
      </rPr>
      <t>*(AM</t>
    </r>
    <r>
      <rPr>
        <vertAlign val="subscript"/>
        <sz val="11"/>
        <rFont val="Calibri"/>
        <family val="2"/>
      </rPr>
      <t>Mg</t>
    </r>
    <r>
      <rPr>
        <sz val="11"/>
        <rFont val="Calibri"/>
        <family val="2"/>
      </rPr>
      <t>+2*AM</t>
    </r>
    <r>
      <rPr>
        <vertAlign val="subscript"/>
        <sz val="11"/>
        <rFont val="Calibri"/>
        <family val="2"/>
      </rPr>
      <t>Cl</t>
    </r>
    <r>
      <rPr>
        <sz val="11"/>
        <rFont val="Calibri"/>
        <family val="2"/>
      </rPr>
      <t>)/AM</t>
    </r>
    <r>
      <rPr>
        <vertAlign val="subscript"/>
        <sz val="11"/>
        <rFont val="Calibri"/>
        <family val="2"/>
      </rPr>
      <t>Mg)</t>
    </r>
    <r>
      <rPr>
        <sz val="11"/>
        <rFont val="Calibri"/>
        <family val="2"/>
      </rPr>
      <t>*(1-f</t>
    </r>
    <r>
      <rPr>
        <vertAlign val="subscript"/>
        <sz val="11"/>
        <rFont val="Calibri"/>
        <family val="2"/>
      </rPr>
      <t>Na</t>
    </r>
    <r>
      <rPr>
        <sz val="11"/>
        <rFont val="Calibri"/>
        <family val="2"/>
      </rPr>
      <t>))</t>
    </r>
  </si>
  <si>
    <r>
      <t>Y</t>
    </r>
    <r>
      <rPr>
        <vertAlign val="subscript"/>
        <sz val="11"/>
        <rFont val="Calibri"/>
        <family val="2"/>
      </rPr>
      <t>PP,CASTO,ox</t>
    </r>
    <r>
      <rPr>
        <sz val="11"/>
        <rFont val="Calibri"/>
        <family val="2"/>
      </rPr>
      <t>*i</t>
    </r>
    <r>
      <rPr>
        <vertAlign val="subscript"/>
        <sz val="11"/>
        <rFont val="Calibri"/>
        <family val="2"/>
      </rPr>
      <t>INORG</t>
    </r>
    <r>
      <rPr>
        <sz val="11"/>
        <rFont val="Calibri"/>
        <family val="2"/>
      </rPr>
      <t>*i</t>
    </r>
    <r>
      <rPr>
        <vertAlign val="subscript"/>
        <sz val="11"/>
        <rFont val="Calibri"/>
        <family val="2"/>
      </rPr>
      <t>Ca,INORG</t>
    </r>
    <r>
      <rPr>
        <sz val="11"/>
        <rFont val="Calibri"/>
        <family val="2"/>
      </rPr>
      <t>-i</t>
    </r>
    <r>
      <rPr>
        <vertAlign val="subscript"/>
        <sz val="11"/>
        <rFont val="Calibri"/>
        <family val="2"/>
      </rPr>
      <t>Ca,PP</t>
    </r>
    <r>
      <rPr>
        <sz val="11"/>
        <rFont val="Calibri"/>
        <family val="2"/>
      </rPr>
      <t>*AM</t>
    </r>
    <r>
      <rPr>
        <vertAlign val="subscript"/>
        <sz val="11"/>
        <rFont val="Calibri"/>
        <family val="2"/>
      </rPr>
      <t>Ca</t>
    </r>
    <r>
      <rPr>
        <sz val="11"/>
        <rFont val="Calibri"/>
        <family val="2"/>
      </rPr>
      <t>/AM</t>
    </r>
    <r>
      <rPr>
        <vertAlign val="subscript"/>
        <sz val="11"/>
        <rFont val="Calibri"/>
        <family val="2"/>
      </rPr>
      <t>P</t>
    </r>
  </si>
  <si>
    <r>
      <t>Y</t>
    </r>
    <r>
      <rPr>
        <vertAlign val="subscript"/>
        <sz val="11"/>
        <rFont val="Calibri"/>
        <family val="2"/>
      </rPr>
      <t>PP,CASTO,ox</t>
    </r>
    <r>
      <rPr>
        <sz val="11"/>
        <rFont val="Calibri"/>
        <family val="2"/>
      </rPr>
      <t>*i</t>
    </r>
    <r>
      <rPr>
        <vertAlign val="subscript"/>
        <sz val="11"/>
        <rFont val="Calibri"/>
        <family val="2"/>
      </rPr>
      <t>INORG</t>
    </r>
    <r>
      <rPr>
        <sz val="11"/>
        <rFont val="Calibri"/>
        <family val="2"/>
      </rPr>
      <t>*i</t>
    </r>
    <r>
      <rPr>
        <vertAlign val="subscript"/>
        <sz val="11"/>
        <rFont val="Calibri"/>
        <family val="2"/>
      </rPr>
      <t>Mg,INORG</t>
    </r>
    <r>
      <rPr>
        <sz val="11"/>
        <rFont val="Calibri"/>
        <family val="2"/>
      </rPr>
      <t>-i</t>
    </r>
    <r>
      <rPr>
        <vertAlign val="subscript"/>
        <sz val="11"/>
        <rFont val="Calibri"/>
        <family val="2"/>
      </rPr>
      <t>Mg,PP</t>
    </r>
    <r>
      <rPr>
        <sz val="11"/>
        <rFont val="Calibri"/>
        <family val="2"/>
      </rPr>
      <t>*AM</t>
    </r>
    <r>
      <rPr>
        <vertAlign val="subscript"/>
        <sz val="11"/>
        <rFont val="Calibri"/>
        <family val="2"/>
      </rPr>
      <t>Mg</t>
    </r>
    <r>
      <rPr>
        <sz val="11"/>
        <rFont val="Calibri"/>
        <family val="2"/>
      </rPr>
      <t>/AM</t>
    </r>
    <r>
      <rPr>
        <vertAlign val="subscript"/>
        <sz val="11"/>
        <rFont val="Calibri"/>
        <family val="2"/>
      </rPr>
      <t>P</t>
    </r>
  </si>
  <si>
    <r>
      <t>-i</t>
    </r>
    <r>
      <rPr>
        <vertAlign val="subscript"/>
        <sz val="11"/>
        <rFont val="Calibri"/>
        <family val="2"/>
      </rPr>
      <t>K,PP</t>
    </r>
    <r>
      <rPr>
        <sz val="11"/>
        <rFont val="Calibri"/>
        <family val="2"/>
      </rPr>
      <t>*AM</t>
    </r>
    <r>
      <rPr>
        <vertAlign val="subscript"/>
        <sz val="11"/>
        <rFont val="Calibri"/>
        <family val="2"/>
      </rPr>
      <t>K</t>
    </r>
    <r>
      <rPr>
        <sz val="11"/>
        <rFont val="Calibri"/>
        <family val="2"/>
      </rPr>
      <t>/AM</t>
    </r>
    <r>
      <rPr>
        <vertAlign val="subscript"/>
        <sz val="11"/>
        <rFont val="Calibri"/>
        <family val="2"/>
      </rPr>
      <t>P</t>
    </r>
  </si>
  <si>
    <r>
      <t>Y</t>
    </r>
    <r>
      <rPr>
        <vertAlign val="subscript"/>
        <sz val="11"/>
        <rFont val="Calibri"/>
        <family val="2"/>
      </rPr>
      <t>PP,CASTO,anox</t>
    </r>
    <r>
      <rPr>
        <sz val="11"/>
        <rFont val="Calibri"/>
        <family val="2"/>
      </rPr>
      <t>*i</t>
    </r>
    <r>
      <rPr>
        <vertAlign val="subscript"/>
        <sz val="11"/>
        <rFont val="Calibri"/>
        <family val="2"/>
      </rPr>
      <t>INORG</t>
    </r>
    <r>
      <rPr>
        <sz val="11"/>
        <rFont val="Calibri"/>
        <family val="2"/>
      </rPr>
      <t>*i</t>
    </r>
    <r>
      <rPr>
        <vertAlign val="subscript"/>
        <sz val="11"/>
        <rFont val="Calibri"/>
        <family val="2"/>
      </rPr>
      <t>Ca,INORG</t>
    </r>
    <r>
      <rPr>
        <sz val="11"/>
        <rFont val="Calibri"/>
        <family val="2"/>
      </rPr>
      <t>-i</t>
    </r>
    <r>
      <rPr>
        <vertAlign val="subscript"/>
        <sz val="11"/>
        <rFont val="Calibri"/>
        <family val="2"/>
      </rPr>
      <t>Ca,PP</t>
    </r>
    <r>
      <rPr>
        <sz val="11"/>
        <rFont val="Calibri"/>
        <family val="2"/>
      </rPr>
      <t>*AM</t>
    </r>
    <r>
      <rPr>
        <vertAlign val="subscript"/>
        <sz val="11"/>
        <rFont val="Calibri"/>
        <family val="2"/>
      </rPr>
      <t>Ca</t>
    </r>
    <r>
      <rPr>
        <sz val="11"/>
        <rFont val="Calibri"/>
        <family val="2"/>
      </rPr>
      <t>/AM</t>
    </r>
    <r>
      <rPr>
        <vertAlign val="subscript"/>
        <sz val="11"/>
        <rFont val="Calibri"/>
        <family val="2"/>
      </rPr>
      <t>P</t>
    </r>
  </si>
  <si>
    <r>
      <t>Y</t>
    </r>
    <r>
      <rPr>
        <vertAlign val="subscript"/>
        <sz val="11"/>
        <rFont val="Calibri"/>
        <family val="2"/>
      </rPr>
      <t>PP,CASTO,anox</t>
    </r>
    <r>
      <rPr>
        <sz val="11"/>
        <rFont val="Calibri"/>
        <family val="2"/>
      </rPr>
      <t>*i</t>
    </r>
    <r>
      <rPr>
        <vertAlign val="subscript"/>
        <sz val="11"/>
        <rFont val="Calibri"/>
        <family val="2"/>
      </rPr>
      <t>INORG</t>
    </r>
    <r>
      <rPr>
        <sz val="11"/>
        <rFont val="Calibri"/>
        <family val="2"/>
      </rPr>
      <t>*i</t>
    </r>
    <r>
      <rPr>
        <vertAlign val="subscript"/>
        <sz val="11"/>
        <rFont val="Calibri"/>
        <family val="2"/>
      </rPr>
      <t>Mg,INORG</t>
    </r>
    <r>
      <rPr>
        <sz val="11"/>
        <rFont val="Calibri"/>
        <family val="2"/>
      </rPr>
      <t>-i</t>
    </r>
    <r>
      <rPr>
        <vertAlign val="subscript"/>
        <sz val="11"/>
        <rFont val="Calibri"/>
        <family val="2"/>
      </rPr>
      <t>Mg,PP</t>
    </r>
    <r>
      <rPr>
        <sz val="11"/>
        <rFont val="Calibri"/>
        <family val="2"/>
      </rPr>
      <t>*AM</t>
    </r>
    <r>
      <rPr>
        <vertAlign val="subscript"/>
        <sz val="11"/>
        <rFont val="Calibri"/>
        <family val="2"/>
      </rPr>
      <t>Mg</t>
    </r>
    <r>
      <rPr>
        <sz val="11"/>
        <rFont val="Calibri"/>
        <family val="2"/>
      </rPr>
      <t>/AM</t>
    </r>
    <r>
      <rPr>
        <vertAlign val="subscript"/>
        <sz val="11"/>
        <rFont val="Calibri"/>
        <family val="2"/>
      </rPr>
      <t>P</t>
    </r>
  </si>
  <si>
    <r>
      <t>X</t>
    </r>
    <r>
      <rPr>
        <vertAlign val="subscript"/>
        <sz val="11"/>
        <rFont val="Calibri"/>
        <family val="2"/>
      </rPr>
      <t>PP</t>
    </r>
    <r>
      <rPr>
        <sz val="11"/>
        <rFont val="Calibri"/>
        <family val="2"/>
      </rPr>
      <t>*AM</t>
    </r>
    <r>
      <rPr>
        <vertAlign val="subscript"/>
        <sz val="11"/>
        <rFont val="Calibri"/>
        <family val="2"/>
      </rPr>
      <t>K</t>
    </r>
    <r>
      <rPr>
        <sz val="11"/>
        <rFont val="Calibri"/>
        <family val="2"/>
      </rPr>
      <t>/AM</t>
    </r>
    <r>
      <rPr>
        <vertAlign val="subscript"/>
        <sz val="11"/>
        <rFont val="Calibri"/>
        <family val="2"/>
      </rPr>
      <t>P</t>
    </r>
    <r>
      <rPr>
        <sz val="11"/>
        <rFont val="Calibri"/>
        <family val="2"/>
      </rPr>
      <t>*i</t>
    </r>
    <r>
      <rPr>
        <vertAlign val="subscript"/>
        <sz val="11"/>
        <rFont val="Calibri"/>
        <family val="2"/>
      </rPr>
      <t>K,PP</t>
    </r>
    <r>
      <rPr>
        <sz val="11"/>
        <rFont val="Calibri"/>
        <family val="2"/>
      </rPr>
      <t>/X</t>
    </r>
    <r>
      <rPr>
        <vertAlign val="subscript"/>
        <sz val="11"/>
        <rFont val="Calibri"/>
        <family val="2"/>
      </rPr>
      <t>CASTO</t>
    </r>
  </si>
  <si>
    <r>
      <t>g.m</t>
    </r>
    <r>
      <rPr>
        <vertAlign val="superscript"/>
        <sz val="11"/>
        <rFont val="Calibri"/>
        <family val="2"/>
      </rPr>
      <t>-3</t>
    </r>
    <r>
      <rPr>
        <sz val="11"/>
        <rFont val="Calibri"/>
        <family val="2"/>
      </rPr>
      <t>.d</t>
    </r>
    <r>
      <rPr>
        <vertAlign val="superscript"/>
        <sz val="11"/>
        <rFont val="Calibri"/>
        <family val="2"/>
      </rPr>
      <t>-1</t>
    </r>
    <r>
      <rPr>
        <sz val="11"/>
        <color theme="1"/>
        <rFont val="Calibri"/>
        <family val="2"/>
        <scheme val="minor"/>
      </rPr>
      <t/>
    </r>
  </si>
  <si>
    <r>
      <t>µ</t>
    </r>
    <r>
      <rPr>
        <vertAlign val="subscript"/>
        <sz val="11"/>
        <rFont val="Calibri"/>
        <family val="2"/>
      </rPr>
      <t>PAO,lim,T</t>
    </r>
    <r>
      <rPr>
        <sz val="11"/>
        <rFont val="Calibri"/>
        <family val="2"/>
      </rPr>
      <t xml:space="preserve"> * X</t>
    </r>
    <r>
      <rPr>
        <vertAlign val="subscript"/>
        <sz val="11"/>
        <rFont val="Calibri"/>
        <family val="2"/>
      </rPr>
      <t>PAO</t>
    </r>
    <r>
      <rPr>
        <sz val="11"/>
        <rFont val="Calibri"/>
        <family val="2"/>
      </rPr>
      <t xml:space="preserve"> * MRsat</t>
    </r>
    <r>
      <rPr>
        <vertAlign val="subscript"/>
        <sz val="11"/>
        <rFont val="Calibri"/>
        <family val="2"/>
      </rPr>
      <t>XPHA,XPAO,KPHA</t>
    </r>
    <r>
      <rPr>
        <sz val="11"/>
        <rFont val="Calibri"/>
        <family val="2"/>
      </rPr>
      <t xml:space="preserve"> * Msat</t>
    </r>
    <r>
      <rPr>
        <vertAlign val="subscript"/>
        <sz val="11"/>
        <rFont val="Calibri"/>
        <family val="2"/>
      </rPr>
      <t>SO2,KO2,CASTO</t>
    </r>
    <r>
      <rPr>
        <sz val="11"/>
        <rFont val="Calibri"/>
        <family val="2"/>
      </rPr>
      <t xml:space="preserve"> * Msat</t>
    </r>
    <r>
      <rPr>
        <vertAlign val="subscript"/>
        <sz val="11"/>
        <rFont val="Calibri"/>
        <family val="2"/>
      </rPr>
      <t>SNHx,KNHx,BIO</t>
    </r>
    <r>
      <rPr>
        <sz val="11"/>
        <rFont val="Calibri"/>
        <family val="2"/>
      </rPr>
      <t xml:space="preserve"> * Minh</t>
    </r>
    <r>
      <rPr>
        <vertAlign val="subscript"/>
        <sz val="11"/>
        <rFont val="Calibri"/>
        <family val="2"/>
      </rPr>
      <t>SPO4,KiPO4,lim</t>
    </r>
    <r>
      <rPr>
        <sz val="11"/>
        <rFont val="Calibri"/>
        <family val="2"/>
      </rPr>
      <t xml:space="preserve"> * Msat</t>
    </r>
    <r>
      <rPr>
        <vertAlign val="subscript"/>
        <sz val="11"/>
        <rFont val="Calibri"/>
        <family val="2"/>
      </rPr>
      <t>XPP,KPP,lim</t>
    </r>
    <r>
      <rPr>
        <sz val="11"/>
        <rFont val="Calibri"/>
        <family val="2"/>
      </rPr>
      <t xml:space="preserve"> * Msat</t>
    </r>
    <r>
      <rPr>
        <vertAlign val="subscript"/>
        <sz val="11"/>
        <rFont val="Calibri"/>
        <family val="2"/>
      </rPr>
      <t>SCAT,KCAT</t>
    </r>
    <r>
      <rPr>
        <sz val="11"/>
        <rFont val="Calibri"/>
        <family val="2"/>
      </rPr>
      <t xml:space="preserve"> * Msat</t>
    </r>
    <r>
      <rPr>
        <vertAlign val="subscript"/>
        <sz val="11"/>
        <rFont val="Calibri"/>
        <family val="2"/>
      </rPr>
      <t>SAN,KAN</t>
    </r>
    <r>
      <rPr>
        <sz val="11"/>
        <rFont val="Calibri"/>
        <family val="2"/>
      </rPr>
      <t xml:space="preserve"> * Msat</t>
    </r>
    <r>
      <rPr>
        <vertAlign val="subscript"/>
        <sz val="11"/>
        <rFont val="Calibri"/>
        <family val="2"/>
      </rPr>
      <t>SCa,KCa</t>
    </r>
    <r>
      <rPr>
        <sz val="11"/>
        <rFont val="Calibri"/>
        <family val="2"/>
      </rPr>
      <t xml:space="preserve"> * Msat</t>
    </r>
    <r>
      <rPr>
        <vertAlign val="subscript"/>
        <sz val="11"/>
        <rFont val="Calibri"/>
        <family val="2"/>
      </rPr>
      <t>SMg,KMg</t>
    </r>
    <r>
      <rPr>
        <sz val="11"/>
        <rFont val="Calibri"/>
        <family val="2"/>
      </rPr>
      <t xml:space="preserve"> * Bellinh</t>
    </r>
    <r>
      <rPr>
        <vertAlign val="subscript"/>
        <sz val="11"/>
        <rFont val="Calibri"/>
        <family val="2"/>
      </rPr>
      <t>pH</t>
    </r>
  </si>
  <si>
    <r>
      <t>µ</t>
    </r>
    <r>
      <rPr>
        <vertAlign val="subscript"/>
        <sz val="11"/>
        <rFont val="Calibri"/>
        <family val="2"/>
        <charset val="238"/>
      </rPr>
      <t>PAO,lim,T</t>
    </r>
    <r>
      <rPr>
        <sz val="11"/>
        <rFont val="Calibri"/>
        <family val="2"/>
        <charset val="238"/>
      </rPr>
      <t xml:space="preserve"> * X</t>
    </r>
    <r>
      <rPr>
        <vertAlign val="subscript"/>
        <sz val="11"/>
        <rFont val="Calibri"/>
        <family val="2"/>
        <charset val="238"/>
      </rPr>
      <t>PAO</t>
    </r>
    <r>
      <rPr>
        <sz val="11"/>
        <rFont val="Calibri"/>
        <family val="2"/>
        <charset val="238"/>
      </rPr>
      <t xml:space="preserve"> * η</t>
    </r>
    <r>
      <rPr>
        <vertAlign val="subscript"/>
        <sz val="11"/>
        <rFont val="Calibri"/>
        <family val="2"/>
        <charset val="238"/>
      </rPr>
      <t>CASTO,anox</t>
    </r>
    <r>
      <rPr>
        <sz val="11"/>
        <rFont val="Calibri"/>
        <family val="2"/>
        <charset val="238"/>
      </rPr>
      <t xml:space="preserve"> * MRsat</t>
    </r>
    <r>
      <rPr>
        <vertAlign val="subscript"/>
        <sz val="11"/>
        <rFont val="Calibri"/>
        <family val="2"/>
        <charset val="238"/>
      </rPr>
      <t>XPHA,XPAO,KPHA</t>
    </r>
    <r>
      <rPr>
        <sz val="11"/>
        <rFont val="Calibri"/>
        <family val="2"/>
        <charset val="238"/>
      </rPr>
      <t xml:space="preserve"> * Minh</t>
    </r>
    <r>
      <rPr>
        <vertAlign val="subscript"/>
        <sz val="11"/>
        <rFont val="Calibri"/>
        <family val="2"/>
        <charset val="238"/>
      </rPr>
      <t>SO2,KO2,CASTO</t>
    </r>
    <r>
      <rPr>
        <sz val="11"/>
        <rFont val="Calibri"/>
        <family val="2"/>
        <charset val="238"/>
      </rPr>
      <t xml:space="preserve"> * Msat</t>
    </r>
    <r>
      <rPr>
        <vertAlign val="subscript"/>
        <sz val="11"/>
        <rFont val="Calibri"/>
        <family val="2"/>
        <charset val="238"/>
      </rPr>
      <t>SNO2,KNO2,CASTO</t>
    </r>
    <r>
      <rPr>
        <sz val="11"/>
        <rFont val="Calibri"/>
        <family val="2"/>
        <charset val="238"/>
      </rPr>
      <t xml:space="preserve"> * Msat</t>
    </r>
    <r>
      <rPr>
        <vertAlign val="subscript"/>
        <sz val="11"/>
        <rFont val="Calibri"/>
        <family val="2"/>
        <charset val="238"/>
      </rPr>
      <t>SNHx,KNHx,BIO</t>
    </r>
    <r>
      <rPr>
        <sz val="11"/>
        <rFont val="Calibri"/>
        <family val="2"/>
        <charset val="238"/>
      </rPr>
      <t xml:space="preserve"> * Minh</t>
    </r>
    <r>
      <rPr>
        <vertAlign val="subscript"/>
        <sz val="11"/>
        <rFont val="Calibri"/>
        <family val="2"/>
        <charset val="238"/>
      </rPr>
      <t>SPO4,KiPO4,lim</t>
    </r>
    <r>
      <rPr>
        <sz val="11"/>
        <rFont val="Calibri"/>
        <family val="2"/>
        <charset val="238"/>
      </rPr>
      <t xml:space="preserve"> * Msat</t>
    </r>
    <r>
      <rPr>
        <vertAlign val="subscript"/>
        <sz val="11"/>
        <rFont val="Calibri"/>
        <family val="2"/>
        <charset val="238"/>
      </rPr>
      <t>XPP,KPP,lim</t>
    </r>
    <r>
      <rPr>
        <sz val="11"/>
        <rFont val="Calibri"/>
        <family val="2"/>
        <charset val="238"/>
      </rPr>
      <t xml:space="preserve"> * Msat</t>
    </r>
    <r>
      <rPr>
        <vertAlign val="subscript"/>
        <sz val="11"/>
        <rFont val="Calibri"/>
        <family val="2"/>
        <charset val="238"/>
      </rPr>
      <t>SCAT,KCAT</t>
    </r>
    <r>
      <rPr>
        <sz val="11"/>
        <rFont val="Calibri"/>
        <family val="2"/>
        <charset val="238"/>
      </rPr>
      <t xml:space="preserve"> * Msat</t>
    </r>
    <r>
      <rPr>
        <vertAlign val="subscript"/>
        <sz val="11"/>
        <rFont val="Calibri"/>
        <family val="2"/>
        <charset val="238"/>
      </rPr>
      <t>SAN,KAN</t>
    </r>
    <r>
      <rPr>
        <sz val="11"/>
        <rFont val="Calibri"/>
        <family val="2"/>
        <charset val="238"/>
      </rPr>
      <t xml:space="preserve"> * Msat</t>
    </r>
    <r>
      <rPr>
        <vertAlign val="subscript"/>
        <sz val="11"/>
        <rFont val="Calibri"/>
        <family val="2"/>
        <charset val="238"/>
      </rPr>
      <t>SCa,KCa</t>
    </r>
    <r>
      <rPr>
        <sz val="11"/>
        <rFont val="Calibri"/>
        <family val="2"/>
        <charset val="238"/>
      </rPr>
      <t xml:space="preserve"> * Msat</t>
    </r>
    <r>
      <rPr>
        <vertAlign val="subscript"/>
        <sz val="11"/>
        <rFont val="Calibri"/>
        <family val="2"/>
        <charset val="238"/>
      </rPr>
      <t>SMg,KMg</t>
    </r>
    <r>
      <rPr>
        <sz val="11"/>
        <rFont val="Calibri"/>
        <family val="2"/>
        <charset val="238"/>
      </rPr>
      <t xml:space="preserve"> * Bellinh</t>
    </r>
    <r>
      <rPr>
        <vertAlign val="subscript"/>
        <sz val="11"/>
        <rFont val="Calibri"/>
        <family val="2"/>
        <charset val="238"/>
      </rPr>
      <t>pH</t>
    </r>
  </si>
  <si>
    <r>
      <t>q</t>
    </r>
    <r>
      <rPr>
        <vertAlign val="subscript"/>
        <sz val="11"/>
        <rFont val="Calibri"/>
        <family val="2"/>
      </rPr>
      <t>PAO,PHA,T</t>
    </r>
    <r>
      <rPr>
        <sz val="11"/>
        <rFont val="Calibri"/>
        <family val="2"/>
      </rPr>
      <t xml:space="preserve"> * X</t>
    </r>
    <r>
      <rPr>
        <vertAlign val="subscript"/>
        <sz val="11"/>
        <rFont val="Calibri"/>
        <family val="2"/>
      </rPr>
      <t>CASTO</t>
    </r>
    <r>
      <rPr>
        <sz val="11"/>
        <rFont val="Calibri"/>
        <family val="2"/>
        <charset val="238"/>
      </rPr>
      <t xml:space="preserve"> * act</t>
    </r>
    <r>
      <rPr>
        <vertAlign val="subscript"/>
        <sz val="11"/>
        <rFont val="Calibri"/>
        <family val="2"/>
      </rPr>
      <t>sto,PAO,ORP</t>
    </r>
    <r>
      <rPr>
        <sz val="11"/>
        <rFont val="Calibri"/>
        <family val="2"/>
      </rPr>
      <t xml:space="preserve"> * Msat</t>
    </r>
    <r>
      <rPr>
        <vertAlign val="subscript"/>
        <sz val="11"/>
        <rFont val="Calibri"/>
        <family val="2"/>
      </rPr>
      <t>SVFA,KVFA,CASTO</t>
    </r>
    <r>
      <rPr>
        <sz val="11"/>
        <rFont val="Calibri"/>
        <family val="2"/>
      </rPr>
      <t xml:space="preserve"> * MRsat</t>
    </r>
    <r>
      <rPr>
        <vertAlign val="subscript"/>
        <sz val="11"/>
        <rFont val="Calibri"/>
        <family val="2"/>
      </rPr>
      <t>XPP,XPAO,KPP</t>
    </r>
    <r>
      <rPr>
        <sz val="11"/>
        <rFont val="Calibri"/>
        <family val="2"/>
      </rPr>
      <t xml:space="preserve"> * Loginh</t>
    </r>
    <r>
      <rPr>
        <vertAlign val="subscript"/>
        <sz val="11"/>
        <rFont val="Calibri"/>
        <family val="2"/>
      </rPr>
      <t>XPHA,XPAO,max</t>
    </r>
  </si>
  <si>
    <r>
      <t>b</t>
    </r>
    <r>
      <rPr>
        <vertAlign val="subscript"/>
        <sz val="11"/>
        <rFont val="Calibri"/>
        <family val="2"/>
      </rPr>
      <t>STC,T</t>
    </r>
    <r>
      <rPr>
        <sz val="11"/>
        <rFont val="Calibri"/>
        <family val="2"/>
      </rPr>
      <t xml:space="preserve"> * X</t>
    </r>
    <r>
      <rPr>
        <vertAlign val="subscript"/>
        <sz val="11"/>
        <rFont val="Calibri"/>
        <family val="2"/>
      </rPr>
      <t>CASTO</t>
    </r>
    <r>
      <rPr>
        <sz val="11"/>
        <rFont val="Calibri"/>
        <family val="2"/>
      </rPr>
      <t xml:space="preserve"> * Msat</t>
    </r>
    <r>
      <rPr>
        <vertAlign val="subscript"/>
        <sz val="11"/>
        <rFont val="Calibri"/>
        <family val="2"/>
      </rPr>
      <t>SO2,KO2,CASTO</t>
    </r>
    <r>
      <rPr>
        <sz val="11"/>
        <rFont val="Calibri"/>
        <family val="2"/>
      </rPr>
      <t xml:space="preserve"> * MRsat</t>
    </r>
    <r>
      <rPr>
        <vertAlign val="subscript"/>
        <sz val="11"/>
        <rFont val="Calibri"/>
        <family val="2"/>
      </rPr>
      <t>XSTC,XCASTO,KSTC</t>
    </r>
  </si>
  <si>
    <r>
      <t>b</t>
    </r>
    <r>
      <rPr>
        <vertAlign val="subscript"/>
        <sz val="11"/>
        <rFont val="Calibri"/>
        <family val="2"/>
      </rPr>
      <t>STC,T</t>
    </r>
    <r>
      <rPr>
        <sz val="11"/>
        <rFont val="Calibri"/>
        <family val="2"/>
      </rPr>
      <t xml:space="preserve"> * η</t>
    </r>
    <r>
      <rPr>
        <vertAlign val="subscript"/>
        <sz val="11"/>
        <rFont val="Calibri"/>
        <family val="2"/>
      </rPr>
      <t>bSTC,anox</t>
    </r>
    <r>
      <rPr>
        <sz val="11"/>
        <rFont val="Calibri"/>
        <family val="2"/>
      </rPr>
      <t xml:space="preserve"> * X</t>
    </r>
    <r>
      <rPr>
        <vertAlign val="subscript"/>
        <sz val="11"/>
        <rFont val="Calibri"/>
        <family val="2"/>
      </rPr>
      <t>CASTO</t>
    </r>
    <r>
      <rPr>
        <sz val="11"/>
        <rFont val="Calibri"/>
        <family val="2"/>
      </rPr>
      <t xml:space="preserve"> * Minh</t>
    </r>
    <r>
      <rPr>
        <vertAlign val="subscript"/>
        <sz val="11"/>
        <rFont val="Calibri"/>
        <family val="2"/>
      </rPr>
      <t>SO2,KO2,CASTO</t>
    </r>
    <r>
      <rPr>
        <sz val="11"/>
        <rFont val="Calibri"/>
        <family val="2"/>
      </rPr>
      <t xml:space="preserve"> * Msat</t>
    </r>
    <r>
      <rPr>
        <vertAlign val="subscript"/>
        <sz val="11"/>
        <rFont val="Calibri"/>
        <family val="2"/>
      </rPr>
      <t>SNO2,KNO2,CASTO</t>
    </r>
    <r>
      <rPr>
        <sz val="11"/>
        <rFont val="Calibri"/>
        <family val="2"/>
      </rPr>
      <t xml:space="preserve"> * MRsat</t>
    </r>
    <r>
      <rPr>
        <vertAlign val="subscript"/>
        <sz val="11"/>
        <rFont val="Calibri"/>
        <family val="2"/>
      </rPr>
      <t>XSTC,XCASTO,KSTC</t>
    </r>
  </si>
  <si>
    <r>
      <t>b</t>
    </r>
    <r>
      <rPr>
        <vertAlign val="subscript"/>
        <sz val="11"/>
        <rFont val="Calibri"/>
        <family val="2"/>
      </rPr>
      <t>STC,T</t>
    </r>
    <r>
      <rPr>
        <sz val="11"/>
        <rFont val="Calibri"/>
        <family val="2"/>
      </rPr>
      <t xml:space="preserve"> * η</t>
    </r>
    <r>
      <rPr>
        <vertAlign val="subscript"/>
        <sz val="11"/>
        <rFont val="Calibri"/>
        <family val="2"/>
      </rPr>
      <t>bSTC,anox</t>
    </r>
    <r>
      <rPr>
        <sz val="11"/>
        <rFont val="Calibri"/>
        <family val="2"/>
      </rPr>
      <t xml:space="preserve"> * X</t>
    </r>
    <r>
      <rPr>
        <vertAlign val="subscript"/>
        <sz val="11"/>
        <rFont val="Calibri"/>
        <family val="2"/>
      </rPr>
      <t>CASTO</t>
    </r>
    <r>
      <rPr>
        <sz val="11"/>
        <rFont val="Calibri"/>
        <family val="2"/>
      </rPr>
      <t xml:space="preserve"> * Minh</t>
    </r>
    <r>
      <rPr>
        <vertAlign val="subscript"/>
        <sz val="11"/>
        <rFont val="Calibri"/>
        <family val="2"/>
      </rPr>
      <t>SO2,KO2,CASTO</t>
    </r>
    <r>
      <rPr>
        <sz val="11"/>
        <rFont val="Calibri"/>
        <family val="2"/>
      </rPr>
      <t xml:space="preserve"> * Msat</t>
    </r>
    <r>
      <rPr>
        <vertAlign val="subscript"/>
        <sz val="11"/>
        <rFont val="Calibri"/>
        <family val="2"/>
      </rPr>
      <t>SNO3,KNO3,CASTO</t>
    </r>
    <r>
      <rPr>
        <sz val="11"/>
        <rFont val="Calibri"/>
        <family val="2"/>
        <charset val="238"/>
      </rPr>
      <t xml:space="preserve"> * Minh</t>
    </r>
    <r>
      <rPr>
        <vertAlign val="subscript"/>
        <sz val="11"/>
        <rFont val="Calibri"/>
        <family val="2"/>
      </rPr>
      <t>SNO2,KNO2,CASTO</t>
    </r>
    <r>
      <rPr>
        <sz val="11"/>
        <rFont val="Calibri"/>
        <family val="2"/>
      </rPr>
      <t xml:space="preserve"> * MRsat</t>
    </r>
    <r>
      <rPr>
        <vertAlign val="subscript"/>
        <sz val="11"/>
        <rFont val="Calibri"/>
        <family val="2"/>
      </rPr>
      <t>XSTC,XCASTO,KSTC</t>
    </r>
  </si>
  <si>
    <r>
      <t>µ</t>
    </r>
    <r>
      <rPr>
        <vertAlign val="subscript"/>
        <sz val="11"/>
        <rFont val="Calibri"/>
        <family val="2"/>
      </rPr>
      <t>FERM,PAO,T</t>
    </r>
    <r>
      <rPr>
        <sz val="11"/>
        <rFont val="Calibri"/>
        <family val="2"/>
      </rPr>
      <t xml:space="preserve"> * X</t>
    </r>
    <r>
      <rPr>
        <vertAlign val="subscript"/>
        <sz val="11"/>
        <rFont val="Calibri"/>
        <family val="2"/>
        <charset val="238"/>
      </rPr>
      <t>CASTO</t>
    </r>
    <r>
      <rPr>
        <sz val="11"/>
        <rFont val="Calibri"/>
        <family val="2"/>
      </rPr>
      <t xml:space="preserve"> * act</t>
    </r>
    <r>
      <rPr>
        <vertAlign val="subscript"/>
        <sz val="11"/>
        <rFont val="Calibri"/>
        <family val="2"/>
        <charset val="238"/>
      </rPr>
      <t>ferm,PAO,ORP</t>
    </r>
    <r>
      <rPr>
        <sz val="11"/>
        <rFont val="Calibri"/>
        <family val="2"/>
      </rPr>
      <t xml:space="preserve"> * Logsat</t>
    </r>
    <r>
      <rPr>
        <vertAlign val="subscript"/>
        <sz val="11"/>
        <rFont val="Calibri"/>
        <family val="2"/>
      </rPr>
      <t>SVFA,KVFA,FERM</t>
    </r>
    <r>
      <rPr>
        <sz val="11"/>
        <rFont val="Calibri"/>
        <family val="2"/>
      </rPr>
      <t xml:space="preserve"> * Msat</t>
    </r>
    <r>
      <rPr>
        <vertAlign val="subscript"/>
        <sz val="11"/>
        <rFont val="Calibri"/>
        <family val="2"/>
      </rPr>
      <t>SB,KSB,poly,ana</t>
    </r>
    <r>
      <rPr>
        <sz val="11"/>
        <rFont val="Calibri"/>
        <family val="2"/>
      </rPr>
      <t xml:space="preserve"> * Msat</t>
    </r>
    <r>
      <rPr>
        <vertAlign val="subscript"/>
        <sz val="11"/>
        <rFont val="Calibri"/>
        <family val="2"/>
      </rPr>
      <t>SNHx,KNHx,BIO</t>
    </r>
    <r>
      <rPr>
        <sz val="11"/>
        <rFont val="Calibri"/>
        <family val="2"/>
      </rPr>
      <t xml:space="preserve"> * Msat</t>
    </r>
    <r>
      <rPr>
        <vertAlign val="subscript"/>
        <sz val="11"/>
        <rFont val="Calibri"/>
        <family val="2"/>
      </rPr>
      <t>SPO4,KPO4,BIO</t>
    </r>
    <r>
      <rPr>
        <sz val="11"/>
        <rFont val="Calibri"/>
        <family val="2"/>
      </rPr>
      <t xml:space="preserve"> * Msat</t>
    </r>
    <r>
      <rPr>
        <vertAlign val="subscript"/>
        <sz val="11"/>
        <rFont val="Calibri"/>
        <family val="2"/>
      </rPr>
      <t>SCAT,KCAT</t>
    </r>
    <r>
      <rPr>
        <sz val="11"/>
        <rFont val="Calibri"/>
        <family val="2"/>
      </rPr>
      <t xml:space="preserve"> * Msat</t>
    </r>
    <r>
      <rPr>
        <vertAlign val="subscript"/>
        <sz val="11"/>
        <rFont val="Calibri"/>
        <family val="2"/>
      </rPr>
      <t>SAN,KAN</t>
    </r>
    <r>
      <rPr>
        <sz val="11"/>
        <rFont val="Calibri"/>
        <family val="2"/>
      </rPr>
      <t xml:space="preserve"> * Msat</t>
    </r>
    <r>
      <rPr>
        <vertAlign val="subscript"/>
        <sz val="11"/>
        <rFont val="Calibri"/>
        <family val="2"/>
      </rPr>
      <t>SCa,KCa</t>
    </r>
    <r>
      <rPr>
        <sz val="11"/>
        <rFont val="Calibri"/>
        <family val="2"/>
      </rPr>
      <t xml:space="preserve"> * Msat</t>
    </r>
    <r>
      <rPr>
        <vertAlign val="subscript"/>
        <sz val="11"/>
        <rFont val="Calibri"/>
        <family val="2"/>
      </rPr>
      <t>SMg,KMg</t>
    </r>
    <r>
      <rPr>
        <sz val="11"/>
        <rFont val="Calibri"/>
        <family val="2"/>
      </rPr>
      <t xml:space="preserve"> * Bellinh</t>
    </r>
    <r>
      <rPr>
        <vertAlign val="subscript"/>
        <sz val="11"/>
        <rFont val="Calibri"/>
        <family val="2"/>
      </rPr>
      <t>pH</t>
    </r>
    <r>
      <rPr>
        <sz val="11"/>
        <rFont val="Calibri"/>
        <family val="2"/>
      </rPr>
      <t/>
    </r>
  </si>
  <si>
    <r>
      <t>µ</t>
    </r>
    <r>
      <rPr>
        <vertAlign val="subscript"/>
        <sz val="11"/>
        <rFont val="Calibri"/>
        <family val="2"/>
      </rPr>
      <t>FERM,PAO,T</t>
    </r>
    <r>
      <rPr>
        <sz val="11"/>
        <rFont val="Calibri"/>
        <family val="2"/>
      </rPr>
      <t xml:space="preserve"> * X</t>
    </r>
    <r>
      <rPr>
        <vertAlign val="subscript"/>
        <sz val="11"/>
        <rFont val="Calibri"/>
        <family val="2"/>
        <charset val="238"/>
      </rPr>
      <t>CASTO</t>
    </r>
    <r>
      <rPr>
        <sz val="11"/>
        <rFont val="Calibri"/>
        <family val="2"/>
      </rPr>
      <t xml:space="preserve"> * act</t>
    </r>
    <r>
      <rPr>
        <vertAlign val="subscript"/>
        <sz val="11"/>
        <rFont val="Calibri"/>
        <family val="2"/>
        <charset val="238"/>
      </rPr>
      <t>ferm,PAO,ORP</t>
    </r>
    <r>
      <rPr>
        <sz val="11"/>
        <rFont val="Calibri"/>
        <family val="2"/>
      </rPr>
      <t xml:space="preserve"> * Loginh</t>
    </r>
    <r>
      <rPr>
        <vertAlign val="subscript"/>
        <sz val="11"/>
        <rFont val="Calibri"/>
        <family val="2"/>
      </rPr>
      <t>SVFA,KVFA,FERM</t>
    </r>
    <r>
      <rPr>
        <sz val="11"/>
        <rFont val="Calibri"/>
        <family val="2"/>
      </rPr>
      <t xml:space="preserve"> * Msat</t>
    </r>
    <r>
      <rPr>
        <vertAlign val="subscript"/>
        <sz val="11"/>
        <rFont val="Calibri"/>
        <family val="2"/>
      </rPr>
      <t>SB,KSB,poly,ana</t>
    </r>
    <r>
      <rPr>
        <sz val="11"/>
        <rFont val="Calibri"/>
        <family val="2"/>
      </rPr>
      <t xml:space="preserve"> * Msat</t>
    </r>
    <r>
      <rPr>
        <vertAlign val="subscript"/>
        <sz val="11"/>
        <rFont val="Calibri"/>
        <family val="2"/>
      </rPr>
      <t>SNHx,KNHx,BIO</t>
    </r>
    <r>
      <rPr>
        <sz val="11"/>
        <rFont val="Calibri"/>
        <family val="2"/>
      </rPr>
      <t xml:space="preserve"> * Msat</t>
    </r>
    <r>
      <rPr>
        <vertAlign val="subscript"/>
        <sz val="11"/>
        <rFont val="Calibri"/>
        <family val="2"/>
      </rPr>
      <t>SPO4,KPO4,BIO</t>
    </r>
    <r>
      <rPr>
        <sz val="11"/>
        <rFont val="Calibri"/>
        <family val="2"/>
      </rPr>
      <t xml:space="preserve"> * Msat</t>
    </r>
    <r>
      <rPr>
        <vertAlign val="subscript"/>
        <sz val="11"/>
        <rFont val="Calibri"/>
        <family val="2"/>
      </rPr>
      <t>SCAT,KCAT</t>
    </r>
    <r>
      <rPr>
        <sz val="11"/>
        <rFont val="Calibri"/>
        <family val="2"/>
      </rPr>
      <t xml:space="preserve"> * Msat</t>
    </r>
    <r>
      <rPr>
        <vertAlign val="subscript"/>
        <sz val="11"/>
        <rFont val="Calibri"/>
        <family val="2"/>
      </rPr>
      <t>SAN,KAN</t>
    </r>
    <r>
      <rPr>
        <sz val="11"/>
        <rFont val="Calibri"/>
        <family val="2"/>
      </rPr>
      <t xml:space="preserve"> * Msat</t>
    </r>
    <r>
      <rPr>
        <vertAlign val="subscript"/>
        <sz val="11"/>
        <rFont val="Calibri"/>
        <family val="2"/>
      </rPr>
      <t>SCa,KCa</t>
    </r>
    <r>
      <rPr>
        <sz val="11"/>
        <rFont val="Calibri"/>
        <family val="2"/>
      </rPr>
      <t xml:space="preserve"> * Msat</t>
    </r>
    <r>
      <rPr>
        <vertAlign val="subscript"/>
        <sz val="11"/>
        <rFont val="Calibri"/>
        <family val="2"/>
      </rPr>
      <t>SMg,KMg</t>
    </r>
    <r>
      <rPr>
        <sz val="11"/>
        <rFont val="Calibri"/>
        <family val="2"/>
      </rPr>
      <t xml:space="preserve"> * Msat</t>
    </r>
    <r>
      <rPr>
        <vertAlign val="subscript"/>
        <sz val="11"/>
        <rFont val="Calibri"/>
        <family val="2"/>
      </rPr>
      <t>SCO2,KCO2,BIO</t>
    </r>
    <r>
      <rPr>
        <sz val="11"/>
        <rFont val="Calibri"/>
        <family val="2"/>
      </rPr>
      <t xml:space="preserve"> * Bellinh</t>
    </r>
    <r>
      <rPr>
        <vertAlign val="subscript"/>
        <sz val="11"/>
        <rFont val="Calibri"/>
        <family val="2"/>
      </rPr>
      <t>pH</t>
    </r>
    <r>
      <rPr>
        <sz val="11"/>
        <rFont val="Calibri"/>
        <family val="2"/>
      </rPr>
      <t/>
    </r>
  </si>
  <si>
    <r>
      <t>b</t>
    </r>
    <r>
      <rPr>
        <vertAlign val="subscript"/>
        <sz val="11"/>
        <rFont val="Calibri"/>
        <family val="2"/>
      </rPr>
      <t>CASTO,T</t>
    </r>
    <r>
      <rPr>
        <sz val="11"/>
        <rFont val="Calibri"/>
        <family val="2"/>
      </rPr>
      <t xml:space="preserve"> * MRinh</t>
    </r>
    <r>
      <rPr>
        <vertAlign val="subscript"/>
        <sz val="11"/>
        <rFont val="Calibri"/>
        <family val="2"/>
        <charset val="238"/>
      </rPr>
      <t>XSTC,XCASTO,KSTC</t>
    </r>
    <r>
      <rPr>
        <sz val="11"/>
        <rFont val="Calibri"/>
        <family val="2"/>
      </rPr>
      <t xml:space="preserve"> * (X</t>
    </r>
    <r>
      <rPr>
        <vertAlign val="subscript"/>
        <sz val="11"/>
        <rFont val="Calibri"/>
        <family val="2"/>
        <charset val="238"/>
      </rPr>
      <t>CASTO</t>
    </r>
    <r>
      <rPr>
        <sz val="11"/>
        <rFont val="Calibri"/>
        <family val="2"/>
      </rPr>
      <t xml:space="preserve"> * Msat</t>
    </r>
    <r>
      <rPr>
        <vertAlign val="subscript"/>
        <sz val="11"/>
        <rFont val="Calibri"/>
        <family val="2"/>
      </rPr>
      <t>SO2,KO2,CASTO</t>
    </r>
    <r>
      <rPr>
        <sz val="11"/>
        <rFont val="Calibri"/>
        <family val="2"/>
      </rPr>
      <t xml:space="preserve"> + η</t>
    </r>
    <r>
      <rPr>
        <vertAlign val="subscript"/>
        <sz val="11"/>
        <rFont val="Calibri"/>
        <family val="2"/>
      </rPr>
      <t>bCASTO,anox</t>
    </r>
    <r>
      <rPr>
        <sz val="11"/>
        <rFont val="Calibri"/>
        <family val="2"/>
      </rPr>
      <t xml:space="preserve"> * (X</t>
    </r>
    <r>
      <rPr>
        <vertAlign val="subscript"/>
        <sz val="11"/>
        <rFont val="Calibri"/>
        <family val="2"/>
        <charset val="238"/>
      </rPr>
      <t>GAO</t>
    </r>
    <r>
      <rPr>
        <sz val="11"/>
        <rFont val="Calibri"/>
        <family val="2"/>
      </rPr>
      <t xml:space="preserve"> + X</t>
    </r>
    <r>
      <rPr>
        <vertAlign val="subscript"/>
        <sz val="11"/>
        <rFont val="Calibri"/>
        <family val="2"/>
        <charset val="238"/>
      </rPr>
      <t>PAO</t>
    </r>
    <r>
      <rPr>
        <sz val="11"/>
        <rFont val="Calibri"/>
        <family val="2"/>
      </rPr>
      <t xml:space="preserve"> * MRinh</t>
    </r>
    <r>
      <rPr>
        <vertAlign val="subscript"/>
        <sz val="11"/>
        <rFont val="Calibri"/>
        <family val="2"/>
      </rPr>
      <t>XPP,XPAO,KPP</t>
    </r>
    <r>
      <rPr>
        <sz val="11"/>
        <rFont val="Calibri"/>
        <family val="2"/>
      </rPr>
      <t>) * (Msat</t>
    </r>
    <r>
      <rPr>
        <vertAlign val="subscript"/>
        <sz val="11"/>
        <rFont val="Calibri"/>
        <family val="2"/>
        <charset val="238"/>
      </rPr>
      <t>SNO2,KNO2,CASTO</t>
    </r>
    <r>
      <rPr>
        <sz val="11"/>
        <rFont val="Calibri"/>
        <family val="2"/>
      </rPr>
      <t xml:space="preserve"> + Minh</t>
    </r>
    <r>
      <rPr>
        <vertAlign val="subscript"/>
        <sz val="11"/>
        <rFont val="Calibri"/>
        <family val="2"/>
        <charset val="238"/>
      </rPr>
      <t>SNO2,KNO2,CASTO</t>
    </r>
    <r>
      <rPr>
        <sz val="11"/>
        <rFont val="Calibri"/>
        <family val="2"/>
      </rPr>
      <t xml:space="preserve"> * Msat</t>
    </r>
    <r>
      <rPr>
        <vertAlign val="subscript"/>
        <sz val="11"/>
        <rFont val="Calibri"/>
        <family val="2"/>
        <charset val="238"/>
      </rPr>
      <t>SNO3,KNO3,CASTO</t>
    </r>
    <r>
      <rPr>
        <sz val="11"/>
        <rFont val="Calibri"/>
        <family val="2"/>
      </rPr>
      <t>) * Minh</t>
    </r>
    <r>
      <rPr>
        <vertAlign val="subscript"/>
        <sz val="11"/>
        <rFont val="Calibri"/>
        <family val="2"/>
      </rPr>
      <t>SO2,KO2,CASTO</t>
    </r>
    <r>
      <rPr>
        <sz val="11"/>
        <rFont val="Calibri"/>
        <family val="2"/>
      </rPr>
      <t>)</t>
    </r>
  </si>
  <si>
    <r>
      <t>µ</t>
    </r>
    <r>
      <rPr>
        <vertAlign val="subscript"/>
        <sz val="11"/>
        <rFont val="Calibri"/>
        <family val="2"/>
        <charset val="238"/>
      </rPr>
      <t>PAO,lim,T</t>
    </r>
    <r>
      <rPr>
        <sz val="11"/>
        <rFont val="Calibri"/>
        <family val="2"/>
        <charset val="238"/>
      </rPr>
      <t xml:space="preserve"> * X</t>
    </r>
    <r>
      <rPr>
        <vertAlign val="subscript"/>
        <sz val="11"/>
        <rFont val="Calibri"/>
        <family val="2"/>
        <charset val="238"/>
      </rPr>
      <t>PAO</t>
    </r>
    <r>
      <rPr>
        <sz val="11"/>
        <rFont val="Calibri"/>
        <family val="2"/>
        <charset val="238"/>
      </rPr>
      <t xml:space="preserve"> * η</t>
    </r>
    <r>
      <rPr>
        <vertAlign val="subscript"/>
        <sz val="11"/>
        <rFont val="Calibri"/>
        <family val="2"/>
        <charset val="238"/>
      </rPr>
      <t>CASTO,anox</t>
    </r>
    <r>
      <rPr>
        <sz val="11"/>
        <rFont val="Calibri"/>
        <family val="2"/>
        <charset val="238"/>
      </rPr>
      <t xml:space="preserve"> * MRsat</t>
    </r>
    <r>
      <rPr>
        <vertAlign val="subscript"/>
        <sz val="11"/>
        <rFont val="Calibri"/>
        <family val="2"/>
        <charset val="238"/>
      </rPr>
      <t>XPHA,XPAO,KPHA</t>
    </r>
    <r>
      <rPr>
        <sz val="11"/>
        <rFont val="Calibri"/>
        <family val="2"/>
        <charset val="238"/>
      </rPr>
      <t xml:space="preserve"> * Minh</t>
    </r>
    <r>
      <rPr>
        <vertAlign val="subscript"/>
        <sz val="11"/>
        <rFont val="Calibri"/>
        <family val="2"/>
        <charset val="238"/>
      </rPr>
      <t>SO2,KO2,CASTO</t>
    </r>
    <r>
      <rPr>
        <sz val="11"/>
        <rFont val="Calibri"/>
        <family val="2"/>
        <charset val="238"/>
      </rPr>
      <t xml:space="preserve"> * Msat</t>
    </r>
    <r>
      <rPr>
        <vertAlign val="subscript"/>
        <sz val="11"/>
        <rFont val="Calibri"/>
        <family val="2"/>
        <charset val="238"/>
      </rPr>
      <t>SNO3,KNO3,CASTO</t>
    </r>
    <r>
      <rPr>
        <sz val="11"/>
        <rFont val="Calibri"/>
        <family val="2"/>
        <charset val="238"/>
      </rPr>
      <t xml:space="preserve"> * Minh</t>
    </r>
    <r>
      <rPr>
        <vertAlign val="subscript"/>
        <sz val="11"/>
        <rFont val="Calibri"/>
        <family val="2"/>
        <charset val="238"/>
      </rPr>
      <t>SNO2,KNO2,CASTO</t>
    </r>
    <r>
      <rPr>
        <sz val="11"/>
        <rFont val="Calibri"/>
        <family val="2"/>
        <charset val="238"/>
      </rPr>
      <t xml:space="preserve"> * Msat</t>
    </r>
    <r>
      <rPr>
        <vertAlign val="subscript"/>
        <sz val="11"/>
        <rFont val="Calibri"/>
        <family val="2"/>
        <charset val="238"/>
      </rPr>
      <t>SNHx,KNHx,BIO</t>
    </r>
    <r>
      <rPr>
        <sz val="11"/>
        <rFont val="Calibri"/>
        <family val="2"/>
        <charset val="238"/>
      </rPr>
      <t xml:space="preserve"> * Minh</t>
    </r>
    <r>
      <rPr>
        <vertAlign val="subscript"/>
        <sz val="11"/>
        <rFont val="Calibri"/>
        <family val="2"/>
        <charset val="238"/>
      </rPr>
      <t>SPO4,KiPO4,lim</t>
    </r>
    <r>
      <rPr>
        <sz val="11"/>
        <rFont val="Calibri"/>
        <family val="2"/>
        <charset val="238"/>
      </rPr>
      <t xml:space="preserve"> * Msat</t>
    </r>
    <r>
      <rPr>
        <vertAlign val="subscript"/>
        <sz val="11"/>
        <rFont val="Calibri"/>
        <family val="2"/>
        <charset val="238"/>
      </rPr>
      <t>XPP,KPP,lim</t>
    </r>
    <r>
      <rPr>
        <sz val="11"/>
        <rFont val="Calibri"/>
        <family val="2"/>
        <charset val="238"/>
      </rPr>
      <t xml:space="preserve"> * Msat</t>
    </r>
    <r>
      <rPr>
        <vertAlign val="subscript"/>
        <sz val="11"/>
        <rFont val="Calibri"/>
        <family val="2"/>
        <charset val="238"/>
      </rPr>
      <t>SCAT,KCAT</t>
    </r>
    <r>
      <rPr>
        <sz val="11"/>
        <rFont val="Calibri"/>
        <family val="2"/>
        <charset val="238"/>
      </rPr>
      <t xml:space="preserve"> * Msat</t>
    </r>
    <r>
      <rPr>
        <vertAlign val="subscript"/>
        <sz val="11"/>
        <rFont val="Calibri"/>
        <family val="2"/>
        <charset val="238"/>
      </rPr>
      <t>SAN,KAN</t>
    </r>
    <r>
      <rPr>
        <sz val="11"/>
        <rFont val="Calibri"/>
        <family val="2"/>
        <charset val="238"/>
      </rPr>
      <t xml:space="preserve"> * Msat</t>
    </r>
    <r>
      <rPr>
        <vertAlign val="subscript"/>
        <sz val="11"/>
        <rFont val="Calibri"/>
        <family val="2"/>
        <charset val="238"/>
      </rPr>
      <t>SCa,KCa</t>
    </r>
    <r>
      <rPr>
        <sz val="11"/>
        <rFont val="Calibri"/>
        <family val="2"/>
        <charset val="238"/>
      </rPr>
      <t xml:space="preserve"> * Msat</t>
    </r>
    <r>
      <rPr>
        <vertAlign val="subscript"/>
        <sz val="11"/>
        <rFont val="Calibri"/>
        <family val="2"/>
        <charset val="238"/>
      </rPr>
      <t>SMg,KMg</t>
    </r>
    <r>
      <rPr>
        <sz val="11"/>
        <rFont val="Calibri"/>
        <family val="2"/>
        <charset val="238"/>
      </rPr>
      <t xml:space="preserve"> * Bellinh</t>
    </r>
    <r>
      <rPr>
        <vertAlign val="subscript"/>
        <sz val="11"/>
        <rFont val="Calibri"/>
        <family val="2"/>
        <charset val="238"/>
      </rPr>
      <t>pH</t>
    </r>
  </si>
  <si>
    <r>
      <t>K</t>
    </r>
    <r>
      <rPr>
        <vertAlign val="subscript"/>
        <sz val="11"/>
        <color indexed="8"/>
        <rFont val="Calibri"/>
        <family val="2"/>
        <charset val="238"/>
        <scheme val="minor"/>
      </rPr>
      <t>SB,poly,ana,DIG</t>
    </r>
  </si>
  <si>
    <t>Half-saturation of readily biodegradable substrate as polymers in fermentation by OHOs in mainstream (AS)</t>
  </si>
  <si>
    <r>
      <t>K</t>
    </r>
    <r>
      <rPr>
        <vertAlign val="subscript"/>
        <sz val="11"/>
        <rFont val="Calibri"/>
        <family val="2"/>
        <scheme val="minor"/>
      </rPr>
      <t>SB,poly,ana,DIG</t>
    </r>
  </si>
  <si>
    <t>Non-Digester; Non-Biofilm</t>
  </si>
  <si>
    <t>Non-Digester; Biofilm</t>
  </si>
  <si>
    <r>
      <t>y</t>
    </r>
    <r>
      <rPr>
        <vertAlign val="subscript"/>
        <sz val="11"/>
        <rFont val="Calibri"/>
        <family val="2"/>
        <charset val="238"/>
        <scheme val="minor"/>
      </rPr>
      <t>ORP,GAO,Half,T</t>
    </r>
  </si>
  <si>
    <r>
      <t>sl</t>
    </r>
    <r>
      <rPr>
        <vertAlign val="subscript"/>
        <sz val="11"/>
        <rFont val="Calibri"/>
        <family val="2"/>
      </rPr>
      <t>ORP,GAO,Half,T</t>
    </r>
    <r>
      <rPr>
        <sz val="11"/>
        <rFont val="Calibri"/>
        <family val="2"/>
      </rPr>
      <t xml:space="preserve"> * T + y</t>
    </r>
    <r>
      <rPr>
        <vertAlign val="subscript"/>
        <sz val="11"/>
        <rFont val="Calibri"/>
        <family val="2"/>
      </rPr>
      <t>ORP,GAO,Half,T</t>
    </r>
  </si>
  <si>
    <r>
      <t>q</t>
    </r>
    <r>
      <rPr>
        <vertAlign val="subscript"/>
        <sz val="11"/>
        <rFont val="Calibri"/>
        <family val="2"/>
        <charset val="238"/>
        <scheme val="minor"/>
      </rPr>
      <t>PAO,PHA</t>
    </r>
  </si>
  <si>
    <r>
      <t>µ</t>
    </r>
    <r>
      <rPr>
        <vertAlign val="subscript"/>
        <sz val="11"/>
        <rFont val="Calibri"/>
        <family val="2"/>
      </rPr>
      <t>CASTO,T</t>
    </r>
    <r>
      <rPr>
        <sz val="11"/>
        <rFont val="Calibri"/>
        <family val="2"/>
      </rPr>
      <t xml:space="preserve"> * X</t>
    </r>
    <r>
      <rPr>
        <vertAlign val="subscript"/>
        <sz val="11"/>
        <rFont val="Calibri"/>
        <family val="2"/>
      </rPr>
      <t>CASTO</t>
    </r>
    <r>
      <rPr>
        <sz val="11"/>
        <rFont val="Calibri"/>
        <family val="2"/>
      </rPr>
      <t xml:space="preserve"> * MRsat</t>
    </r>
    <r>
      <rPr>
        <vertAlign val="subscript"/>
        <sz val="11"/>
        <rFont val="Calibri"/>
        <family val="2"/>
      </rPr>
      <t>XSTC,XCASTO,KSTC</t>
    </r>
    <r>
      <rPr>
        <sz val="11"/>
        <rFont val="Calibri"/>
        <family val="2"/>
      </rPr>
      <t xml:space="preserve"> * Msat</t>
    </r>
    <r>
      <rPr>
        <vertAlign val="subscript"/>
        <sz val="11"/>
        <rFont val="Calibri"/>
        <family val="2"/>
      </rPr>
      <t>SO2,KO2,CASTO</t>
    </r>
    <r>
      <rPr>
        <sz val="11"/>
        <rFont val="Calibri"/>
        <family val="2"/>
      </rPr>
      <t xml:space="preserve"> * Msat</t>
    </r>
    <r>
      <rPr>
        <vertAlign val="subscript"/>
        <sz val="11"/>
        <rFont val="Calibri"/>
        <family val="2"/>
      </rPr>
      <t>SNHx,KNHx,BIO</t>
    </r>
    <r>
      <rPr>
        <sz val="11"/>
        <rFont val="Calibri"/>
        <family val="2"/>
      </rPr>
      <t xml:space="preserve"> * Msat</t>
    </r>
    <r>
      <rPr>
        <vertAlign val="subscript"/>
        <sz val="11"/>
        <rFont val="Calibri"/>
        <family val="2"/>
      </rPr>
      <t>SPO4,KPO4,BIO</t>
    </r>
    <r>
      <rPr>
        <sz val="11"/>
        <rFont val="Calibri"/>
        <family val="2"/>
      </rPr>
      <t xml:space="preserve"> * Msat</t>
    </r>
    <r>
      <rPr>
        <vertAlign val="subscript"/>
        <sz val="11"/>
        <rFont val="Calibri"/>
        <family val="2"/>
      </rPr>
      <t>SCAT,KCAT</t>
    </r>
    <r>
      <rPr>
        <sz val="11"/>
        <rFont val="Calibri"/>
        <family val="2"/>
      </rPr>
      <t xml:space="preserve"> * Msat</t>
    </r>
    <r>
      <rPr>
        <vertAlign val="subscript"/>
        <sz val="11"/>
        <rFont val="Calibri"/>
        <family val="2"/>
      </rPr>
      <t>SAN,KAN</t>
    </r>
    <r>
      <rPr>
        <sz val="11"/>
        <rFont val="Calibri"/>
        <family val="2"/>
      </rPr>
      <t xml:space="preserve"> * Msat</t>
    </r>
    <r>
      <rPr>
        <vertAlign val="subscript"/>
        <sz val="11"/>
        <rFont val="Calibri"/>
        <family val="2"/>
      </rPr>
      <t>SCa,KCa,PAO</t>
    </r>
    <r>
      <rPr>
        <sz val="11"/>
        <rFont val="Calibri"/>
        <family val="2"/>
      </rPr>
      <t xml:space="preserve"> * Msat</t>
    </r>
    <r>
      <rPr>
        <vertAlign val="subscript"/>
        <sz val="11"/>
        <rFont val="Calibri"/>
        <family val="2"/>
      </rPr>
      <t>SMg,KMg,PAO</t>
    </r>
    <r>
      <rPr>
        <sz val="11"/>
        <rFont val="Calibri"/>
        <family val="2"/>
      </rPr>
      <t xml:space="preserve"> * Bellinh</t>
    </r>
    <r>
      <rPr>
        <vertAlign val="subscript"/>
        <sz val="11"/>
        <rFont val="Calibri"/>
        <family val="2"/>
      </rPr>
      <t>pH</t>
    </r>
  </si>
  <si>
    <r>
      <t>µ</t>
    </r>
    <r>
      <rPr>
        <vertAlign val="subscript"/>
        <sz val="11"/>
        <rFont val="Calibri"/>
        <family val="2"/>
      </rPr>
      <t>CASTO,T</t>
    </r>
    <r>
      <rPr>
        <sz val="11"/>
        <rFont val="Calibri"/>
        <family val="2"/>
      </rPr>
      <t xml:space="preserve"> * X</t>
    </r>
    <r>
      <rPr>
        <vertAlign val="subscript"/>
        <sz val="11"/>
        <rFont val="Calibri"/>
        <family val="2"/>
      </rPr>
      <t>CASTO</t>
    </r>
    <r>
      <rPr>
        <sz val="11"/>
        <rFont val="Calibri"/>
        <family val="2"/>
      </rPr>
      <t xml:space="preserve"> * η</t>
    </r>
    <r>
      <rPr>
        <vertAlign val="subscript"/>
        <sz val="11"/>
        <rFont val="Calibri"/>
        <family val="2"/>
      </rPr>
      <t>CASTO,anox</t>
    </r>
    <r>
      <rPr>
        <sz val="11"/>
        <rFont val="Calibri"/>
        <family val="2"/>
      </rPr>
      <t xml:space="preserve"> * MRsat</t>
    </r>
    <r>
      <rPr>
        <vertAlign val="subscript"/>
        <sz val="11"/>
        <rFont val="Calibri"/>
        <family val="2"/>
      </rPr>
      <t>XSTC,XCASTO,KSTC</t>
    </r>
    <r>
      <rPr>
        <sz val="11"/>
        <rFont val="Calibri"/>
        <family val="2"/>
      </rPr>
      <t xml:space="preserve"> * Msat</t>
    </r>
    <r>
      <rPr>
        <vertAlign val="subscript"/>
        <sz val="11"/>
        <rFont val="Calibri"/>
        <family val="2"/>
      </rPr>
      <t>SNO2,KNO2,CASTO</t>
    </r>
    <r>
      <rPr>
        <sz val="11"/>
        <rFont val="Calibri"/>
        <family val="2"/>
      </rPr>
      <t xml:space="preserve"> * Minh</t>
    </r>
    <r>
      <rPr>
        <vertAlign val="subscript"/>
        <sz val="11"/>
        <rFont val="Calibri"/>
        <family val="2"/>
      </rPr>
      <t>SO2,KO2,CASTO</t>
    </r>
    <r>
      <rPr>
        <sz val="11"/>
        <rFont val="Calibri"/>
        <family val="2"/>
      </rPr>
      <t xml:space="preserve"> * Msat</t>
    </r>
    <r>
      <rPr>
        <vertAlign val="subscript"/>
        <sz val="11"/>
        <rFont val="Calibri"/>
        <family val="2"/>
      </rPr>
      <t>SNHx,KNHx,BIO</t>
    </r>
    <r>
      <rPr>
        <sz val="11"/>
        <rFont val="Calibri"/>
        <family val="2"/>
      </rPr>
      <t xml:space="preserve"> * Msat</t>
    </r>
    <r>
      <rPr>
        <vertAlign val="subscript"/>
        <sz val="11"/>
        <rFont val="Calibri"/>
        <family val="2"/>
      </rPr>
      <t>SPO4,KPO4,BIO</t>
    </r>
    <r>
      <rPr>
        <sz val="11"/>
        <rFont val="Calibri"/>
        <family val="2"/>
      </rPr>
      <t xml:space="preserve"> * Msat</t>
    </r>
    <r>
      <rPr>
        <vertAlign val="subscript"/>
        <sz val="11"/>
        <rFont val="Calibri"/>
        <family val="2"/>
      </rPr>
      <t>SCAT,KCAT</t>
    </r>
    <r>
      <rPr>
        <sz val="11"/>
        <rFont val="Calibri"/>
        <family val="2"/>
      </rPr>
      <t xml:space="preserve"> * Msat</t>
    </r>
    <r>
      <rPr>
        <vertAlign val="subscript"/>
        <sz val="11"/>
        <rFont val="Calibri"/>
        <family val="2"/>
      </rPr>
      <t>SAN,KAN</t>
    </r>
    <r>
      <rPr>
        <sz val="11"/>
        <rFont val="Calibri"/>
        <family val="2"/>
      </rPr>
      <t xml:space="preserve"> * Msat</t>
    </r>
    <r>
      <rPr>
        <vertAlign val="subscript"/>
        <sz val="11"/>
        <rFont val="Calibri"/>
        <family val="2"/>
      </rPr>
      <t>SCa,KCa,PAO</t>
    </r>
    <r>
      <rPr>
        <sz val="11"/>
        <rFont val="Calibri"/>
        <family val="2"/>
      </rPr>
      <t xml:space="preserve"> * Msat</t>
    </r>
    <r>
      <rPr>
        <vertAlign val="subscript"/>
        <sz val="11"/>
        <rFont val="Calibri"/>
        <family val="2"/>
      </rPr>
      <t>SMg,KMg,PAO</t>
    </r>
    <r>
      <rPr>
        <sz val="11"/>
        <rFont val="Calibri"/>
        <family val="2"/>
      </rPr>
      <t xml:space="preserve"> * Bellinh</t>
    </r>
    <r>
      <rPr>
        <vertAlign val="subscript"/>
        <sz val="11"/>
        <rFont val="Calibri"/>
        <family val="2"/>
      </rPr>
      <t>pH</t>
    </r>
  </si>
  <si>
    <r>
      <t>µ</t>
    </r>
    <r>
      <rPr>
        <vertAlign val="subscript"/>
        <sz val="11"/>
        <rFont val="Calibri"/>
        <family val="2"/>
      </rPr>
      <t>CASTO,T</t>
    </r>
    <r>
      <rPr>
        <sz val="11"/>
        <rFont val="Calibri"/>
        <family val="2"/>
      </rPr>
      <t xml:space="preserve"> * X</t>
    </r>
    <r>
      <rPr>
        <vertAlign val="subscript"/>
        <sz val="11"/>
        <rFont val="Calibri"/>
        <family val="2"/>
      </rPr>
      <t>CASTO</t>
    </r>
    <r>
      <rPr>
        <sz val="11"/>
        <rFont val="Calibri"/>
        <family val="2"/>
      </rPr>
      <t xml:space="preserve"> * η</t>
    </r>
    <r>
      <rPr>
        <vertAlign val="subscript"/>
        <sz val="11"/>
        <rFont val="Calibri"/>
        <family val="2"/>
      </rPr>
      <t>CASTO,anox</t>
    </r>
    <r>
      <rPr>
        <sz val="11"/>
        <rFont val="Calibri"/>
        <family val="2"/>
      </rPr>
      <t xml:space="preserve"> * MRsat</t>
    </r>
    <r>
      <rPr>
        <vertAlign val="subscript"/>
        <sz val="11"/>
        <rFont val="Calibri"/>
        <family val="2"/>
      </rPr>
      <t>XSTC,XCASTO,KSTC</t>
    </r>
    <r>
      <rPr>
        <sz val="11"/>
        <rFont val="Calibri"/>
        <family val="2"/>
      </rPr>
      <t xml:space="preserve"> * Msat</t>
    </r>
    <r>
      <rPr>
        <vertAlign val="subscript"/>
        <sz val="11"/>
        <rFont val="Calibri"/>
        <family val="2"/>
      </rPr>
      <t>SNO3,KNO3,CASTO</t>
    </r>
    <r>
      <rPr>
        <sz val="11"/>
        <rFont val="Calibri"/>
        <family val="2"/>
      </rPr>
      <t xml:space="preserve"> * Minh</t>
    </r>
    <r>
      <rPr>
        <vertAlign val="subscript"/>
        <sz val="11"/>
        <rFont val="Calibri"/>
        <family val="2"/>
      </rPr>
      <t>SO2,KO2,CASTO</t>
    </r>
    <r>
      <rPr>
        <sz val="11"/>
        <rFont val="Calibri"/>
        <family val="2"/>
      </rPr>
      <t xml:space="preserve"> * Minh</t>
    </r>
    <r>
      <rPr>
        <vertAlign val="subscript"/>
        <sz val="11"/>
        <rFont val="Calibri"/>
        <family val="2"/>
      </rPr>
      <t>SNO2,KNO2,CASTO</t>
    </r>
    <r>
      <rPr>
        <sz val="11"/>
        <rFont val="Calibri"/>
        <family val="2"/>
      </rPr>
      <t xml:space="preserve"> * Msat</t>
    </r>
    <r>
      <rPr>
        <vertAlign val="subscript"/>
        <sz val="11"/>
        <rFont val="Calibri"/>
        <family val="2"/>
      </rPr>
      <t>SNHx,KNHx,BIO</t>
    </r>
    <r>
      <rPr>
        <sz val="11"/>
        <rFont val="Calibri"/>
        <family val="2"/>
      </rPr>
      <t xml:space="preserve"> * Msat</t>
    </r>
    <r>
      <rPr>
        <vertAlign val="subscript"/>
        <sz val="11"/>
        <rFont val="Calibri"/>
        <family val="2"/>
      </rPr>
      <t>SPO4,KPO4,BIO</t>
    </r>
    <r>
      <rPr>
        <sz val="11"/>
        <rFont val="Calibri"/>
        <family val="2"/>
      </rPr>
      <t xml:space="preserve"> * Msat</t>
    </r>
    <r>
      <rPr>
        <vertAlign val="subscript"/>
        <sz val="11"/>
        <rFont val="Calibri"/>
        <family val="2"/>
      </rPr>
      <t>SCAT,KCAT</t>
    </r>
    <r>
      <rPr>
        <sz val="11"/>
        <rFont val="Calibri"/>
        <family val="2"/>
      </rPr>
      <t xml:space="preserve"> * Msat</t>
    </r>
    <r>
      <rPr>
        <vertAlign val="subscript"/>
        <sz val="11"/>
        <rFont val="Calibri"/>
        <family val="2"/>
      </rPr>
      <t>SAN,KAN</t>
    </r>
    <r>
      <rPr>
        <sz val="11"/>
        <rFont val="Calibri"/>
        <family val="2"/>
      </rPr>
      <t xml:space="preserve"> * Msat</t>
    </r>
    <r>
      <rPr>
        <vertAlign val="subscript"/>
        <sz val="11"/>
        <rFont val="Calibri"/>
        <family val="2"/>
      </rPr>
      <t>SCa,KCa,PAO</t>
    </r>
    <r>
      <rPr>
        <sz val="11"/>
        <rFont val="Calibri"/>
        <family val="2"/>
      </rPr>
      <t xml:space="preserve"> * Msat</t>
    </r>
    <r>
      <rPr>
        <vertAlign val="subscript"/>
        <sz val="11"/>
        <rFont val="Calibri"/>
        <family val="2"/>
      </rPr>
      <t>SMg,KMg,PAO</t>
    </r>
    <r>
      <rPr>
        <sz val="11"/>
        <rFont val="Calibri"/>
        <family val="2"/>
      </rPr>
      <t xml:space="preserve"> * Bellinh</t>
    </r>
    <r>
      <rPr>
        <vertAlign val="subscript"/>
        <sz val="11"/>
        <rFont val="Calibri"/>
        <family val="2"/>
      </rPr>
      <t>pH</t>
    </r>
  </si>
  <si>
    <t>Advanced</t>
  </si>
  <si>
    <r>
      <t>Minh(S</t>
    </r>
    <r>
      <rPr>
        <vertAlign val="subscript"/>
        <sz val="11"/>
        <rFont val="Calibri"/>
        <family val="2"/>
      </rPr>
      <t>NOx</t>
    </r>
    <r>
      <rPr>
        <sz val="11"/>
        <rFont val="Calibri"/>
        <family val="2"/>
      </rPr>
      <t>;K</t>
    </r>
    <r>
      <rPr>
        <vertAlign val="subscript"/>
        <sz val="11"/>
        <rFont val="Calibri"/>
        <family val="2"/>
      </rPr>
      <t>NOx,AOB</t>
    </r>
    <r>
      <rPr>
        <sz val="11"/>
        <rFont val="Calibri"/>
        <family val="2"/>
      </rPr>
      <t>)</t>
    </r>
  </si>
  <si>
    <r>
      <t>Minh</t>
    </r>
    <r>
      <rPr>
        <vertAlign val="subscript"/>
        <sz val="11"/>
        <rFont val="Calibri"/>
        <family val="2"/>
      </rPr>
      <t>SNOx,KNOx,AOB</t>
    </r>
  </si>
  <si>
    <r>
      <t>b</t>
    </r>
    <r>
      <rPr>
        <vertAlign val="subscript"/>
        <sz val="11"/>
        <rFont val="Calibri"/>
        <family val="2"/>
      </rPr>
      <t>AOB,T</t>
    </r>
    <r>
      <rPr>
        <sz val="11"/>
        <rFont val="Calibri"/>
        <family val="2"/>
      </rPr>
      <t>*X</t>
    </r>
    <r>
      <rPr>
        <vertAlign val="subscript"/>
        <sz val="11"/>
        <rFont val="Calibri"/>
        <family val="2"/>
      </rPr>
      <t>AOB</t>
    </r>
    <r>
      <rPr>
        <sz val="11"/>
        <rFont val="Calibri"/>
        <family val="2"/>
      </rPr>
      <t>*(</t>
    </r>
    <r>
      <rPr>
        <sz val="11"/>
        <rFont val="Calibri"/>
        <family val="2"/>
      </rPr>
      <t>η</t>
    </r>
    <r>
      <rPr>
        <vertAlign val="subscript"/>
        <sz val="11"/>
        <rFont val="Calibri"/>
        <family val="2"/>
      </rPr>
      <t>b,ana</t>
    </r>
    <r>
      <rPr>
        <sz val="11"/>
        <rFont val="Calibri"/>
        <family val="2"/>
      </rPr>
      <t>*Minh</t>
    </r>
    <r>
      <rPr>
        <vertAlign val="subscript"/>
        <sz val="11"/>
        <rFont val="Calibri"/>
        <family val="2"/>
      </rPr>
      <t>SNOx,KNOx,AOB</t>
    </r>
    <r>
      <rPr>
        <sz val="11"/>
        <rFont val="Calibri"/>
        <family val="2"/>
      </rPr>
      <t>*Minh</t>
    </r>
    <r>
      <rPr>
        <vertAlign val="subscript"/>
        <sz val="11"/>
        <rFont val="Calibri"/>
        <family val="2"/>
      </rPr>
      <t>SO2,KO2,AOB</t>
    </r>
    <r>
      <rPr>
        <sz val="11"/>
        <rFont val="Calibri"/>
        <family val="2"/>
      </rPr>
      <t>+m</t>
    </r>
    <r>
      <rPr>
        <vertAlign val="subscript"/>
        <sz val="11"/>
        <rFont val="Calibri"/>
        <family val="2"/>
      </rPr>
      <t>tox,ana</t>
    </r>
    <r>
      <rPr>
        <sz val="11"/>
        <rFont val="Calibri"/>
        <family val="2"/>
      </rPr>
      <t>)</t>
    </r>
  </si>
  <si>
    <r>
      <t>Msat(S</t>
    </r>
    <r>
      <rPr>
        <vertAlign val="subscript"/>
        <sz val="11"/>
        <rFont val="Calibri"/>
        <family val="2"/>
      </rPr>
      <t>NOx</t>
    </r>
    <r>
      <rPr>
        <sz val="11"/>
        <rFont val="Calibri"/>
        <family val="2"/>
      </rPr>
      <t>;K</t>
    </r>
    <r>
      <rPr>
        <vertAlign val="subscript"/>
        <sz val="11"/>
        <rFont val="Calibri"/>
        <family val="2"/>
      </rPr>
      <t>NOx,AOB</t>
    </r>
    <r>
      <rPr>
        <sz val="11"/>
        <rFont val="Calibri"/>
        <family val="2"/>
      </rPr>
      <t>)</t>
    </r>
  </si>
  <si>
    <r>
      <t>Msat</t>
    </r>
    <r>
      <rPr>
        <vertAlign val="subscript"/>
        <sz val="11"/>
        <rFont val="Calibri"/>
        <family val="2"/>
      </rPr>
      <t>SNOx,KNOx,AOB</t>
    </r>
  </si>
  <si>
    <r>
      <t>b</t>
    </r>
    <r>
      <rPr>
        <vertAlign val="subscript"/>
        <sz val="11"/>
        <rFont val="Calibri"/>
        <family val="2"/>
      </rPr>
      <t>AOB,T</t>
    </r>
    <r>
      <rPr>
        <sz val="11"/>
        <rFont val="Calibri"/>
        <family val="2"/>
      </rPr>
      <t>*X</t>
    </r>
    <r>
      <rPr>
        <vertAlign val="subscript"/>
        <sz val="11"/>
        <rFont val="Calibri"/>
        <family val="2"/>
      </rPr>
      <t>AOB</t>
    </r>
    <r>
      <rPr>
        <sz val="11"/>
        <rFont val="Calibri"/>
        <family val="2"/>
      </rPr>
      <t>*(Msat</t>
    </r>
    <r>
      <rPr>
        <vertAlign val="subscript"/>
        <sz val="11"/>
        <rFont val="Calibri"/>
        <family val="2"/>
      </rPr>
      <t>SO2,KO2,AOB</t>
    </r>
    <r>
      <rPr>
        <sz val="11"/>
        <rFont val="Calibri"/>
        <family val="2"/>
      </rPr>
      <t>+η</t>
    </r>
    <r>
      <rPr>
        <vertAlign val="subscript"/>
        <sz val="11"/>
        <rFont val="Calibri"/>
        <family val="2"/>
      </rPr>
      <t>b,anox</t>
    </r>
    <r>
      <rPr>
        <sz val="11"/>
        <rFont val="Calibri"/>
        <family val="2"/>
      </rPr>
      <t>*Msat</t>
    </r>
    <r>
      <rPr>
        <vertAlign val="subscript"/>
        <sz val="11"/>
        <rFont val="Calibri"/>
        <family val="2"/>
      </rPr>
      <t>SNOx</t>
    </r>
    <r>
      <rPr>
        <b/>
        <vertAlign val="subscript"/>
        <sz val="11"/>
        <rFont val="Calibri"/>
        <family val="2"/>
      </rPr>
      <t>,</t>
    </r>
    <r>
      <rPr>
        <vertAlign val="subscript"/>
        <sz val="11"/>
        <rFont val="Calibri"/>
        <family val="2"/>
      </rPr>
      <t>KNOx,AOB</t>
    </r>
    <r>
      <rPr>
        <sz val="11"/>
        <rFont val="Calibri"/>
        <family val="2"/>
      </rPr>
      <t>*Minh</t>
    </r>
    <r>
      <rPr>
        <vertAlign val="subscript"/>
        <sz val="11"/>
        <rFont val="Calibri"/>
        <family val="2"/>
      </rPr>
      <t>SO2,KO2,AOB</t>
    </r>
    <r>
      <rPr>
        <sz val="11"/>
        <rFont val="Calibri"/>
        <family val="2"/>
      </rPr>
      <t>)</t>
    </r>
  </si>
  <si>
    <r>
      <t>Minh(S</t>
    </r>
    <r>
      <rPr>
        <vertAlign val="subscript"/>
        <sz val="11"/>
        <rFont val="Calibri"/>
        <family val="2"/>
      </rPr>
      <t>NOx</t>
    </r>
    <r>
      <rPr>
        <sz val="11"/>
        <rFont val="Calibri"/>
        <family val="2"/>
      </rPr>
      <t>;K</t>
    </r>
    <r>
      <rPr>
        <vertAlign val="subscript"/>
        <sz val="11"/>
        <rFont val="Calibri"/>
        <family val="2"/>
      </rPr>
      <t>NOx,NOB</t>
    </r>
    <r>
      <rPr>
        <sz val="11"/>
        <rFont val="Calibri"/>
        <family val="2"/>
      </rPr>
      <t>)</t>
    </r>
  </si>
  <si>
    <r>
      <t>Minh</t>
    </r>
    <r>
      <rPr>
        <vertAlign val="subscript"/>
        <sz val="11"/>
        <rFont val="Calibri"/>
        <family val="2"/>
      </rPr>
      <t>SNOx,KNOx,NOB</t>
    </r>
  </si>
  <si>
    <r>
      <t>b</t>
    </r>
    <r>
      <rPr>
        <vertAlign val="subscript"/>
        <sz val="11"/>
        <rFont val="Calibri"/>
        <family val="2"/>
      </rPr>
      <t>NOB,T</t>
    </r>
    <r>
      <rPr>
        <sz val="11"/>
        <rFont val="Calibri"/>
        <family val="2"/>
      </rPr>
      <t>*X</t>
    </r>
    <r>
      <rPr>
        <vertAlign val="subscript"/>
        <sz val="11"/>
        <rFont val="Calibri"/>
        <family val="2"/>
      </rPr>
      <t>NOB</t>
    </r>
    <r>
      <rPr>
        <sz val="11"/>
        <rFont val="Calibri"/>
        <family val="2"/>
      </rPr>
      <t>*(</t>
    </r>
    <r>
      <rPr>
        <sz val="11"/>
        <rFont val="Calibri"/>
        <family val="2"/>
      </rPr>
      <t>η</t>
    </r>
    <r>
      <rPr>
        <vertAlign val="subscript"/>
        <sz val="11"/>
        <rFont val="Calibri"/>
        <family val="2"/>
      </rPr>
      <t>b,ana</t>
    </r>
    <r>
      <rPr>
        <sz val="11"/>
        <rFont val="Calibri"/>
        <family val="2"/>
      </rPr>
      <t>*Minh</t>
    </r>
    <r>
      <rPr>
        <vertAlign val="subscript"/>
        <sz val="11"/>
        <rFont val="Calibri"/>
        <family val="2"/>
      </rPr>
      <t>SNOx,KNOx,NOB</t>
    </r>
    <r>
      <rPr>
        <sz val="11"/>
        <rFont val="Calibri"/>
        <family val="2"/>
      </rPr>
      <t>*Minh</t>
    </r>
    <r>
      <rPr>
        <vertAlign val="subscript"/>
        <sz val="11"/>
        <rFont val="Calibri"/>
        <family val="2"/>
      </rPr>
      <t>SO2,KO2,NOB</t>
    </r>
    <r>
      <rPr>
        <sz val="11"/>
        <rFont val="Calibri"/>
        <family val="2"/>
      </rPr>
      <t>+m</t>
    </r>
    <r>
      <rPr>
        <vertAlign val="subscript"/>
        <sz val="11"/>
        <rFont val="Calibri"/>
        <family val="2"/>
      </rPr>
      <t>tox,ana</t>
    </r>
    <r>
      <rPr>
        <sz val="11"/>
        <rFont val="Calibri"/>
        <family val="2"/>
      </rPr>
      <t>)</t>
    </r>
  </si>
  <si>
    <r>
      <t>Msat(S</t>
    </r>
    <r>
      <rPr>
        <vertAlign val="subscript"/>
        <sz val="11"/>
        <rFont val="Calibri"/>
        <family val="2"/>
      </rPr>
      <t>NOx</t>
    </r>
    <r>
      <rPr>
        <sz val="11"/>
        <rFont val="Calibri"/>
        <family val="2"/>
      </rPr>
      <t>;K</t>
    </r>
    <r>
      <rPr>
        <vertAlign val="subscript"/>
        <sz val="11"/>
        <rFont val="Calibri"/>
        <family val="2"/>
      </rPr>
      <t>NOx,NOB</t>
    </r>
    <r>
      <rPr>
        <sz val="11"/>
        <rFont val="Calibri"/>
        <family val="2"/>
      </rPr>
      <t>)</t>
    </r>
  </si>
  <si>
    <r>
      <t>Msat</t>
    </r>
    <r>
      <rPr>
        <vertAlign val="subscript"/>
        <sz val="11"/>
        <rFont val="Calibri"/>
        <family val="2"/>
      </rPr>
      <t>SNOx,KNOx,NOB</t>
    </r>
  </si>
  <si>
    <r>
      <t>b</t>
    </r>
    <r>
      <rPr>
        <vertAlign val="subscript"/>
        <sz val="11"/>
        <rFont val="Calibri"/>
        <family val="2"/>
      </rPr>
      <t>NOB,T</t>
    </r>
    <r>
      <rPr>
        <sz val="11"/>
        <rFont val="Calibri"/>
        <family val="2"/>
      </rPr>
      <t>*X</t>
    </r>
    <r>
      <rPr>
        <vertAlign val="subscript"/>
        <sz val="11"/>
        <rFont val="Calibri"/>
        <family val="2"/>
      </rPr>
      <t>NOB</t>
    </r>
    <r>
      <rPr>
        <sz val="11"/>
        <rFont val="Calibri"/>
        <family val="2"/>
      </rPr>
      <t>*(Msat</t>
    </r>
    <r>
      <rPr>
        <vertAlign val="subscript"/>
        <sz val="11"/>
        <rFont val="Calibri"/>
        <family val="2"/>
      </rPr>
      <t>SO2,KO2,NOB</t>
    </r>
    <r>
      <rPr>
        <sz val="11"/>
        <rFont val="Calibri"/>
        <family val="2"/>
      </rPr>
      <t>+η</t>
    </r>
    <r>
      <rPr>
        <vertAlign val="subscript"/>
        <sz val="11"/>
        <rFont val="Calibri"/>
        <family val="2"/>
      </rPr>
      <t>b,anox</t>
    </r>
    <r>
      <rPr>
        <sz val="11"/>
        <rFont val="Calibri"/>
        <family val="2"/>
      </rPr>
      <t>*Msat</t>
    </r>
    <r>
      <rPr>
        <vertAlign val="subscript"/>
        <sz val="11"/>
        <rFont val="Calibri"/>
        <family val="2"/>
      </rPr>
      <t>SNOx</t>
    </r>
    <r>
      <rPr>
        <b/>
        <vertAlign val="subscript"/>
        <sz val="11"/>
        <rFont val="Calibri"/>
        <family val="2"/>
      </rPr>
      <t>,</t>
    </r>
    <r>
      <rPr>
        <vertAlign val="subscript"/>
        <sz val="11"/>
        <rFont val="Calibri"/>
        <family val="2"/>
      </rPr>
      <t>KNOx,NOB</t>
    </r>
    <r>
      <rPr>
        <sz val="11"/>
        <rFont val="Calibri"/>
        <family val="2"/>
      </rPr>
      <t>*Minh</t>
    </r>
    <r>
      <rPr>
        <vertAlign val="subscript"/>
        <sz val="11"/>
        <rFont val="Calibri"/>
        <family val="2"/>
      </rPr>
      <t>SO2,KO2,NOB</t>
    </r>
    <r>
      <rPr>
        <sz val="11"/>
        <rFont val="Calibri"/>
        <family val="2"/>
      </rPr>
      <t>)</t>
    </r>
  </si>
  <si>
    <r>
      <t>Minh(S</t>
    </r>
    <r>
      <rPr>
        <vertAlign val="subscript"/>
        <sz val="11"/>
        <rFont val="Calibri"/>
        <family val="2"/>
      </rPr>
      <t>NOx</t>
    </r>
    <r>
      <rPr>
        <sz val="11"/>
        <rFont val="Calibri"/>
        <family val="2"/>
      </rPr>
      <t>;K</t>
    </r>
    <r>
      <rPr>
        <vertAlign val="subscript"/>
        <sz val="11"/>
        <rFont val="Calibri"/>
        <family val="2"/>
      </rPr>
      <t>NOx,AMX</t>
    </r>
    <r>
      <rPr>
        <sz val="11"/>
        <rFont val="Calibri"/>
        <family val="2"/>
      </rPr>
      <t>)</t>
    </r>
  </si>
  <si>
    <r>
      <t>b</t>
    </r>
    <r>
      <rPr>
        <vertAlign val="subscript"/>
        <sz val="11"/>
        <color indexed="8"/>
        <rFont val="Calibri"/>
        <family val="2"/>
        <charset val="238"/>
      </rPr>
      <t>AMX,T</t>
    </r>
    <r>
      <rPr>
        <sz val="11"/>
        <color indexed="8"/>
        <rFont val="Calibri"/>
        <family val="2"/>
      </rPr>
      <t>*X</t>
    </r>
    <r>
      <rPr>
        <vertAlign val="subscript"/>
        <sz val="11"/>
        <color indexed="8"/>
        <rFont val="Calibri"/>
        <family val="2"/>
        <charset val="238"/>
      </rPr>
      <t>AMX</t>
    </r>
    <r>
      <rPr>
        <sz val="11"/>
        <color indexed="8"/>
        <rFont val="Calibri"/>
        <family val="2"/>
      </rPr>
      <t>*(η</t>
    </r>
    <r>
      <rPr>
        <vertAlign val="subscript"/>
        <sz val="11"/>
        <color indexed="8"/>
        <rFont val="Calibri"/>
        <family val="2"/>
        <charset val="238"/>
      </rPr>
      <t>b,ana</t>
    </r>
    <r>
      <rPr>
        <sz val="11"/>
        <color indexed="8"/>
        <rFont val="Calibri"/>
        <family val="2"/>
      </rPr>
      <t>*Minh</t>
    </r>
    <r>
      <rPr>
        <vertAlign val="subscript"/>
        <sz val="11"/>
        <color indexed="8"/>
        <rFont val="Calibri"/>
        <family val="2"/>
        <charset val="238"/>
      </rPr>
      <t>SNOx,KNOx,AMX</t>
    </r>
    <r>
      <rPr>
        <sz val="11"/>
        <color indexed="8"/>
        <rFont val="Calibri"/>
        <family val="2"/>
      </rPr>
      <t>*Minh</t>
    </r>
    <r>
      <rPr>
        <vertAlign val="subscript"/>
        <sz val="11"/>
        <color indexed="8"/>
        <rFont val="Calibri"/>
        <family val="2"/>
        <charset val="238"/>
      </rPr>
      <t>SO2,KiO2,AMX</t>
    </r>
    <r>
      <rPr>
        <sz val="11"/>
        <color indexed="8"/>
        <rFont val="Calibri"/>
        <family val="2"/>
      </rPr>
      <t>)</t>
    </r>
  </si>
  <si>
    <r>
      <t>Minh</t>
    </r>
    <r>
      <rPr>
        <vertAlign val="subscript"/>
        <sz val="11"/>
        <rFont val="Calibri"/>
        <family val="2"/>
      </rPr>
      <t>SNOx,KNOx,AMX</t>
    </r>
  </si>
  <si>
    <r>
      <t>Msat(S</t>
    </r>
    <r>
      <rPr>
        <vertAlign val="subscript"/>
        <sz val="11"/>
        <rFont val="Calibri"/>
        <family val="2"/>
      </rPr>
      <t>NOx</t>
    </r>
    <r>
      <rPr>
        <sz val="11"/>
        <rFont val="Calibri"/>
        <family val="2"/>
      </rPr>
      <t>;K</t>
    </r>
    <r>
      <rPr>
        <vertAlign val="subscript"/>
        <sz val="11"/>
        <rFont val="Calibri"/>
        <family val="2"/>
      </rPr>
      <t>NOx,AMX</t>
    </r>
    <r>
      <rPr>
        <sz val="11"/>
        <rFont val="Calibri"/>
        <family val="2"/>
      </rPr>
      <t>)</t>
    </r>
  </si>
  <si>
    <r>
      <t>Msat</t>
    </r>
    <r>
      <rPr>
        <vertAlign val="subscript"/>
        <sz val="11"/>
        <rFont val="Calibri"/>
        <family val="2"/>
      </rPr>
      <t>SNOx,KNOx,AMX</t>
    </r>
  </si>
  <si>
    <r>
      <t>b</t>
    </r>
    <r>
      <rPr>
        <vertAlign val="subscript"/>
        <sz val="11"/>
        <color indexed="8"/>
        <rFont val="Calibri"/>
        <family val="2"/>
        <charset val="238"/>
      </rPr>
      <t>AMX,T</t>
    </r>
    <r>
      <rPr>
        <sz val="11"/>
        <color indexed="8"/>
        <rFont val="Calibri"/>
        <family val="2"/>
      </rPr>
      <t>*X</t>
    </r>
    <r>
      <rPr>
        <vertAlign val="subscript"/>
        <sz val="11"/>
        <color indexed="8"/>
        <rFont val="Calibri"/>
        <family val="2"/>
        <charset val="238"/>
      </rPr>
      <t>AMX</t>
    </r>
    <r>
      <rPr>
        <sz val="11"/>
        <color indexed="8"/>
        <rFont val="Calibri"/>
        <family val="2"/>
      </rPr>
      <t>*(Msat</t>
    </r>
    <r>
      <rPr>
        <vertAlign val="subscript"/>
        <sz val="11"/>
        <color indexed="8"/>
        <rFont val="Calibri"/>
        <family val="2"/>
        <charset val="238"/>
      </rPr>
      <t>SO2,KiO2,AMX</t>
    </r>
    <r>
      <rPr>
        <sz val="11"/>
        <color indexed="8"/>
        <rFont val="Calibri"/>
        <family val="2"/>
      </rPr>
      <t>+η</t>
    </r>
    <r>
      <rPr>
        <vertAlign val="subscript"/>
        <sz val="11"/>
        <color indexed="8"/>
        <rFont val="Calibri"/>
        <family val="2"/>
        <charset val="238"/>
      </rPr>
      <t>b,anox</t>
    </r>
    <r>
      <rPr>
        <sz val="11"/>
        <color indexed="8"/>
        <rFont val="Calibri"/>
        <family val="2"/>
      </rPr>
      <t>*Msat</t>
    </r>
    <r>
      <rPr>
        <vertAlign val="subscript"/>
        <sz val="11"/>
        <color indexed="8"/>
        <rFont val="Calibri"/>
        <family val="2"/>
        <charset val="238"/>
      </rPr>
      <t>SNOx,KNOx,AMX</t>
    </r>
    <r>
      <rPr>
        <sz val="11"/>
        <color indexed="8"/>
        <rFont val="Calibri"/>
        <family val="2"/>
      </rPr>
      <t>*Minh</t>
    </r>
    <r>
      <rPr>
        <vertAlign val="subscript"/>
        <sz val="11"/>
        <color indexed="8"/>
        <rFont val="Calibri"/>
        <family val="2"/>
        <charset val="238"/>
      </rPr>
      <t>SO2,KiO2,AMX</t>
    </r>
    <r>
      <rPr>
        <sz val="11"/>
        <color indexed="8"/>
        <rFont val="Calibri"/>
        <family val="2"/>
      </rPr>
      <t>)</t>
    </r>
  </si>
  <si>
    <r>
      <t>Minh(S</t>
    </r>
    <r>
      <rPr>
        <vertAlign val="subscript"/>
        <sz val="11"/>
        <rFont val="Calibri"/>
        <family val="2"/>
        <scheme val="minor"/>
      </rPr>
      <t>NOx</t>
    </r>
    <r>
      <rPr>
        <sz val="11"/>
        <rFont val="Calibri"/>
        <family val="2"/>
        <scheme val="minor"/>
      </rPr>
      <t>;K</t>
    </r>
    <r>
      <rPr>
        <vertAlign val="subscript"/>
        <sz val="11"/>
        <rFont val="Calibri"/>
        <family val="2"/>
        <scheme val="minor"/>
      </rPr>
      <t>NOx,AMETO</t>
    </r>
    <r>
      <rPr>
        <sz val="11"/>
        <rFont val="Calibri"/>
        <family val="2"/>
        <scheme val="minor"/>
      </rPr>
      <t>)</t>
    </r>
  </si>
  <si>
    <r>
      <t>Msat(S</t>
    </r>
    <r>
      <rPr>
        <vertAlign val="subscript"/>
        <sz val="11"/>
        <rFont val="Calibri"/>
        <family val="2"/>
      </rPr>
      <t>NOx</t>
    </r>
    <r>
      <rPr>
        <sz val="11"/>
        <rFont val="Calibri"/>
        <family val="2"/>
      </rPr>
      <t>;K</t>
    </r>
    <r>
      <rPr>
        <vertAlign val="subscript"/>
        <sz val="11"/>
        <rFont val="Calibri"/>
        <family val="2"/>
      </rPr>
      <t>NOx,AMETO</t>
    </r>
    <r>
      <rPr>
        <sz val="11"/>
        <rFont val="Calibri"/>
        <family val="2"/>
      </rPr>
      <t>)</t>
    </r>
  </si>
  <si>
    <r>
      <t>Minh(S</t>
    </r>
    <r>
      <rPr>
        <vertAlign val="subscript"/>
        <sz val="11"/>
        <rFont val="Calibri"/>
        <family val="2"/>
        <scheme val="minor"/>
      </rPr>
      <t>NOx</t>
    </r>
    <r>
      <rPr>
        <sz val="11"/>
        <rFont val="Calibri"/>
        <family val="2"/>
        <scheme val="minor"/>
      </rPr>
      <t>;K</t>
    </r>
    <r>
      <rPr>
        <vertAlign val="subscript"/>
        <sz val="11"/>
        <rFont val="Calibri"/>
        <family val="2"/>
        <scheme val="minor"/>
      </rPr>
      <t>NOx,HMETO</t>
    </r>
    <r>
      <rPr>
        <sz val="11"/>
        <rFont val="Calibri"/>
        <family val="2"/>
        <scheme val="minor"/>
      </rPr>
      <t>)</t>
    </r>
  </si>
  <si>
    <r>
      <t>Msat(S</t>
    </r>
    <r>
      <rPr>
        <vertAlign val="subscript"/>
        <sz val="11"/>
        <rFont val="Calibri"/>
        <family val="2"/>
      </rPr>
      <t>NOx</t>
    </r>
    <r>
      <rPr>
        <sz val="11"/>
        <rFont val="Calibri"/>
        <family val="2"/>
      </rPr>
      <t>;K</t>
    </r>
    <r>
      <rPr>
        <vertAlign val="subscript"/>
        <sz val="11"/>
        <rFont val="Calibri"/>
        <family val="2"/>
      </rPr>
      <t>NOx,HMETO</t>
    </r>
    <r>
      <rPr>
        <sz val="11"/>
        <rFont val="Calibri"/>
        <family val="2"/>
      </rPr>
      <t>)</t>
    </r>
  </si>
  <si>
    <r>
      <t>-X</t>
    </r>
    <r>
      <rPr>
        <vertAlign val="subscript"/>
        <sz val="11"/>
        <rFont val="Calibri"/>
        <family val="2"/>
      </rPr>
      <t>HFO,H</t>
    </r>
    <r>
      <rPr>
        <sz val="11"/>
        <rFont val="Calibri"/>
        <family val="2"/>
      </rPr>
      <t>/X</t>
    </r>
    <r>
      <rPr>
        <vertAlign val="subscript"/>
        <sz val="11"/>
        <rFont val="Calibri"/>
        <family val="2"/>
      </rPr>
      <t>HFO</t>
    </r>
  </si>
  <si>
    <r>
      <t>-X</t>
    </r>
    <r>
      <rPr>
        <vertAlign val="subscript"/>
        <sz val="11"/>
        <rFont val="Calibri"/>
        <family val="2"/>
      </rPr>
      <t>HFO,L</t>
    </r>
    <r>
      <rPr>
        <sz val="11"/>
        <rFont val="Calibri"/>
        <family val="2"/>
      </rPr>
      <t>/X</t>
    </r>
    <r>
      <rPr>
        <vertAlign val="subscript"/>
        <sz val="11"/>
        <rFont val="Calibri"/>
        <family val="2"/>
      </rPr>
      <t>HFO</t>
    </r>
  </si>
  <si>
    <r>
      <t>-X</t>
    </r>
    <r>
      <rPr>
        <vertAlign val="subscript"/>
        <sz val="11"/>
        <rFont val="Calibri"/>
        <family val="2"/>
      </rPr>
      <t>HFO,old</t>
    </r>
    <r>
      <rPr>
        <sz val="11"/>
        <rFont val="Calibri"/>
        <family val="2"/>
      </rPr>
      <t>/X</t>
    </r>
    <r>
      <rPr>
        <vertAlign val="subscript"/>
        <sz val="11"/>
        <rFont val="Calibri"/>
        <family val="2"/>
      </rPr>
      <t>HFO</t>
    </r>
  </si>
  <si>
    <r>
      <t>-X</t>
    </r>
    <r>
      <rPr>
        <vertAlign val="subscript"/>
        <sz val="11"/>
        <rFont val="Calibri"/>
        <family val="2"/>
      </rPr>
      <t>HFO,H,P</t>
    </r>
    <r>
      <rPr>
        <sz val="11"/>
        <rFont val="Calibri"/>
        <family val="2"/>
      </rPr>
      <t>/X</t>
    </r>
    <r>
      <rPr>
        <vertAlign val="subscript"/>
        <sz val="11"/>
        <rFont val="Calibri"/>
        <family val="2"/>
      </rPr>
      <t>HFO</t>
    </r>
  </si>
  <si>
    <r>
      <t>-X</t>
    </r>
    <r>
      <rPr>
        <vertAlign val="subscript"/>
        <sz val="11"/>
        <rFont val="Calibri"/>
        <family val="2"/>
      </rPr>
      <t>HFO,L,P</t>
    </r>
    <r>
      <rPr>
        <sz val="11"/>
        <rFont val="Calibri"/>
        <family val="2"/>
      </rPr>
      <t>/X</t>
    </r>
    <r>
      <rPr>
        <vertAlign val="subscript"/>
        <sz val="11"/>
        <rFont val="Calibri"/>
        <family val="2"/>
      </rPr>
      <t>HFO</t>
    </r>
  </si>
  <si>
    <r>
      <t>-X</t>
    </r>
    <r>
      <rPr>
        <vertAlign val="subscript"/>
        <sz val="11"/>
        <rFont val="Calibri"/>
        <family val="2"/>
      </rPr>
      <t>HFO,H,P,old</t>
    </r>
    <r>
      <rPr>
        <sz val="11"/>
        <rFont val="Calibri"/>
        <family val="2"/>
      </rPr>
      <t>/X</t>
    </r>
    <r>
      <rPr>
        <vertAlign val="subscript"/>
        <sz val="11"/>
        <rFont val="Calibri"/>
        <family val="2"/>
      </rPr>
      <t>HFO</t>
    </r>
  </si>
  <si>
    <r>
      <t>-X</t>
    </r>
    <r>
      <rPr>
        <vertAlign val="subscript"/>
        <sz val="11"/>
        <rFont val="Calibri"/>
        <family val="2"/>
      </rPr>
      <t>HFO,L,P,old</t>
    </r>
    <r>
      <rPr>
        <sz val="11"/>
        <rFont val="Calibri"/>
        <family val="2"/>
      </rPr>
      <t>/X</t>
    </r>
    <r>
      <rPr>
        <vertAlign val="subscript"/>
        <sz val="11"/>
        <rFont val="Calibri"/>
        <family val="2"/>
      </rPr>
      <t>HFO</t>
    </r>
  </si>
  <si>
    <r>
      <t>q</t>
    </r>
    <r>
      <rPr>
        <vertAlign val="subscript"/>
        <sz val="11"/>
        <rFont val="Calibri"/>
        <family val="2"/>
      </rPr>
      <t>HFO,RED,T</t>
    </r>
    <r>
      <rPr>
        <sz val="11"/>
        <rFont val="Calibri"/>
        <family val="2"/>
      </rPr>
      <t xml:space="preserve"> * X</t>
    </r>
    <r>
      <rPr>
        <vertAlign val="subscript"/>
        <sz val="11"/>
        <rFont val="Calibri"/>
        <family val="2"/>
      </rPr>
      <t>HFO</t>
    </r>
    <r>
      <rPr>
        <sz val="11"/>
        <rFont val="Calibri"/>
        <family val="2"/>
      </rPr>
      <t>*Loginh</t>
    </r>
    <r>
      <rPr>
        <vertAlign val="subscript"/>
        <sz val="11"/>
        <rFont val="Calibri"/>
        <family val="2"/>
      </rPr>
      <t>ORP,HFO</t>
    </r>
    <r>
      <rPr>
        <sz val="11"/>
        <rFont val="Calibri"/>
        <family val="2"/>
      </rPr>
      <t>*(Msat</t>
    </r>
    <r>
      <rPr>
        <vertAlign val="subscript"/>
        <sz val="11"/>
        <rFont val="Calibri"/>
        <family val="2"/>
      </rPr>
      <t>SB,KSB,poly</t>
    </r>
    <r>
      <rPr>
        <sz val="11"/>
        <rFont val="Calibri"/>
        <family val="2"/>
      </rPr>
      <t>+Msat</t>
    </r>
    <r>
      <rPr>
        <vertAlign val="subscript"/>
        <sz val="11"/>
        <rFont val="Calibri"/>
        <family val="2"/>
      </rPr>
      <t>SVFA,KVFA</t>
    </r>
    <r>
      <rPr>
        <sz val="11"/>
        <rFont val="Calibri"/>
        <family val="2"/>
      </rPr>
      <t>)</t>
    </r>
  </si>
  <si>
    <r>
      <t>X</t>
    </r>
    <r>
      <rPr>
        <vertAlign val="subscript"/>
        <sz val="11"/>
        <rFont val="Calibri"/>
        <family val="2"/>
      </rPr>
      <t>HFO,P</t>
    </r>
    <r>
      <rPr>
        <sz val="11"/>
        <rFont val="Calibri"/>
        <family val="2"/>
      </rPr>
      <t>/X</t>
    </r>
    <r>
      <rPr>
        <vertAlign val="subscript"/>
        <sz val="11"/>
        <rFont val="Calibri"/>
        <family val="2"/>
      </rPr>
      <t>HFO</t>
    </r>
  </si>
  <si>
    <t>TOC calculation coefficients</t>
  </si>
  <si>
    <r>
      <t>f</t>
    </r>
    <r>
      <rPr>
        <vertAlign val="subscript"/>
        <sz val="11"/>
        <rFont val="Calibri"/>
        <family val="2"/>
        <scheme val="minor"/>
      </rPr>
      <t>TOC,1</t>
    </r>
  </si>
  <si>
    <r>
      <t>g C.g COD</t>
    </r>
    <r>
      <rPr>
        <vertAlign val="superscript"/>
        <sz val="11"/>
        <rFont val="Calibri"/>
        <family val="2"/>
        <scheme val="minor"/>
      </rPr>
      <t>-1</t>
    </r>
  </si>
  <si>
    <r>
      <t>f</t>
    </r>
    <r>
      <rPr>
        <vertAlign val="subscript"/>
        <sz val="11"/>
        <rFont val="Calibri"/>
        <family val="2"/>
        <scheme val="minor"/>
      </rPr>
      <t>TOC,2</t>
    </r>
  </si>
  <si>
    <r>
      <t>g C.m</t>
    </r>
    <r>
      <rPr>
        <vertAlign val="superscript"/>
        <sz val="11"/>
        <rFont val="Calibri"/>
        <family val="2"/>
        <scheme val="minor"/>
      </rPr>
      <t>-3</t>
    </r>
  </si>
  <si>
    <r>
      <t>T</t>
    </r>
    <r>
      <rPr>
        <vertAlign val="subscript"/>
        <sz val="11"/>
        <rFont val="Calibri"/>
        <family val="2"/>
        <charset val="238"/>
        <scheme val="minor"/>
      </rPr>
      <t>OC</t>
    </r>
  </si>
  <si>
    <t>Total organic carbon</t>
  </si>
  <si>
    <r>
      <t>Max(0;f</t>
    </r>
    <r>
      <rPr>
        <vertAlign val="subscript"/>
        <sz val="11"/>
        <rFont val="Calibri"/>
        <family val="2"/>
        <scheme val="minor"/>
      </rPr>
      <t>TOC,1</t>
    </r>
    <r>
      <rPr>
        <sz val="11"/>
        <rFont val="Calibri"/>
        <family val="2"/>
        <scheme val="minor"/>
      </rPr>
      <t>*T</t>
    </r>
    <r>
      <rPr>
        <vertAlign val="subscript"/>
        <sz val="11"/>
        <rFont val="Calibri"/>
        <family val="2"/>
        <charset val="238"/>
        <scheme val="minor"/>
      </rPr>
      <t>COD</t>
    </r>
    <r>
      <rPr>
        <sz val="11"/>
        <rFont val="Calibri"/>
        <family val="2"/>
        <scheme val="minor"/>
      </rPr>
      <t>-f</t>
    </r>
    <r>
      <rPr>
        <vertAlign val="subscript"/>
        <sz val="11"/>
        <rFont val="Calibri"/>
        <family val="2"/>
        <scheme val="minor"/>
      </rPr>
      <t>TOC,2</t>
    </r>
    <r>
      <rPr>
        <sz val="11"/>
        <rFont val="Calibri"/>
        <family val="2"/>
        <scheme val="minor"/>
      </rPr>
      <t>)</t>
    </r>
  </si>
  <si>
    <r>
      <t>g C.m</t>
    </r>
    <r>
      <rPr>
        <vertAlign val="superscript"/>
        <sz val="11"/>
        <rFont val="Calibri"/>
        <family val="2"/>
        <charset val="238"/>
        <scheme val="minor"/>
      </rPr>
      <t>-3</t>
    </r>
  </si>
  <si>
    <t>Effluent</t>
  </si>
  <si>
    <r>
      <t>q</t>
    </r>
    <r>
      <rPr>
        <vertAlign val="subscript"/>
        <sz val="11"/>
        <rFont val="Calibri"/>
        <family val="2"/>
        <scheme val="minor"/>
      </rPr>
      <t>BSH,PREC</t>
    </r>
  </si>
  <si>
    <t>Rate of brushite precipitation</t>
  </si>
  <si>
    <r>
      <t>q</t>
    </r>
    <r>
      <rPr>
        <vertAlign val="subscript"/>
        <sz val="11"/>
        <rFont val="Calibri"/>
        <family val="2"/>
        <scheme val="minor"/>
      </rPr>
      <t>BSH,DISS</t>
    </r>
  </si>
  <si>
    <t>Rate of brushite dissolution</t>
  </si>
  <si>
    <r>
      <t>K</t>
    </r>
    <r>
      <rPr>
        <vertAlign val="subscript"/>
        <sz val="11"/>
        <color indexed="8"/>
        <rFont val="Calibri"/>
        <family val="2"/>
        <scheme val="minor"/>
      </rPr>
      <t>BSH,DISS</t>
    </r>
  </si>
  <si>
    <t>Half-saturation of brushite redissolution</t>
  </si>
  <si>
    <r>
      <t>i</t>
    </r>
    <r>
      <rPr>
        <vertAlign val="subscript"/>
        <sz val="11"/>
        <rFont val="Calibri"/>
        <family val="2"/>
        <scheme val="minor"/>
      </rPr>
      <t>P,XBSH</t>
    </r>
  </si>
  <si>
    <t>P content of BSH</t>
  </si>
  <si>
    <r>
      <t>X</t>
    </r>
    <r>
      <rPr>
        <b/>
        <vertAlign val="subscript"/>
        <sz val="11"/>
        <rFont val="Calibri"/>
        <family val="2"/>
        <scheme val="minor"/>
      </rPr>
      <t>BSH</t>
    </r>
  </si>
  <si>
    <t>Brushite (BSH)</t>
  </si>
  <si>
    <r>
      <t>X</t>
    </r>
    <r>
      <rPr>
        <b/>
        <vertAlign val="subscript"/>
        <sz val="12"/>
        <rFont val="Calibri"/>
        <family val="2"/>
        <scheme val="minor"/>
      </rPr>
      <t>BSH</t>
    </r>
  </si>
  <si>
    <t>Brushite precipitation</t>
  </si>
  <si>
    <r>
      <t>-AM</t>
    </r>
    <r>
      <rPr>
        <vertAlign val="subscript"/>
        <sz val="11"/>
        <rFont val="Calibri"/>
        <family val="2"/>
      </rPr>
      <t>P</t>
    </r>
    <r>
      <rPr>
        <sz val="11"/>
        <rFont val="Calibri"/>
        <family val="2"/>
      </rPr>
      <t>/MM</t>
    </r>
    <r>
      <rPr>
        <vertAlign val="subscript"/>
        <sz val="11"/>
        <rFont val="Calibri"/>
        <family val="2"/>
      </rPr>
      <t>BSH</t>
    </r>
  </si>
  <si>
    <r>
      <t>-AM</t>
    </r>
    <r>
      <rPr>
        <vertAlign val="subscript"/>
        <sz val="11"/>
        <rFont val="Calibri"/>
        <family val="2"/>
      </rPr>
      <t>Ca</t>
    </r>
    <r>
      <rPr>
        <sz val="11"/>
        <rFont val="Calibri"/>
        <family val="2"/>
      </rPr>
      <t>/MM</t>
    </r>
    <r>
      <rPr>
        <vertAlign val="subscript"/>
        <sz val="11"/>
        <rFont val="Calibri"/>
        <family val="2"/>
      </rPr>
      <t>BSH</t>
    </r>
  </si>
  <si>
    <r>
      <t>q</t>
    </r>
    <r>
      <rPr>
        <vertAlign val="subscript"/>
        <sz val="11"/>
        <rFont val="Calibri"/>
        <family val="2"/>
      </rPr>
      <t>BSH</t>
    </r>
    <r>
      <rPr>
        <sz val="11"/>
        <rFont val="Calibri"/>
        <family val="2"/>
      </rPr>
      <t>*PrecipDrivingForce</t>
    </r>
    <r>
      <rPr>
        <vertAlign val="subscript"/>
        <sz val="11"/>
        <rFont val="Calibri"/>
        <family val="2"/>
      </rPr>
      <t>BSH</t>
    </r>
    <r>
      <rPr>
        <vertAlign val="superscript"/>
        <sz val="11"/>
        <rFont val="Calibri"/>
        <family val="2"/>
      </rPr>
      <t>^2</t>
    </r>
  </si>
  <si>
    <r>
      <t>Ca</t>
    </r>
    <r>
      <rPr>
        <sz val="11"/>
        <color indexed="8"/>
        <rFont val="Calibri"/>
        <family val="2"/>
      </rPr>
      <t>H</t>
    </r>
    <r>
      <rPr>
        <sz val="11"/>
        <color indexed="8"/>
        <rFont val="Calibri"/>
        <family val="2"/>
        <scheme val="minor"/>
      </rPr>
      <t>PO</t>
    </r>
    <r>
      <rPr>
        <vertAlign val="subscript"/>
        <sz val="11"/>
        <color indexed="8"/>
        <rFont val="Calibri"/>
        <family val="2"/>
        <scheme val="minor"/>
      </rPr>
      <t>4</t>
    </r>
    <r>
      <rPr>
        <sz val="11"/>
        <color indexed="8"/>
        <rFont val="Calibri"/>
        <family val="2"/>
        <scheme val="minor"/>
      </rPr>
      <t xml:space="preserve"> * 2H</t>
    </r>
    <r>
      <rPr>
        <vertAlign val="subscript"/>
        <sz val="11"/>
        <color indexed="8"/>
        <rFont val="Calibri"/>
        <family val="2"/>
        <scheme val="minor"/>
      </rPr>
      <t>2</t>
    </r>
    <r>
      <rPr>
        <sz val="11"/>
        <color indexed="8"/>
        <rFont val="Calibri"/>
        <family val="2"/>
        <scheme val="minor"/>
      </rPr>
      <t>O</t>
    </r>
  </si>
  <si>
    <r>
      <t>AM</t>
    </r>
    <r>
      <rPr>
        <vertAlign val="subscript"/>
        <sz val="11"/>
        <rFont val="Calibri"/>
        <family val="2"/>
        <scheme val="minor"/>
      </rPr>
      <t>P</t>
    </r>
    <r>
      <rPr>
        <sz val="11"/>
        <rFont val="Calibri"/>
        <family val="2"/>
        <scheme val="minor"/>
      </rPr>
      <t>/MM</t>
    </r>
    <r>
      <rPr>
        <vertAlign val="subscript"/>
        <sz val="11"/>
        <rFont val="Calibri"/>
        <family val="2"/>
        <scheme val="minor"/>
      </rPr>
      <t>BSH</t>
    </r>
  </si>
  <si>
    <r>
      <t>AM</t>
    </r>
    <r>
      <rPr>
        <vertAlign val="subscript"/>
        <sz val="11"/>
        <rFont val="Calibri"/>
        <family val="2"/>
        <scheme val="minor"/>
      </rPr>
      <t>Ca</t>
    </r>
    <r>
      <rPr>
        <sz val="11"/>
        <rFont val="Calibri"/>
        <family val="2"/>
        <scheme val="minor"/>
      </rPr>
      <t>/MM</t>
    </r>
    <r>
      <rPr>
        <vertAlign val="subscript"/>
        <sz val="11"/>
        <rFont val="Calibri"/>
        <family val="2"/>
        <scheme val="minor"/>
      </rPr>
      <t>BSH</t>
    </r>
  </si>
  <si>
    <r>
      <t>T</t>
    </r>
    <r>
      <rPr>
        <vertAlign val="subscript"/>
        <sz val="11"/>
        <rFont val="Calibri"/>
        <family val="2"/>
        <scheme val="minor"/>
      </rPr>
      <t>Ca</t>
    </r>
  </si>
  <si>
    <t>Total calcium</t>
  </si>
  <si>
    <r>
      <t>S</t>
    </r>
    <r>
      <rPr>
        <vertAlign val="subscript"/>
        <sz val="11"/>
        <rFont val="Calibri"/>
        <family val="2"/>
        <scheme val="minor"/>
      </rPr>
      <t>Ca</t>
    </r>
    <r>
      <rPr>
        <sz val="11"/>
        <rFont val="Calibri"/>
        <family val="2"/>
        <scheme val="minor"/>
      </rPr>
      <t>+i</t>
    </r>
    <r>
      <rPr>
        <vertAlign val="subscript"/>
        <sz val="11"/>
        <rFont val="Calibri"/>
        <family val="2"/>
        <scheme val="minor"/>
      </rPr>
      <t>Ca,PP</t>
    </r>
    <r>
      <rPr>
        <sz val="11"/>
        <rFont val="Calibri"/>
        <family val="2"/>
        <scheme val="minor"/>
      </rPr>
      <t>*AM</t>
    </r>
    <r>
      <rPr>
        <vertAlign val="subscript"/>
        <sz val="11"/>
        <rFont val="Calibri"/>
        <family val="2"/>
        <scheme val="minor"/>
      </rPr>
      <t>Ca</t>
    </r>
    <r>
      <rPr>
        <sz val="11"/>
        <rFont val="Calibri"/>
        <family val="2"/>
        <scheme val="minor"/>
      </rPr>
      <t>/AM</t>
    </r>
    <r>
      <rPr>
        <vertAlign val="subscript"/>
        <sz val="11"/>
        <rFont val="Calibri"/>
        <family val="2"/>
        <scheme val="minor"/>
      </rPr>
      <t>P</t>
    </r>
    <r>
      <rPr>
        <sz val="11"/>
        <rFont val="Calibri"/>
        <family val="2"/>
        <scheme val="minor"/>
      </rPr>
      <t>*X</t>
    </r>
    <r>
      <rPr>
        <vertAlign val="subscript"/>
        <sz val="11"/>
        <rFont val="Calibri"/>
        <family val="2"/>
        <scheme val="minor"/>
      </rPr>
      <t>PP</t>
    </r>
    <r>
      <rPr>
        <sz val="11"/>
        <rFont val="Calibri"/>
        <family val="2"/>
        <scheme val="minor"/>
      </rPr>
      <t>+i</t>
    </r>
    <r>
      <rPr>
        <vertAlign val="subscript"/>
        <sz val="11"/>
        <rFont val="Calibri"/>
        <family val="2"/>
        <scheme val="minor"/>
      </rPr>
      <t>Ca,INORG</t>
    </r>
    <r>
      <rPr>
        <sz val="11"/>
        <rFont val="Calibri"/>
        <family val="2"/>
        <scheme val="minor"/>
      </rPr>
      <t>*X</t>
    </r>
    <r>
      <rPr>
        <vertAlign val="subscript"/>
        <sz val="11"/>
        <rFont val="Calibri"/>
        <family val="2"/>
        <scheme val="minor"/>
      </rPr>
      <t>INORG</t>
    </r>
    <r>
      <rPr>
        <sz val="11"/>
        <rFont val="Calibri"/>
        <family val="2"/>
        <scheme val="minor"/>
      </rPr>
      <t>+X</t>
    </r>
    <r>
      <rPr>
        <vertAlign val="subscript"/>
        <sz val="11"/>
        <rFont val="Calibri"/>
        <family val="2"/>
        <scheme val="minor"/>
      </rPr>
      <t>ACP</t>
    </r>
    <r>
      <rPr>
        <sz val="11"/>
        <rFont val="Calibri"/>
        <family val="2"/>
        <scheme val="minor"/>
      </rPr>
      <t>*3*AM</t>
    </r>
    <r>
      <rPr>
        <vertAlign val="subscript"/>
        <sz val="11"/>
        <rFont val="Calibri"/>
        <family val="2"/>
        <scheme val="minor"/>
      </rPr>
      <t>Ca</t>
    </r>
    <r>
      <rPr>
        <sz val="11"/>
        <rFont val="Calibri"/>
        <family val="2"/>
        <scheme val="minor"/>
      </rPr>
      <t>/MM</t>
    </r>
    <r>
      <rPr>
        <vertAlign val="subscript"/>
        <sz val="11"/>
        <rFont val="Calibri"/>
        <family val="2"/>
        <scheme val="minor"/>
      </rPr>
      <t>ACP</t>
    </r>
    <r>
      <rPr>
        <sz val="11"/>
        <rFont val="Calibri"/>
        <family val="2"/>
        <scheme val="minor"/>
      </rPr>
      <t>+X</t>
    </r>
    <r>
      <rPr>
        <vertAlign val="subscript"/>
        <sz val="11"/>
        <rFont val="Calibri"/>
        <family val="2"/>
        <scheme val="minor"/>
      </rPr>
      <t>CaCO3</t>
    </r>
    <r>
      <rPr>
        <sz val="11"/>
        <rFont val="Calibri"/>
        <family val="2"/>
        <scheme val="minor"/>
      </rPr>
      <t>*AM</t>
    </r>
    <r>
      <rPr>
        <vertAlign val="subscript"/>
        <sz val="11"/>
        <rFont val="Calibri"/>
        <family val="2"/>
        <scheme val="minor"/>
      </rPr>
      <t>Ca</t>
    </r>
    <r>
      <rPr>
        <sz val="11"/>
        <rFont val="Calibri"/>
        <family val="2"/>
        <scheme val="minor"/>
      </rPr>
      <t>/MM</t>
    </r>
    <r>
      <rPr>
        <vertAlign val="subscript"/>
        <sz val="11"/>
        <rFont val="Calibri"/>
        <family val="2"/>
        <scheme val="minor"/>
      </rPr>
      <t>CaCO3</t>
    </r>
    <r>
      <rPr>
        <sz val="11"/>
        <rFont val="Calibri"/>
        <family val="2"/>
        <scheme val="minor"/>
      </rPr>
      <t>+X</t>
    </r>
    <r>
      <rPr>
        <vertAlign val="subscript"/>
        <sz val="11"/>
        <rFont val="Calibri"/>
        <family val="2"/>
        <scheme val="minor"/>
      </rPr>
      <t>BSH</t>
    </r>
    <r>
      <rPr>
        <sz val="11"/>
        <rFont val="Calibri"/>
        <family val="2"/>
        <scheme val="minor"/>
      </rPr>
      <t>*AM</t>
    </r>
    <r>
      <rPr>
        <vertAlign val="subscript"/>
        <sz val="11"/>
        <rFont val="Calibri"/>
        <family val="2"/>
        <scheme val="minor"/>
      </rPr>
      <t>Ca</t>
    </r>
    <r>
      <rPr>
        <sz val="11"/>
        <rFont val="Calibri"/>
        <family val="2"/>
        <scheme val="minor"/>
      </rPr>
      <t>/MM</t>
    </r>
    <r>
      <rPr>
        <vertAlign val="subscript"/>
        <sz val="11"/>
        <rFont val="Calibri"/>
        <family val="2"/>
        <scheme val="minor"/>
      </rPr>
      <t>BSH</t>
    </r>
  </si>
  <si>
    <r>
      <t>T</t>
    </r>
    <r>
      <rPr>
        <vertAlign val="subscript"/>
        <sz val="11"/>
        <rFont val="Calibri"/>
        <family val="2"/>
        <scheme val="minor"/>
      </rPr>
      <t>Mg</t>
    </r>
  </si>
  <si>
    <t>Total magnesium</t>
  </si>
  <si>
    <r>
      <t>S</t>
    </r>
    <r>
      <rPr>
        <vertAlign val="subscript"/>
        <sz val="11"/>
        <rFont val="Calibri"/>
        <family val="2"/>
        <scheme val="minor"/>
      </rPr>
      <t>Mg</t>
    </r>
    <r>
      <rPr>
        <sz val="11"/>
        <rFont val="Calibri"/>
        <family val="2"/>
        <scheme val="minor"/>
      </rPr>
      <t>+i</t>
    </r>
    <r>
      <rPr>
        <vertAlign val="subscript"/>
        <sz val="11"/>
        <rFont val="Calibri"/>
        <family val="2"/>
        <scheme val="minor"/>
      </rPr>
      <t>Mg,PP</t>
    </r>
    <r>
      <rPr>
        <sz val="11"/>
        <rFont val="Calibri"/>
        <family val="2"/>
        <scheme val="minor"/>
      </rPr>
      <t>*AM</t>
    </r>
    <r>
      <rPr>
        <vertAlign val="subscript"/>
        <sz val="11"/>
        <rFont val="Calibri"/>
        <family val="2"/>
        <scheme val="minor"/>
      </rPr>
      <t>Mg</t>
    </r>
    <r>
      <rPr>
        <sz val="11"/>
        <rFont val="Calibri"/>
        <family val="2"/>
        <scheme val="minor"/>
      </rPr>
      <t>/AM</t>
    </r>
    <r>
      <rPr>
        <vertAlign val="subscript"/>
        <sz val="11"/>
        <rFont val="Calibri"/>
        <family val="2"/>
        <scheme val="minor"/>
      </rPr>
      <t>P</t>
    </r>
    <r>
      <rPr>
        <sz val="11"/>
        <rFont val="Calibri"/>
        <family val="2"/>
        <scheme val="minor"/>
      </rPr>
      <t>*X</t>
    </r>
    <r>
      <rPr>
        <vertAlign val="subscript"/>
        <sz val="11"/>
        <rFont val="Calibri"/>
        <family val="2"/>
        <scheme val="minor"/>
      </rPr>
      <t>PP</t>
    </r>
    <r>
      <rPr>
        <sz val="11"/>
        <rFont val="Calibri"/>
        <family val="2"/>
        <scheme val="minor"/>
      </rPr>
      <t>+i</t>
    </r>
    <r>
      <rPr>
        <vertAlign val="subscript"/>
        <sz val="11"/>
        <rFont val="Calibri"/>
        <family val="2"/>
        <scheme val="minor"/>
      </rPr>
      <t>Mg,INORG</t>
    </r>
    <r>
      <rPr>
        <sz val="11"/>
        <rFont val="Calibri"/>
        <family val="2"/>
        <scheme val="minor"/>
      </rPr>
      <t>*X</t>
    </r>
    <r>
      <rPr>
        <vertAlign val="subscript"/>
        <sz val="11"/>
        <rFont val="Calibri"/>
        <family val="2"/>
        <scheme val="minor"/>
      </rPr>
      <t>INORG</t>
    </r>
    <r>
      <rPr>
        <sz val="11"/>
        <rFont val="Calibri"/>
        <family val="2"/>
        <scheme val="minor"/>
      </rPr>
      <t>+X</t>
    </r>
    <r>
      <rPr>
        <vertAlign val="subscript"/>
        <sz val="11"/>
        <rFont val="Calibri"/>
        <family val="2"/>
        <scheme val="minor"/>
      </rPr>
      <t>STR</t>
    </r>
    <r>
      <rPr>
        <sz val="11"/>
        <rFont val="Calibri"/>
        <family val="2"/>
        <scheme val="minor"/>
      </rPr>
      <t>*AM</t>
    </r>
    <r>
      <rPr>
        <vertAlign val="subscript"/>
        <sz val="11"/>
        <rFont val="Calibri"/>
        <family val="2"/>
        <scheme val="minor"/>
      </rPr>
      <t>Mg</t>
    </r>
    <r>
      <rPr>
        <sz val="11"/>
        <rFont val="Calibri"/>
        <family val="2"/>
        <scheme val="minor"/>
      </rPr>
      <t>/MM</t>
    </r>
    <r>
      <rPr>
        <vertAlign val="subscript"/>
        <sz val="11"/>
        <rFont val="Calibri"/>
        <family val="2"/>
        <scheme val="minor"/>
      </rPr>
      <t>STR</t>
    </r>
  </si>
  <si>
    <r>
      <t>PrecipDrivingForce</t>
    </r>
    <r>
      <rPr>
        <vertAlign val="subscript"/>
        <sz val="11"/>
        <color theme="1"/>
        <rFont val="Calibri"/>
        <family val="2"/>
        <scheme val="minor"/>
      </rPr>
      <t>BSH</t>
    </r>
  </si>
  <si>
    <t>Rate expression of brushite precipitation (driving force)</t>
  </si>
  <si>
    <r>
      <t>([Ca</t>
    </r>
    <r>
      <rPr>
        <vertAlign val="superscript"/>
        <sz val="11"/>
        <color theme="1"/>
        <rFont val="Calibri"/>
        <family val="2"/>
        <scheme val="minor"/>
      </rPr>
      <t>2+</t>
    </r>
    <r>
      <rPr>
        <sz val="11"/>
        <color theme="1"/>
        <rFont val="Calibri"/>
        <family val="2"/>
        <scheme val="minor"/>
      </rPr>
      <t>]</t>
    </r>
    <r>
      <rPr>
        <vertAlign val="superscript"/>
        <sz val="11"/>
        <color theme="1"/>
        <rFont val="Calibri"/>
        <family val="2"/>
        <scheme val="minor"/>
      </rPr>
      <t>^(1/2)</t>
    </r>
    <r>
      <rPr>
        <sz val="11"/>
        <color theme="1"/>
        <rFont val="Calibri"/>
        <family val="2"/>
        <scheme val="minor"/>
      </rPr>
      <t>*[HPO</t>
    </r>
    <r>
      <rPr>
        <vertAlign val="subscript"/>
        <sz val="11"/>
        <color theme="1"/>
        <rFont val="Calibri"/>
        <family val="2"/>
        <scheme val="minor"/>
      </rPr>
      <t>4</t>
    </r>
    <r>
      <rPr>
        <vertAlign val="superscript"/>
        <sz val="11"/>
        <color theme="1"/>
        <rFont val="Calibri"/>
        <family val="2"/>
        <scheme val="minor"/>
      </rPr>
      <t>2-</t>
    </r>
    <r>
      <rPr>
        <sz val="11"/>
        <color theme="1"/>
        <rFont val="Calibri"/>
        <family val="2"/>
        <scheme val="minor"/>
      </rPr>
      <t>]</t>
    </r>
    <r>
      <rPr>
        <vertAlign val="superscript"/>
        <sz val="11"/>
        <color theme="1"/>
        <rFont val="Calibri"/>
        <family val="2"/>
        <scheme val="minor"/>
      </rPr>
      <t>^(1/2)</t>
    </r>
    <r>
      <rPr>
        <sz val="11"/>
        <color theme="1"/>
        <rFont val="Calibri"/>
        <family val="2"/>
        <scheme val="minor"/>
      </rPr>
      <t>-K</t>
    </r>
    <r>
      <rPr>
        <vertAlign val="subscript"/>
        <sz val="11"/>
        <color theme="1"/>
        <rFont val="Calibri"/>
        <family val="2"/>
        <scheme val="minor"/>
      </rPr>
      <t>sp,BSH</t>
    </r>
    <r>
      <rPr>
        <vertAlign val="superscript"/>
        <sz val="11"/>
        <color theme="1"/>
        <rFont val="Calibri"/>
        <family val="2"/>
        <scheme val="minor"/>
      </rPr>
      <t>^(1/2)</t>
    </r>
    <r>
      <rPr>
        <sz val="11"/>
        <color theme="1"/>
        <rFont val="Calibri"/>
        <family val="2"/>
        <scheme val="minor"/>
      </rPr>
      <t>)/K</t>
    </r>
    <r>
      <rPr>
        <vertAlign val="subscript"/>
        <sz val="11"/>
        <color theme="1"/>
        <rFont val="Calibri"/>
        <family val="2"/>
        <scheme val="minor"/>
      </rPr>
      <t>sp,BSH</t>
    </r>
    <r>
      <rPr>
        <vertAlign val="superscript"/>
        <sz val="11"/>
        <color theme="1"/>
        <rFont val="Calibri"/>
        <family val="2"/>
        <scheme val="minor"/>
      </rPr>
      <t>^(1/2)</t>
    </r>
  </si>
  <si>
    <r>
      <t>q</t>
    </r>
    <r>
      <rPr>
        <vertAlign val="subscript"/>
        <sz val="11"/>
        <color theme="1"/>
        <rFont val="Calibri"/>
        <family val="2"/>
        <scheme val="minor"/>
      </rPr>
      <t>BSH</t>
    </r>
  </si>
  <si>
    <r>
      <t>If(PrecipDrivingForce</t>
    </r>
    <r>
      <rPr>
        <vertAlign val="subscript"/>
        <sz val="11"/>
        <color theme="1"/>
        <rFont val="Calibri"/>
        <family val="2"/>
        <scheme val="minor"/>
      </rPr>
      <t>BSH</t>
    </r>
    <r>
      <rPr>
        <sz val="11"/>
        <color theme="1"/>
        <rFont val="Calibri"/>
        <family val="2"/>
        <scheme val="minor"/>
      </rPr>
      <t>&gt;0;q</t>
    </r>
    <r>
      <rPr>
        <vertAlign val="subscript"/>
        <sz val="11"/>
        <color theme="1"/>
        <rFont val="Calibri"/>
        <family val="2"/>
        <scheme val="minor"/>
      </rPr>
      <t>BSH,PREC</t>
    </r>
    <r>
      <rPr>
        <sz val="11"/>
        <color theme="1"/>
        <rFont val="Calibri"/>
        <family val="2"/>
        <scheme val="minor"/>
      </rPr>
      <t>;-q</t>
    </r>
    <r>
      <rPr>
        <vertAlign val="subscript"/>
        <sz val="11"/>
        <color theme="1"/>
        <rFont val="Calibri"/>
        <family val="2"/>
        <scheme val="minor"/>
      </rPr>
      <t>BSH,DISS</t>
    </r>
    <r>
      <rPr>
        <sz val="11"/>
        <color theme="1"/>
        <rFont val="Calibri"/>
        <family val="2"/>
        <scheme val="minor"/>
      </rPr>
      <t>*Msat</t>
    </r>
    <r>
      <rPr>
        <vertAlign val="subscript"/>
        <sz val="11"/>
        <color theme="1"/>
        <rFont val="Calibri"/>
        <family val="2"/>
        <scheme val="minor"/>
      </rPr>
      <t>XBSH,KBSH,DISS</t>
    </r>
    <r>
      <rPr>
        <sz val="11"/>
        <color theme="1"/>
        <rFont val="Calibri"/>
        <family val="2"/>
        <scheme val="minor"/>
      </rPr>
      <t>)</t>
    </r>
  </si>
  <si>
    <r>
      <t>d</t>
    </r>
    <r>
      <rPr>
        <vertAlign val="superscript"/>
        <sz val="11"/>
        <color theme="1"/>
        <rFont val="Calibri"/>
        <family val="2"/>
        <charset val="238"/>
        <scheme val="minor"/>
      </rPr>
      <t>-1</t>
    </r>
  </si>
  <si>
    <r>
      <t>Msat</t>
    </r>
    <r>
      <rPr>
        <vertAlign val="subscript"/>
        <sz val="11"/>
        <rFont val="Calibri"/>
        <family val="2"/>
        <scheme val="minor"/>
      </rPr>
      <t>XBSH,KBSH,DISS</t>
    </r>
  </si>
  <si>
    <t>Saturation term for brushite dissolution</t>
  </si>
  <si>
    <r>
      <t>Msat(X</t>
    </r>
    <r>
      <rPr>
        <vertAlign val="subscript"/>
        <sz val="11"/>
        <rFont val="Calibri"/>
        <family val="2"/>
        <scheme val="minor"/>
      </rPr>
      <t>BSH</t>
    </r>
    <r>
      <rPr>
        <sz val="11"/>
        <rFont val="Calibri"/>
        <family val="2"/>
        <scheme val="minor"/>
      </rPr>
      <t>;K</t>
    </r>
    <r>
      <rPr>
        <vertAlign val="subscript"/>
        <sz val="11"/>
        <rFont val="Calibri"/>
        <family val="2"/>
        <scheme val="minor"/>
      </rPr>
      <t>BSH,DISS</t>
    </r>
    <r>
      <rPr>
        <sz val="11"/>
        <rFont val="Calibri"/>
        <family val="2"/>
        <scheme val="minor"/>
      </rPr>
      <t>)</t>
    </r>
  </si>
  <si>
    <r>
      <t>K</t>
    </r>
    <r>
      <rPr>
        <vertAlign val="subscript"/>
        <sz val="11"/>
        <rFont val="Calibri"/>
        <family val="2"/>
        <scheme val="minor"/>
      </rPr>
      <t>sp,BSH</t>
    </r>
  </si>
  <si>
    <t>Solubility constant of brushite (activity corrected)</t>
  </si>
  <si>
    <r>
      <t>K</t>
    </r>
    <r>
      <rPr>
        <vertAlign val="subscript"/>
        <sz val="11"/>
        <rFont val="Calibri"/>
        <family val="2"/>
        <scheme val="minor"/>
      </rPr>
      <t>sp,BSH,param</t>
    </r>
    <r>
      <rPr>
        <sz val="11"/>
        <rFont val="Calibri"/>
        <family val="2"/>
        <scheme val="minor"/>
      </rPr>
      <t>/(f</t>
    </r>
    <r>
      <rPr>
        <vertAlign val="subscript"/>
        <sz val="11"/>
        <rFont val="Calibri"/>
        <family val="2"/>
        <scheme val="minor"/>
      </rPr>
      <t>di</t>
    </r>
    <r>
      <rPr>
        <vertAlign val="superscript"/>
        <sz val="11"/>
        <rFont val="Calibri"/>
        <family val="2"/>
        <scheme val="minor"/>
      </rPr>
      <t>^(1/2)</t>
    </r>
    <r>
      <rPr>
        <sz val="11"/>
        <rFont val="Calibri"/>
        <family val="2"/>
        <scheme val="minor"/>
      </rPr>
      <t>*f</t>
    </r>
    <r>
      <rPr>
        <vertAlign val="subscript"/>
        <sz val="11"/>
        <rFont val="Calibri"/>
        <family val="2"/>
        <scheme val="minor"/>
      </rPr>
      <t>di</t>
    </r>
    <r>
      <rPr>
        <vertAlign val="superscript"/>
        <sz val="11"/>
        <rFont val="Calibri"/>
        <family val="2"/>
        <scheme val="minor"/>
      </rPr>
      <t>^(1/2)</t>
    </r>
    <r>
      <rPr>
        <sz val="11"/>
        <rFont val="Calibri"/>
        <family val="2"/>
        <scheme val="minor"/>
      </rPr>
      <t>)</t>
    </r>
  </si>
  <si>
    <r>
      <t>K</t>
    </r>
    <r>
      <rPr>
        <vertAlign val="subscript"/>
        <sz val="11"/>
        <rFont val="Calibri"/>
        <family val="2"/>
        <scheme val="minor"/>
      </rPr>
      <t>sp,BSH,param</t>
    </r>
  </si>
  <si>
    <t>Solubility constant of Brushite</t>
  </si>
  <si>
    <t xml:space="preserve">Musvoto et al. (2000) =10^(-6.6) </t>
  </si>
  <si>
    <r>
      <t>MM</t>
    </r>
    <r>
      <rPr>
        <vertAlign val="subscript"/>
        <sz val="11"/>
        <rFont val="Calibri"/>
        <family val="2"/>
        <scheme val="minor"/>
      </rPr>
      <t>BSH</t>
    </r>
  </si>
  <si>
    <t>Molecular mass of Brushite</t>
  </si>
  <si>
    <r>
      <t>X</t>
    </r>
    <r>
      <rPr>
        <vertAlign val="subscript"/>
        <sz val="11"/>
        <rFont val="Calibri"/>
        <family val="2"/>
        <scheme val="minor"/>
      </rPr>
      <t>CaCO3</t>
    </r>
    <r>
      <rPr>
        <sz val="11"/>
        <rFont val="Calibri"/>
        <family val="2"/>
        <scheme val="minor"/>
      </rPr>
      <t>+X</t>
    </r>
    <r>
      <rPr>
        <vertAlign val="subscript"/>
        <sz val="11"/>
        <rFont val="Calibri"/>
        <family val="2"/>
        <scheme val="minor"/>
      </rPr>
      <t>ACP</t>
    </r>
    <r>
      <rPr>
        <sz val="11"/>
        <rFont val="Calibri"/>
        <family val="2"/>
        <scheme val="minor"/>
      </rPr>
      <t>+X</t>
    </r>
    <r>
      <rPr>
        <vertAlign val="subscript"/>
        <sz val="11"/>
        <rFont val="Calibri"/>
        <family val="2"/>
        <scheme val="minor"/>
      </rPr>
      <t>STR</t>
    </r>
    <r>
      <rPr>
        <sz val="11"/>
        <rFont val="Calibri"/>
        <family val="2"/>
        <scheme val="minor"/>
      </rPr>
      <t>+X</t>
    </r>
    <r>
      <rPr>
        <vertAlign val="subscript"/>
        <sz val="11"/>
        <rFont val="Calibri"/>
        <family val="2"/>
        <scheme val="minor"/>
      </rPr>
      <t>Vivi</t>
    </r>
    <r>
      <rPr>
        <sz val="11"/>
        <rFont val="Calibri"/>
        <family val="2"/>
        <charset val="238"/>
        <scheme val="minor"/>
      </rPr>
      <t>+X</t>
    </r>
    <r>
      <rPr>
        <vertAlign val="subscript"/>
        <sz val="11"/>
        <rFont val="Calibri"/>
        <family val="2"/>
        <scheme val="minor"/>
      </rPr>
      <t>BSH</t>
    </r>
  </si>
  <si>
    <t>HAO kinetics</t>
  </si>
  <si>
    <r>
      <t>q</t>
    </r>
    <r>
      <rPr>
        <vertAlign val="subscript"/>
        <sz val="11"/>
        <rFont val="Calibri"/>
        <family val="2"/>
        <scheme val="minor"/>
      </rPr>
      <t>HAOH,AGING</t>
    </r>
  </si>
  <si>
    <r>
      <t>Rate of X</t>
    </r>
    <r>
      <rPr>
        <vertAlign val="subscript"/>
        <sz val="11"/>
        <color rgb="FF000000"/>
        <rFont val="Calibri"/>
        <family val="2"/>
        <scheme val="minor"/>
      </rPr>
      <t>HAO,H</t>
    </r>
    <r>
      <rPr>
        <sz val="11"/>
        <color rgb="FF000000"/>
        <rFont val="Calibri"/>
        <family val="2"/>
        <charset val="238"/>
        <scheme val="minor"/>
      </rPr>
      <t xml:space="preserve"> aging</t>
    </r>
  </si>
  <si>
    <r>
      <t>q</t>
    </r>
    <r>
      <rPr>
        <vertAlign val="subscript"/>
        <sz val="11"/>
        <rFont val="Calibri"/>
        <family val="2"/>
        <scheme val="minor"/>
      </rPr>
      <t>HAOL,AGING</t>
    </r>
  </si>
  <si>
    <r>
      <t>Rate of X</t>
    </r>
    <r>
      <rPr>
        <vertAlign val="subscript"/>
        <sz val="11"/>
        <color rgb="FF000000"/>
        <rFont val="Calibri"/>
        <family val="2"/>
        <scheme val="minor"/>
      </rPr>
      <t>HAO,L</t>
    </r>
    <r>
      <rPr>
        <sz val="11"/>
        <color rgb="FF000000"/>
        <rFont val="Calibri"/>
        <family val="2"/>
        <charset val="238"/>
        <scheme val="minor"/>
      </rPr>
      <t xml:space="preserve"> aging</t>
    </r>
  </si>
  <si>
    <r>
      <t>q</t>
    </r>
    <r>
      <rPr>
        <vertAlign val="subscript"/>
        <sz val="11"/>
        <rFont val="Calibri"/>
        <family val="2"/>
        <scheme val="minor"/>
      </rPr>
      <t>P,HAO,COPREC</t>
    </r>
  </si>
  <si>
    <r>
      <t>Rate of P binding and coprecipitation on X</t>
    </r>
    <r>
      <rPr>
        <vertAlign val="subscript"/>
        <sz val="11"/>
        <rFont val="Calibri"/>
        <family val="2"/>
        <scheme val="minor"/>
      </rPr>
      <t>HAO,H</t>
    </r>
  </si>
  <si>
    <r>
      <t>q</t>
    </r>
    <r>
      <rPr>
        <vertAlign val="subscript"/>
        <sz val="11"/>
        <rFont val="Calibri"/>
        <family val="2"/>
        <scheme val="minor"/>
      </rPr>
      <t>P,HAO,BIND</t>
    </r>
  </si>
  <si>
    <r>
      <t>Rate of P binding on X</t>
    </r>
    <r>
      <rPr>
        <vertAlign val="subscript"/>
        <sz val="11"/>
        <rFont val="Calibri"/>
        <family val="2"/>
        <scheme val="minor"/>
      </rPr>
      <t>HAO,L</t>
    </r>
  </si>
  <si>
    <r>
      <t>q</t>
    </r>
    <r>
      <rPr>
        <vertAlign val="subscript"/>
        <sz val="11"/>
        <rFont val="Calibri"/>
        <family val="2"/>
        <scheme val="minor"/>
      </rPr>
      <t>HAOH,DESORP</t>
    </r>
  </si>
  <si>
    <r>
      <t>Rate of X</t>
    </r>
    <r>
      <rPr>
        <vertAlign val="subscript"/>
        <sz val="11"/>
        <color rgb="FF000000"/>
        <rFont val="Calibri"/>
        <family val="2"/>
        <scheme val="minor"/>
      </rPr>
      <t>HAO,H,P</t>
    </r>
    <r>
      <rPr>
        <sz val="11"/>
        <color rgb="FF000000"/>
        <rFont val="Calibri"/>
        <family val="2"/>
        <charset val="238"/>
        <scheme val="minor"/>
      </rPr>
      <t xml:space="preserve"> desorption</t>
    </r>
  </si>
  <si>
    <r>
      <t>q</t>
    </r>
    <r>
      <rPr>
        <vertAlign val="subscript"/>
        <sz val="11"/>
        <rFont val="Calibri"/>
        <family val="2"/>
        <scheme val="minor"/>
      </rPr>
      <t>HAOL,DESORP</t>
    </r>
  </si>
  <si>
    <r>
      <t>Rate of X</t>
    </r>
    <r>
      <rPr>
        <vertAlign val="subscript"/>
        <sz val="11"/>
        <color rgb="FF000000"/>
        <rFont val="Calibri"/>
        <family val="2"/>
        <scheme val="minor"/>
      </rPr>
      <t>HAO,L,P</t>
    </r>
    <r>
      <rPr>
        <sz val="11"/>
        <color rgb="FF000000"/>
        <rFont val="Calibri"/>
        <family val="2"/>
        <charset val="238"/>
        <scheme val="minor"/>
      </rPr>
      <t xml:space="preserve"> desorption</t>
    </r>
  </si>
  <si>
    <r>
      <t>q</t>
    </r>
    <r>
      <rPr>
        <vertAlign val="subscript"/>
        <sz val="11"/>
        <rFont val="Calibri"/>
        <family val="2"/>
        <scheme val="minor"/>
      </rPr>
      <t>HAO,DISS</t>
    </r>
  </si>
  <si>
    <r>
      <t>Rate of X</t>
    </r>
    <r>
      <rPr>
        <vertAlign val="subscript"/>
        <sz val="11"/>
        <color rgb="FF000000"/>
        <rFont val="Calibri"/>
        <family val="2"/>
        <scheme val="minor"/>
      </rPr>
      <t>HAO,H,P,old</t>
    </r>
    <r>
      <rPr>
        <sz val="11"/>
        <color rgb="FF000000"/>
        <rFont val="Calibri"/>
        <family val="2"/>
        <charset val="238"/>
        <scheme val="minor"/>
      </rPr>
      <t xml:space="preserve"> and X</t>
    </r>
    <r>
      <rPr>
        <vertAlign val="subscript"/>
        <sz val="11"/>
        <color rgb="FF000000"/>
        <rFont val="Calibri"/>
        <family val="2"/>
        <scheme val="minor"/>
      </rPr>
      <t>HAO,L,P,old</t>
    </r>
    <r>
      <rPr>
        <sz val="11"/>
        <color rgb="FF000000"/>
        <rFont val="Calibri"/>
        <family val="2"/>
        <charset val="238"/>
        <scheme val="minor"/>
      </rPr>
      <t xml:space="preserve"> redissolution</t>
    </r>
  </si>
  <si>
    <r>
      <t>K</t>
    </r>
    <r>
      <rPr>
        <vertAlign val="subscript"/>
        <sz val="11"/>
        <rFont val="Calibri"/>
        <family val="2"/>
        <scheme val="minor"/>
      </rPr>
      <t>P,HAO,BIND</t>
    </r>
  </si>
  <si>
    <r>
      <t>Half-saturation of PO</t>
    </r>
    <r>
      <rPr>
        <vertAlign val="subscript"/>
        <sz val="11"/>
        <color rgb="FF000000"/>
        <rFont val="Calibri"/>
        <family val="2"/>
        <scheme val="minor"/>
      </rPr>
      <t>4</t>
    </r>
    <r>
      <rPr>
        <sz val="11"/>
        <color rgb="FF000000"/>
        <rFont val="Calibri"/>
        <family val="2"/>
        <charset val="238"/>
        <scheme val="minor"/>
      </rPr>
      <t xml:space="preserve"> for binding on HAO</t>
    </r>
  </si>
  <si>
    <r>
      <t>Ki</t>
    </r>
    <r>
      <rPr>
        <vertAlign val="subscript"/>
        <sz val="11"/>
        <rFont val="Calibri"/>
        <family val="2"/>
        <scheme val="minor"/>
      </rPr>
      <t>P,HAO,DISS</t>
    </r>
  </si>
  <si>
    <r>
      <t>Half-inhibition of PO</t>
    </r>
    <r>
      <rPr>
        <vertAlign val="subscript"/>
        <sz val="11"/>
        <color rgb="FF000000"/>
        <rFont val="Calibri"/>
        <family val="2"/>
        <scheme val="minor"/>
      </rPr>
      <t>4</t>
    </r>
    <r>
      <rPr>
        <sz val="11"/>
        <color rgb="FF000000"/>
        <rFont val="Calibri"/>
        <family val="2"/>
        <charset val="238"/>
        <scheme val="minor"/>
      </rPr>
      <t xml:space="preserve"> in HAO redissolution</t>
    </r>
  </si>
  <si>
    <r>
      <t>Ki</t>
    </r>
    <r>
      <rPr>
        <vertAlign val="subscript"/>
        <sz val="11"/>
        <rFont val="Calibri"/>
        <family val="2"/>
        <scheme val="minor"/>
      </rPr>
      <t>P,HAO,DESORP</t>
    </r>
  </si>
  <si>
    <r>
      <t>Half-inhibition of PO</t>
    </r>
    <r>
      <rPr>
        <vertAlign val="subscript"/>
        <sz val="11"/>
        <color rgb="FF000000"/>
        <rFont val="Calibri"/>
        <family val="2"/>
        <scheme val="minor"/>
      </rPr>
      <t>4</t>
    </r>
    <r>
      <rPr>
        <sz val="11"/>
        <color rgb="FF000000"/>
        <rFont val="Calibri"/>
        <family val="2"/>
        <charset val="238"/>
        <scheme val="minor"/>
      </rPr>
      <t xml:space="preserve"> in HAO desorption</t>
    </r>
  </si>
  <si>
    <t>HAO stoichiometry</t>
  </si>
  <si>
    <r>
      <t>ASF</t>
    </r>
    <r>
      <rPr>
        <vertAlign val="subscript"/>
        <sz val="11"/>
        <rFont val="Calibri"/>
        <family val="2"/>
        <scheme val="minor"/>
      </rPr>
      <t>HAO,H</t>
    </r>
  </si>
  <si>
    <t>Active site factor for HAO,H</t>
  </si>
  <si>
    <r>
      <t>mol P.mol Al</t>
    </r>
    <r>
      <rPr>
        <vertAlign val="superscript"/>
        <sz val="11"/>
        <rFont val="Calibri"/>
        <family val="2"/>
        <scheme val="minor"/>
      </rPr>
      <t>-1</t>
    </r>
  </si>
  <si>
    <t>g P / g Me</t>
  </si>
  <si>
    <r>
      <t>ASF</t>
    </r>
    <r>
      <rPr>
        <vertAlign val="subscript"/>
        <sz val="11"/>
        <rFont val="Calibri"/>
        <family val="2"/>
        <scheme val="minor"/>
      </rPr>
      <t>HAO,L</t>
    </r>
  </si>
  <si>
    <t>Active site factor for HAO,L</t>
  </si>
  <si>
    <t>g MeOH / g Me</t>
  </si>
  <si>
    <r>
      <t>f</t>
    </r>
    <r>
      <rPr>
        <vertAlign val="subscript"/>
        <sz val="11"/>
        <rFont val="Calibri"/>
        <family val="2"/>
        <scheme val="minor"/>
      </rPr>
      <t>H2O,HAO,TSS</t>
    </r>
  </si>
  <si>
    <r>
      <t>Fraction of H</t>
    </r>
    <r>
      <rPr>
        <vertAlign val="subscript"/>
        <sz val="11"/>
        <color rgb="FF000000"/>
        <rFont val="Calibri"/>
        <family val="2"/>
        <scheme val="minor"/>
      </rPr>
      <t>2</t>
    </r>
    <r>
      <rPr>
        <sz val="11"/>
        <color rgb="FF000000"/>
        <rFont val="Calibri"/>
        <family val="2"/>
        <charset val="238"/>
        <scheme val="minor"/>
      </rPr>
      <t>O loss in TSS test for HAO</t>
    </r>
  </si>
  <si>
    <r>
      <t>g H2O.g AlOH3</t>
    </r>
    <r>
      <rPr>
        <vertAlign val="superscript"/>
        <sz val="11"/>
        <rFont val="Calibri"/>
        <family val="2"/>
        <scheme val="minor"/>
      </rPr>
      <t>-1</t>
    </r>
  </si>
  <si>
    <t>g MeP / g Me</t>
  </si>
  <si>
    <r>
      <t>f</t>
    </r>
    <r>
      <rPr>
        <vertAlign val="subscript"/>
        <sz val="11"/>
        <rFont val="Calibri"/>
        <family val="2"/>
        <scheme val="minor"/>
      </rPr>
      <t>H2O,HAO,VSS</t>
    </r>
  </si>
  <si>
    <t xml:space="preserve">Fraction of H2O loss in VSS test for HAO </t>
  </si>
  <si>
    <t>2Al(OH)3 -&gt; Al2O3 + 3H2O</t>
  </si>
  <si>
    <r>
      <t>X</t>
    </r>
    <r>
      <rPr>
        <vertAlign val="subscript"/>
        <sz val="11"/>
        <rFont val="Calibri"/>
        <family val="2"/>
        <scheme val="minor"/>
      </rPr>
      <t>HAO,H</t>
    </r>
  </si>
  <si>
    <t>Active hydrous aluminium oxide, high surface (HAO,H)</t>
  </si>
  <si>
    <r>
      <t>g Al.m</t>
    </r>
    <r>
      <rPr>
        <vertAlign val="superscript"/>
        <sz val="11"/>
        <rFont val="Calibri"/>
        <family val="2"/>
      </rPr>
      <t>-3</t>
    </r>
  </si>
  <si>
    <r>
      <t>X</t>
    </r>
    <r>
      <rPr>
        <vertAlign val="subscript"/>
        <sz val="11"/>
        <rFont val="Calibri"/>
        <family val="2"/>
        <scheme val="minor"/>
      </rPr>
      <t>HAO,L</t>
    </r>
  </si>
  <si>
    <t>Active hydrous aluminium oxide, low surface (HAO,L)</t>
  </si>
  <si>
    <r>
      <t>X</t>
    </r>
    <r>
      <rPr>
        <vertAlign val="subscript"/>
        <sz val="11"/>
        <rFont val="Calibri"/>
        <family val="2"/>
        <scheme val="minor"/>
      </rPr>
      <t>HAO,old</t>
    </r>
  </si>
  <si>
    <t>Aged unused hydrous aluminium oxide (HAO,old)</t>
  </si>
  <si>
    <r>
      <t>X</t>
    </r>
    <r>
      <rPr>
        <vertAlign val="subscript"/>
        <sz val="11"/>
        <rFont val="Calibri"/>
        <family val="2"/>
        <scheme val="minor"/>
      </rPr>
      <t>HAO,H,P</t>
    </r>
  </si>
  <si>
    <t>P-bound hydrous aluminium oxide, high surface (HAO,H,P)</t>
  </si>
  <si>
    <r>
      <t>X</t>
    </r>
    <r>
      <rPr>
        <vertAlign val="subscript"/>
        <sz val="11"/>
        <rFont val="Calibri"/>
        <family val="2"/>
        <scheme val="minor"/>
      </rPr>
      <t>HAO,L,P</t>
    </r>
  </si>
  <si>
    <t>P-bound hydrous aluminium oxide, low surface (HAO,L,P)</t>
  </si>
  <si>
    <r>
      <t>X</t>
    </r>
    <r>
      <rPr>
        <vertAlign val="subscript"/>
        <sz val="11"/>
        <rFont val="Calibri"/>
        <family val="2"/>
      </rPr>
      <t>HAO,H,P,old</t>
    </r>
  </si>
  <si>
    <t>Aged P-bound hydrous aluminium oxide, high surface (HAO,H,P,old)</t>
  </si>
  <si>
    <r>
      <t>X</t>
    </r>
    <r>
      <rPr>
        <vertAlign val="subscript"/>
        <sz val="11"/>
        <rFont val="Calibri"/>
        <family val="2"/>
      </rPr>
      <t>HAO,L,P,old</t>
    </r>
  </si>
  <si>
    <t>Aged P-bound hydrous aluminium oxide, low surface (HAO,L,P,old)</t>
  </si>
  <si>
    <r>
      <t>X</t>
    </r>
    <r>
      <rPr>
        <b/>
        <vertAlign val="subscript"/>
        <sz val="11"/>
        <rFont val="Calibri"/>
        <family val="2"/>
        <scheme val="minor"/>
      </rPr>
      <t>HAO,H</t>
    </r>
  </si>
  <si>
    <r>
      <t>X</t>
    </r>
    <r>
      <rPr>
        <b/>
        <vertAlign val="subscript"/>
        <sz val="11"/>
        <rFont val="Calibri"/>
        <family val="2"/>
        <scheme val="minor"/>
      </rPr>
      <t>HAO,L</t>
    </r>
  </si>
  <si>
    <r>
      <t>X</t>
    </r>
    <r>
      <rPr>
        <b/>
        <vertAlign val="subscript"/>
        <sz val="11"/>
        <rFont val="Calibri"/>
        <family val="2"/>
        <scheme val="minor"/>
      </rPr>
      <t>HAO,old</t>
    </r>
  </si>
  <si>
    <r>
      <t>X</t>
    </r>
    <r>
      <rPr>
        <b/>
        <vertAlign val="subscript"/>
        <sz val="11"/>
        <rFont val="Calibri"/>
        <family val="2"/>
        <scheme val="minor"/>
      </rPr>
      <t>HAO,H,P</t>
    </r>
  </si>
  <si>
    <r>
      <t>X</t>
    </r>
    <r>
      <rPr>
        <b/>
        <vertAlign val="subscript"/>
        <sz val="11"/>
        <rFont val="Calibri"/>
        <family val="2"/>
        <scheme val="minor"/>
      </rPr>
      <t>HAO,L,P</t>
    </r>
  </si>
  <si>
    <r>
      <t>X</t>
    </r>
    <r>
      <rPr>
        <b/>
        <vertAlign val="subscript"/>
        <sz val="11"/>
        <rFont val="Calibri"/>
        <family val="2"/>
      </rPr>
      <t>HAO,H,P,old</t>
    </r>
  </si>
  <si>
    <r>
      <t>X</t>
    </r>
    <r>
      <rPr>
        <b/>
        <vertAlign val="subscript"/>
        <sz val="11"/>
        <rFont val="Calibri"/>
        <family val="2"/>
      </rPr>
      <t>HAO,L,P,old</t>
    </r>
  </si>
  <si>
    <r>
      <t>ASF</t>
    </r>
    <r>
      <rPr>
        <vertAlign val="subscript"/>
        <sz val="11"/>
        <rFont val="Calibri"/>
        <family val="2"/>
        <scheme val="minor"/>
      </rPr>
      <t>HAO,H</t>
    </r>
    <r>
      <rPr>
        <sz val="11"/>
        <rFont val="Calibri"/>
        <family val="2"/>
        <scheme val="minor"/>
      </rPr>
      <t>*(AM</t>
    </r>
    <r>
      <rPr>
        <vertAlign val="subscript"/>
        <sz val="11"/>
        <rFont val="Calibri"/>
        <family val="2"/>
        <scheme val="minor"/>
      </rPr>
      <t>P</t>
    </r>
    <r>
      <rPr>
        <sz val="11"/>
        <rFont val="Calibri"/>
        <family val="2"/>
        <scheme val="minor"/>
      </rPr>
      <t>/AM</t>
    </r>
    <r>
      <rPr>
        <vertAlign val="subscript"/>
        <sz val="11"/>
        <rFont val="Calibri"/>
        <family val="2"/>
        <scheme val="minor"/>
      </rPr>
      <t>Al</t>
    </r>
    <r>
      <rPr>
        <sz val="11"/>
        <rFont val="Calibri"/>
        <family val="2"/>
        <scheme val="minor"/>
      </rPr>
      <t>)</t>
    </r>
  </si>
  <si>
    <r>
      <t>ASF</t>
    </r>
    <r>
      <rPr>
        <vertAlign val="subscript"/>
        <sz val="11"/>
        <rFont val="Calibri"/>
        <family val="2"/>
        <scheme val="minor"/>
      </rPr>
      <t>HAO,L</t>
    </r>
    <r>
      <rPr>
        <sz val="11"/>
        <rFont val="Calibri"/>
        <family val="2"/>
        <scheme val="minor"/>
      </rPr>
      <t>*(AM</t>
    </r>
    <r>
      <rPr>
        <vertAlign val="subscript"/>
        <sz val="11"/>
        <rFont val="Calibri"/>
        <family val="2"/>
        <scheme val="minor"/>
      </rPr>
      <t>P</t>
    </r>
    <r>
      <rPr>
        <sz val="11"/>
        <rFont val="Calibri"/>
        <family val="2"/>
        <scheme val="minor"/>
      </rPr>
      <t>/AM</t>
    </r>
    <r>
      <rPr>
        <vertAlign val="subscript"/>
        <sz val="11"/>
        <rFont val="Calibri"/>
        <family val="2"/>
        <scheme val="minor"/>
      </rPr>
      <t>Al</t>
    </r>
    <r>
      <rPr>
        <sz val="11"/>
        <rFont val="Calibri"/>
        <family val="2"/>
        <scheme val="minor"/>
      </rPr>
      <t>)</t>
    </r>
  </si>
  <si>
    <t>Aging of active HAO,H</t>
  </si>
  <si>
    <r>
      <t>-X</t>
    </r>
    <r>
      <rPr>
        <vertAlign val="subscript"/>
        <sz val="11"/>
        <rFont val="Calibri"/>
        <family val="2"/>
      </rPr>
      <t>HAO,H</t>
    </r>
    <r>
      <rPr>
        <sz val="11"/>
        <rFont val="Calibri"/>
        <family val="2"/>
      </rPr>
      <t>/(X</t>
    </r>
    <r>
      <rPr>
        <vertAlign val="subscript"/>
        <sz val="11"/>
        <rFont val="Calibri"/>
        <family val="2"/>
      </rPr>
      <t>HAO,H</t>
    </r>
    <r>
      <rPr>
        <sz val="11"/>
        <rFont val="Calibri"/>
        <family val="2"/>
      </rPr>
      <t>+X</t>
    </r>
    <r>
      <rPr>
        <vertAlign val="subscript"/>
        <sz val="11"/>
        <rFont val="Calibri"/>
        <family val="2"/>
      </rPr>
      <t>HAO,H,P</t>
    </r>
    <r>
      <rPr>
        <sz val="11"/>
        <rFont val="Calibri"/>
        <family val="2"/>
      </rPr>
      <t>)</t>
    </r>
  </si>
  <si>
    <r>
      <t>X</t>
    </r>
    <r>
      <rPr>
        <vertAlign val="subscript"/>
        <sz val="11"/>
        <rFont val="Calibri"/>
        <family val="2"/>
      </rPr>
      <t>HAO,H</t>
    </r>
    <r>
      <rPr>
        <sz val="11"/>
        <rFont val="Calibri"/>
        <family val="2"/>
      </rPr>
      <t>/(X</t>
    </r>
    <r>
      <rPr>
        <vertAlign val="subscript"/>
        <sz val="11"/>
        <rFont val="Calibri"/>
        <family val="2"/>
      </rPr>
      <t>HAO,H</t>
    </r>
    <r>
      <rPr>
        <sz val="11"/>
        <rFont val="Calibri"/>
        <family val="2"/>
      </rPr>
      <t>+X</t>
    </r>
    <r>
      <rPr>
        <vertAlign val="subscript"/>
        <sz val="11"/>
        <rFont val="Calibri"/>
        <family val="2"/>
      </rPr>
      <t>HAO,H,P</t>
    </r>
    <r>
      <rPr>
        <sz val="11"/>
        <rFont val="Calibri"/>
        <family val="2"/>
      </rPr>
      <t>)</t>
    </r>
  </si>
  <si>
    <r>
      <t>-X</t>
    </r>
    <r>
      <rPr>
        <vertAlign val="subscript"/>
        <sz val="11"/>
        <rFont val="Calibri"/>
        <family val="2"/>
      </rPr>
      <t>HAO,H,P</t>
    </r>
    <r>
      <rPr>
        <sz val="11"/>
        <rFont val="Calibri"/>
        <family val="2"/>
      </rPr>
      <t>/(X</t>
    </r>
    <r>
      <rPr>
        <vertAlign val="subscript"/>
        <sz val="11"/>
        <rFont val="Calibri"/>
        <family val="2"/>
      </rPr>
      <t>HAO,H</t>
    </r>
    <r>
      <rPr>
        <sz val="11"/>
        <rFont val="Calibri"/>
        <family val="2"/>
      </rPr>
      <t>+X</t>
    </r>
    <r>
      <rPr>
        <vertAlign val="subscript"/>
        <sz val="11"/>
        <rFont val="Calibri"/>
        <family val="2"/>
      </rPr>
      <t>HAO,H,P</t>
    </r>
    <r>
      <rPr>
        <sz val="11"/>
        <rFont val="Calibri"/>
        <family val="2"/>
      </rPr>
      <t>)</t>
    </r>
  </si>
  <si>
    <r>
      <t>X</t>
    </r>
    <r>
      <rPr>
        <vertAlign val="subscript"/>
        <sz val="11"/>
        <rFont val="Calibri"/>
        <family val="2"/>
      </rPr>
      <t>HAO,H,P</t>
    </r>
    <r>
      <rPr>
        <sz val="11"/>
        <rFont val="Calibri"/>
        <family val="2"/>
      </rPr>
      <t>/(X</t>
    </r>
    <r>
      <rPr>
        <vertAlign val="subscript"/>
        <sz val="11"/>
        <rFont val="Calibri"/>
        <family val="2"/>
      </rPr>
      <t>HAO,H</t>
    </r>
    <r>
      <rPr>
        <sz val="11"/>
        <rFont val="Calibri"/>
        <family val="2"/>
      </rPr>
      <t>+X</t>
    </r>
    <r>
      <rPr>
        <vertAlign val="subscript"/>
        <sz val="11"/>
        <rFont val="Calibri"/>
        <family val="2"/>
      </rPr>
      <t>HAO,H,P</t>
    </r>
    <r>
      <rPr>
        <sz val="11"/>
        <rFont val="Calibri"/>
        <family val="2"/>
      </rPr>
      <t>)</t>
    </r>
  </si>
  <si>
    <r>
      <t>q</t>
    </r>
    <r>
      <rPr>
        <vertAlign val="subscript"/>
        <sz val="11"/>
        <rFont val="Calibri"/>
        <family val="2"/>
      </rPr>
      <t>HAOH,AGING</t>
    </r>
    <r>
      <rPr>
        <sz val="11"/>
        <rFont val="Calibri"/>
        <family val="2"/>
      </rPr>
      <t xml:space="preserve"> *(X</t>
    </r>
    <r>
      <rPr>
        <vertAlign val="subscript"/>
        <sz val="11"/>
        <rFont val="Calibri"/>
        <family val="2"/>
      </rPr>
      <t>HAO,H</t>
    </r>
    <r>
      <rPr>
        <sz val="11"/>
        <rFont val="Calibri"/>
        <family val="2"/>
      </rPr>
      <t>+X</t>
    </r>
    <r>
      <rPr>
        <vertAlign val="subscript"/>
        <sz val="11"/>
        <rFont val="Calibri"/>
        <family val="2"/>
      </rPr>
      <t>HAO,H,P</t>
    </r>
    <r>
      <rPr>
        <sz val="11"/>
        <rFont val="Calibri"/>
        <family val="2"/>
      </rPr>
      <t>)</t>
    </r>
  </si>
  <si>
    <t>Aging of active HAO,L</t>
  </si>
  <si>
    <r>
      <t>-X</t>
    </r>
    <r>
      <rPr>
        <vertAlign val="subscript"/>
        <sz val="11"/>
        <rFont val="Calibri"/>
        <family val="2"/>
      </rPr>
      <t>HAO,L</t>
    </r>
    <r>
      <rPr>
        <sz val="11"/>
        <rFont val="Calibri"/>
        <family val="2"/>
      </rPr>
      <t>/(X</t>
    </r>
    <r>
      <rPr>
        <vertAlign val="subscript"/>
        <sz val="11"/>
        <rFont val="Calibri"/>
        <family val="2"/>
      </rPr>
      <t>HAO,L</t>
    </r>
    <r>
      <rPr>
        <sz val="11"/>
        <rFont val="Calibri"/>
        <family val="2"/>
      </rPr>
      <t>+X</t>
    </r>
    <r>
      <rPr>
        <vertAlign val="subscript"/>
        <sz val="11"/>
        <rFont val="Calibri"/>
        <family val="2"/>
      </rPr>
      <t>HAO,L,P</t>
    </r>
    <r>
      <rPr>
        <sz val="11"/>
        <rFont val="Calibri"/>
        <family val="2"/>
      </rPr>
      <t>)</t>
    </r>
  </si>
  <si>
    <r>
      <t>X</t>
    </r>
    <r>
      <rPr>
        <vertAlign val="subscript"/>
        <sz val="11"/>
        <rFont val="Calibri"/>
        <family val="2"/>
      </rPr>
      <t>HAO,L</t>
    </r>
    <r>
      <rPr>
        <sz val="11"/>
        <rFont val="Calibri"/>
        <family val="2"/>
      </rPr>
      <t>/(X</t>
    </r>
    <r>
      <rPr>
        <vertAlign val="subscript"/>
        <sz val="11"/>
        <rFont val="Calibri"/>
        <family val="2"/>
      </rPr>
      <t>HAO,L</t>
    </r>
    <r>
      <rPr>
        <sz val="11"/>
        <rFont val="Calibri"/>
        <family val="2"/>
      </rPr>
      <t>+X</t>
    </r>
    <r>
      <rPr>
        <vertAlign val="subscript"/>
        <sz val="11"/>
        <rFont val="Calibri"/>
        <family val="2"/>
      </rPr>
      <t>HAO,L,P</t>
    </r>
    <r>
      <rPr>
        <sz val="11"/>
        <rFont val="Calibri"/>
        <family val="2"/>
      </rPr>
      <t>)</t>
    </r>
  </si>
  <si>
    <r>
      <t>-X</t>
    </r>
    <r>
      <rPr>
        <vertAlign val="subscript"/>
        <sz val="11"/>
        <rFont val="Calibri"/>
        <family val="2"/>
      </rPr>
      <t>HAO,L,P</t>
    </r>
    <r>
      <rPr>
        <sz val="11"/>
        <rFont val="Calibri"/>
        <family val="2"/>
      </rPr>
      <t>/(X</t>
    </r>
    <r>
      <rPr>
        <vertAlign val="subscript"/>
        <sz val="11"/>
        <rFont val="Calibri"/>
        <family val="2"/>
      </rPr>
      <t>HAO,L</t>
    </r>
    <r>
      <rPr>
        <sz val="11"/>
        <rFont val="Calibri"/>
        <family val="2"/>
      </rPr>
      <t>+X</t>
    </r>
    <r>
      <rPr>
        <vertAlign val="subscript"/>
        <sz val="11"/>
        <rFont val="Calibri"/>
        <family val="2"/>
      </rPr>
      <t>HAO,L,P</t>
    </r>
    <r>
      <rPr>
        <sz val="11"/>
        <rFont val="Calibri"/>
        <family val="2"/>
      </rPr>
      <t>)</t>
    </r>
  </si>
  <si>
    <r>
      <t>X</t>
    </r>
    <r>
      <rPr>
        <vertAlign val="subscript"/>
        <sz val="11"/>
        <rFont val="Calibri"/>
        <family val="2"/>
      </rPr>
      <t>HAO,L,P</t>
    </r>
    <r>
      <rPr>
        <sz val="11"/>
        <rFont val="Calibri"/>
        <family val="2"/>
      </rPr>
      <t>/(X</t>
    </r>
    <r>
      <rPr>
        <vertAlign val="subscript"/>
        <sz val="11"/>
        <rFont val="Calibri"/>
        <family val="2"/>
      </rPr>
      <t>HAO,L</t>
    </r>
    <r>
      <rPr>
        <sz val="11"/>
        <rFont val="Calibri"/>
        <family val="2"/>
      </rPr>
      <t>+X</t>
    </r>
    <r>
      <rPr>
        <vertAlign val="subscript"/>
        <sz val="11"/>
        <rFont val="Calibri"/>
        <family val="2"/>
      </rPr>
      <t>HAO,L,P</t>
    </r>
    <r>
      <rPr>
        <sz val="11"/>
        <rFont val="Calibri"/>
        <family val="2"/>
      </rPr>
      <t>)</t>
    </r>
  </si>
  <si>
    <r>
      <t>q</t>
    </r>
    <r>
      <rPr>
        <vertAlign val="subscript"/>
        <sz val="11"/>
        <rFont val="Calibri"/>
        <family val="2"/>
      </rPr>
      <t>HAOL,AGING</t>
    </r>
    <r>
      <rPr>
        <sz val="11"/>
        <rFont val="Calibri"/>
        <family val="2"/>
      </rPr>
      <t xml:space="preserve"> *(X</t>
    </r>
    <r>
      <rPr>
        <vertAlign val="subscript"/>
        <sz val="11"/>
        <rFont val="Calibri"/>
        <family val="2"/>
      </rPr>
      <t>HAO,L</t>
    </r>
    <r>
      <rPr>
        <sz val="11"/>
        <rFont val="Calibri"/>
        <family val="2"/>
      </rPr>
      <t>+X</t>
    </r>
    <r>
      <rPr>
        <vertAlign val="subscript"/>
        <sz val="11"/>
        <rFont val="Calibri"/>
        <family val="2"/>
      </rPr>
      <t>HAO,L,P</t>
    </r>
    <r>
      <rPr>
        <sz val="11"/>
        <rFont val="Calibri"/>
        <family val="2"/>
      </rPr>
      <t>)</t>
    </r>
  </si>
  <si>
    <t>Fast binding of P on active HAO,H</t>
  </si>
  <si>
    <r>
      <t>-1/(ASF</t>
    </r>
    <r>
      <rPr>
        <vertAlign val="subscript"/>
        <sz val="11"/>
        <rFont val="Calibri"/>
        <family val="2"/>
      </rPr>
      <t>HAO,H</t>
    </r>
    <r>
      <rPr>
        <sz val="11"/>
        <rFont val="Calibri"/>
        <family val="2"/>
      </rPr>
      <t>*(AM</t>
    </r>
    <r>
      <rPr>
        <vertAlign val="subscript"/>
        <sz val="11"/>
        <rFont val="Calibri"/>
        <family val="2"/>
      </rPr>
      <t>P</t>
    </r>
    <r>
      <rPr>
        <sz val="11"/>
        <rFont val="Calibri"/>
        <family val="2"/>
      </rPr>
      <t>/AM</t>
    </r>
    <r>
      <rPr>
        <vertAlign val="subscript"/>
        <sz val="11"/>
        <rFont val="Calibri"/>
        <family val="2"/>
      </rPr>
      <t>Al</t>
    </r>
    <r>
      <rPr>
        <sz val="11"/>
        <rFont val="Calibri"/>
        <family val="2"/>
      </rPr>
      <t>))</t>
    </r>
  </si>
  <si>
    <r>
      <t>1/(ASF</t>
    </r>
    <r>
      <rPr>
        <vertAlign val="subscript"/>
        <sz val="11"/>
        <rFont val="Calibri"/>
        <family val="2"/>
      </rPr>
      <t>HAO,H</t>
    </r>
    <r>
      <rPr>
        <sz val="11"/>
        <rFont val="Calibri"/>
        <family val="2"/>
      </rPr>
      <t>*(AM</t>
    </r>
    <r>
      <rPr>
        <vertAlign val="subscript"/>
        <sz val="11"/>
        <rFont val="Calibri"/>
        <family val="2"/>
      </rPr>
      <t>P</t>
    </r>
    <r>
      <rPr>
        <sz val="11"/>
        <rFont val="Calibri"/>
        <family val="2"/>
      </rPr>
      <t>/AM</t>
    </r>
    <r>
      <rPr>
        <vertAlign val="subscript"/>
        <sz val="11"/>
        <rFont val="Calibri"/>
        <family val="2"/>
      </rPr>
      <t>Al</t>
    </r>
    <r>
      <rPr>
        <sz val="11"/>
        <rFont val="Calibri"/>
        <family val="2"/>
      </rPr>
      <t>))</t>
    </r>
  </si>
  <si>
    <r>
      <t>q</t>
    </r>
    <r>
      <rPr>
        <vertAlign val="subscript"/>
        <sz val="11"/>
        <rFont val="Calibri"/>
        <family val="2"/>
      </rPr>
      <t>P,HAO,COPREC</t>
    </r>
    <r>
      <rPr>
        <sz val="11"/>
        <rFont val="Calibri"/>
        <family val="2"/>
      </rPr>
      <t>*X</t>
    </r>
    <r>
      <rPr>
        <vertAlign val="subscript"/>
        <sz val="11"/>
        <rFont val="Calibri"/>
        <family val="2"/>
      </rPr>
      <t>HAO,H</t>
    </r>
    <r>
      <rPr>
        <sz val="11"/>
        <rFont val="Calibri"/>
        <family val="2"/>
      </rPr>
      <t>*Msat</t>
    </r>
    <r>
      <rPr>
        <vertAlign val="subscript"/>
        <sz val="11"/>
        <rFont val="Calibri"/>
        <family val="2"/>
      </rPr>
      <t>SPO4,KP,HAO,BIND</t>
    </r>
  </si>
  <si>
    <t>Slow binding of P on active HAO,L</t>
  </si>
  <si>
    <r>
      <t>-1/(ASF</t>
    </r>
    <r>
      <rPr>
        <vertAlign val="subscript"/>
        <sz val="11"/>
        <rFont val="Calibri"/>
        <family val="2"/>
      </rPr>
      <t>HAO,L</t>
    </r>
    <r>
      <rPr>
        <sz val="11"/>
        <rFont val="Calibri"/>
        <family val="2"/>
      </rPr>
      <t>*(AM</t>
    </r>
    <r>
      <rPr>
        <vertAlign val="subscript"/>
        <sz val="11"/>
        <rFont val="Calibri"/>
        <family val="2"/>
      </rPr>
      <t>P</t>
    </r>
    <r>
      <rPr>
        <sz val="11"/>
        <rFont val="Calibri"/>
        <family val="2"/>
      </rPr>
      <t>/AM</t>
    </r>
    <r>
      <rPr>
        <vertAlign val="subscript"/>
        <sz val="11"/>
        <rFont val="Calibri"/>
        <family val="2"/>
      </rPr>
      <t>Al</t>
    </r>
    <r>
      <rPr>
        <sz val="11"/>
        <rFont val="Calibri"/>
        <family val="2"/>
      </rPr>
      <t>))</t>
    </r>
  </si>
  <si>
    <r>
      <t>1/(ASF</t>
    </r>
    <r>
      <rPr>
        <vertAlign val="subscript"/>
        <sz val="11"/>
        <rFont val="Calibri"/>
        <family val="2"/>
      </rPr>
      <t>HAO,L</t>
    </r>
    <r>
      <rPr>
        <sz val="11"/>
        <rFont val="Calibri"/>
        <family val="2"/>
      </rPr>
      <t>*(AM</t>
    </r>
    <r>
      <rPr>
        <vertAlign val="subscript"/>
        <sz val="11"/>
        <rFont val="Calibri"/>
        <family val="2"/>
      </rPr>
      <t>P</t>
    </r>
    <r>
      <rPr>
        <sz val="11"/>
        <rFont val="Calibri"/>
        <family val="2"/>
      </rPr>
      <t>/AM</t>
    </r>
    <r>
      <rPr>
        <vertAlign val="subscript"/>
        <sz val="11"/>
        <rFont val="Calibri"/>
        <family val="2"/>
      </rPr>
      <t>Al</t>
    </r>
    <r>
      <rPr>
        <sz val="11"/>
        <rFont val="Calibri"/>
        <family val="2"/>
      </rPr>
      <t>))</t>
    </r>
  </si>
  <si>
    <r>
      <t>q</t>
    </r>
    <r>
      <rPr>
        <vertAlign val="subscript"/>
        <sz val="11"/>
        <rFont val="Calibri"/>
        <family val="2"/>
      </rPr>
      <t>P,HAO,BIND</t>
    </r>
    <r>
      <rPr>
        <sz val="11"/>
        <rFont val="Calibri"/>
        <family val="2"/>
      </rPr>
      <t>*X</t>
    </r>
    <r>
      <rPr>
        <vertAlign val="subscript"/>
        <sz val="11"/>
        <rFont val="Calibri"/>
        <family val="2"/>
      </rPr>
      <t>HAO,L</t>
    </r>
    <r>
      <rPr>
        <sz val="11"/>
        <rFont val="Calibri"/>
        <family val="2"/>
      </rPr>
      <t>*Msat</t>
    </r>
    <r>
      <rPr>
        <vertAlign val="subscript"/>
        <sz val="11"/>
        <rFont val="Calibri"/>
        <family val="2"/>
      </rPr>
      <t>SPO4,KP,HAO,BIND</t>
    </r>
  </si>
  <si>
    <r>
      <t>Desorption of P from X</t>
    </r>
    <r>
      <rPr>
        <vertAlign val="subscript"/>
        <sz val="11"/>
        <color rgb="FF000000"/>
        <rFont val="Calibri"/>
        <family val="2"/>
        <scheme val="minor"/>
      </rPr>
      <t>HAO,H,P</t>
    </r>
  </si>
  <si>
    <r>
      <t>(ASF</t>
    </r>
    <r>
      <rPr>
        <vertAlign val="subscript"/>
        <sz val="11"/>
        <rFont val="Calibri"/>
        <family val="2"/>
      </rPr>
      <t>HAO,H</t>
    </r>
    <r>
      <rPr>
        <sz val="11"/>
        <rFont val="Calibri"/>
        <family val="2"/>
      </rPr>
      <t>*(AM</t>
    </r>
    <r>
      <rPr>
        <vertAlign val="subscript"/>
        <sz val="11"/>
        <rFont val="Calibri"/>
        <family val="2"/>
      </rPr>
      <t>P</t>
    </r>
    <r>
      <rPr>
        <sz val="11"/>
        <rFont val="Calibri"/>
        <family val="2"/>
      </rPr>
      <t>/AM</t>
    </r>
    <r>
      <rPr>
        <vertAlign val="subscript"/>
        <sz val="11"/>
        <rFont val="Calibri"/>
        <family val="2"/>
      </rPr>
      <t>Al</t>
    </r>
    <r>
      <rPr>
        <sz val="11"/>
        <rFont val="Calibri"/>
        <family val="2"/>
      </rPr>
      <t>))</t>
    </r>
  </si>
  <si>
    <r>
      <t>q</t>
    </r>
    <r>
      <rPr>
        <vertAlign val="subscript"/>
        <sz val="11"/>
        <rFont val="Calibri"/>
        <family val="2"/>
      </rPr>
      <t>HAOH,DESORP</t>
    </r>
    <r>
      <rPr>
        <sz val="11"/>
        <rFont val="Calibri"/>
        <family val="2"/>
      </rPr>
      <t>*X</t>
    </r>
    <r>
      <rPr>
        <vertAlign val="subscript"/>
        <sz val="11"/>
        <rFont val="Calibri"/>
        <family val="2"/>
      </rPr>
      <t>HAO,H,P</t>
    </r>
    <r>
      <rPr>
        <sz val="11"/>
        <rFont val="Calibri"/>
        <family val="2"/>
      </rPr>
      <t>*Minh</t>
    </r>
    <r>
      <rPr>
        <vertAlign val="subscript"/>
        <sz val="11"/>
        <rFont val="Calibri"/>
        <family val="2"/>
      </rPr>
      <t>SPO4,KiP,HAO,DESORP</t>
    </r>
  </si>
  <si>
    <r>
      <t>Desorption of P from X</t>
    </r>
    <r>
      <rPr>
        <vertAlign val="subscript"/>
        <sz val="11"/>
        <color rgb="FF000000"/>
        <rFont val="Calibri"/>
        <family val="2"/>
        <scheme val="minor"/>
      </rPr>
      <t>HAO,L,P</t>
    </r>
  </si>
  <si>
    <r>
      <t>(ASF</t>
    </r>
    <r>
      <rPr>
        <vertAlign val="subscript"/>
        <sz val="11"/>
        <rFont val="Calibri"/>
        <family val="2"/>
      </rPr>
      <t>HAO,L</t>
    </r>
    <r>
      <rPr>
        <sz val="11"/>
        <rFont val="Calibri"/>
        <family val="2"/>
      </rPr>
      <t>*(AM</t>
    </r>
    <r>
      <rPr>
        <vertAlign val="subscript"/>
        <sz val="11"/>
        <rFont val="Calibri"/>
        <family val="2"/>
      </rPr>
      <t>P</t>
    </r>
    <r>
      <rPr>
        <sz val="11"/>
        <rFont val="Calibri"/>
        <family val="2"/>
      </rPr>
      <t>/AM</t>
    </r>
    <r>
      <rPr>
        <vertAlign val="subscript"/>
        <sz val="11"/>
        <rFont val="Calibri"/>
        <family val="2"/>
      </rPr>
      <t>Al</t>
    </r>
    <r>
      <rPr>
        <sz val="11"/>
        <rFont val="Calibri"/>
        <family val="2"/>
      </rPr>
      <t>))</t>
    </r>
  </si>
  <si>
    <r>
      <t>q</t>
    </r>
    <r>
      <rPr>
        <vertAlign val="subscript"/>
        <sz val="11"/>
        <rFont val="Calibri"/>
        <family val="2"/>
      </rPr>
      <t>HAOL,DESORP</t>
    </r>
    <r>
      <rPr>
        <sz val="11"/>
        <rFont val="Calibri"/>
        <family val="2"/>
      </rPr>
      <t>*X</t>
    </r>
    <r>
      <rPr>
        <vertAlign val="subscript"/>
        <sz val="11"/>
        <rFont val="Calibri"/>
        <family val="2"/>
      </rPr>
      <t>HAO,L,P</t>
    </r>
    <r>
      <rPr>
        <sz val="11"/>
        <rFont val="Calibri"/>
        <family val="2"/>
      </rPr>
      <t>*Minh</t>
    </r>
    <r>
      <rPr>
        <vertAlign val="subscript"/>
        <sz val="11"/>
        <rFont val="Calibri"/>
        <family val="2"/>
      </rPr>
      <t>SPO4,KiP,HAO,DESORP</t>
    </r>
  </si>
  <si>
    <r>
      <t>Dissolution of P from X</t>
    </r>
    <r>
      <rPr>
        <vertAlign val="subscript"/>
        <sz val="11"/>
        <color rgb="FF000000"/>
        <rFont val="Calibri"/>
        <family val="2"/>
        <scheme val="minor"/>
      </rPr>
      <t>HAO,H,P,old</t>
    </r>
    <r>
      <rPr>
        <sz val="11"/>
        <color rgb="FF000000"/>
        <rFont val="Calibri"/>
        <family val="2"/>
        <charset val="238"/>
        <scheme val="minor"/>
      </rPr>
      <t xml:space="preserve"> and X</t>
    </r>
    <r>
      <rPr>
        <vertAlign val="subscript"/>
        <sz val="11"/>
        <color rgb="FF000000"/>
        <rFont val="Calibri"/>
        <family val="2"/>
        <scheme val="minor"/>
      </rPr>
      <t>HAO,L,P,old</t>
    </r>
  </si>
  <si>
    <r>
      <t>(ASF</t>
    </r>
    <r>
      <rPr>
        <vertAlign val="subscript"/>
        <sz val="11"/>
        <rFont val="Calibri"/>
        <family val="2"/>
      </rPr>
      <t>HAO,H</t>
    </r>
    <r>
      <rPr>
        <sz val="11"/>
        <rFont val="Calibri"/>
        <family val="2"/>
      </rPr>
      <t>*(AM</t>
    </r>
    <r>
      <rPr>
        <vertAlign val="subscript"/>
        <sz val="11"/>
        <rFont val="Calibri"/>
        <family val="2"/>
      </rPr>
      <t>P</t>
    </r>
    <r>
      <rPr>
        <sz val="11"/>
        <rFont val="Calibri"/>
        <family val="2"/>
      </rPr>
      <t>/AM</t>
    </r>
    <r>
      <rPr>
        <vertAlign val="subscript"/>
        <sz val="11"/>
        <rFont val="Calibri"/>
        <family val="2"/>
      </rPr>
      <t>Al</t>
    </r>
    <r>
      <rPr>
        <sz val="11"/>
        <rFont val="Calibri"/>
        <family val="2"/>
      </rPr>
      <t>))*X</t>
    </r>
    <r>
      <rPr>
        <vertAlign val="subscript"/>
        <sz val="11"/>
        <rFont val="Calibri"/>
        <family val="2"/>
      </rPr>
      <t>HAO,H,P,old</t>
    </r>
    <r>
      <rPr>
        <sz val="11"/>
        <rFont val="Calibri"/>
        <family val="2"/>
      </rPr>
      <t>/(X</t>
    </r>
    <r>
      <rPr>
        <vertAlign val="subscript"/>
        <sz val="11"/>
        <rFont val="Calibri"/>
        <family val="2"/>
      </rPr>
      <t>HAO,H,P,old</t>
    </r>
    <r>
      <rPr>
        <sz val="11"/>
        <rFont val="Calibri"/>
        <family val="2"/>
      </rPr>
      <t>+X</t>
    </r>
    <r>
      <rPr>
        <vertAlign val="subscript"/>
        <sz val="11"/>
        <rFont val="Calibri"/>
        <family val="2"/>
      </rPr>
      <t>HAO,L,P,old</t>
    </r>
    <r>
      <rPr>
        <sz val="11"/>
        <rFont val="Calibri"/>
        <family val="2"/>
      </rPr>
      <t>)+(ASF</t>
    </r>
    <r>
      <rPr>
        <vertAlign val="subscript"/>
        <sz val="11"/>
        <rFont val="Calibri"/>
        <family val="2"/>
      </rPr>
      <t>HAO,L</t>
    </r>
    <r>
      <rPr>
        <sz val="11"/>
        <rFont val="Calibri"/>
        <family val="2"/>
      </rPr>
      <t>*(AM</t>
    </r>
    <r>
      <rPr>
        <vertAlign val="subscript"/>
        <sz val="11"/>
        <rFont val="Calibri"/>
        <family val="2"/>
      </rPr>
      <t>P</t>
    </r>
    <r>
      <rPr>
        <sz val="11"/>
        <rFont val="Calibri"/>
        <family val="2"/>
      </rPr>
      <t>/AM</t>
    </r>
    <r>
      <rPr>
        <vertAlign val="subscript"/>
        <sz val="11"/>
        <rFont val="Calibri"/>
        <family val="2"/>
      </rPr>
      <t>Al</t>
    </r>
    <r>
      <rPr>
        <sz val="11"/>
        <rFont val="Calibri"/>
        <family val="2"/>
      </rPr>
      <t>))*X</t>
    </r>
    <r>
      <rPr>
        <vertAlign val="subscript"/>
        <sz val="11"/>
        <rFont val="Calibri"/>
        <family val="2"/>
      </rPr>
      <t>HAO,L,P,old</t>
    </r>
    <r>
      <rPr>
        <sz val="11"/>
        <rFont val="Calibri"/>
        <family val="2"/>
      </rPr>
      <t>/(X</t>
    </r>
    <r>
      <rPr>
        <vertAlign val="subscript"/>
        <sz val="11"/>
        <rFont val="Calibri"/>
        <family val="2"/>
      </rPr>
      <t>HAO,H,P,old</t>
    </r>
    <r>
      <rPr>
        <sz val="11"/>
        <rFont val="Calibri"/>
        <family val="2"/>
      </rPr>
      <t>+X</t>
    </r>
    <r>
      <rPr>
        <vertAlign val="subscript"/>
        <sz val="11"/>
        <rFont val="Calibri"/>
        <family val="2"/>
      </rPr>
      <t>HAO,L,P,old</t>
    </r>
    <r>
      <rPr>
        <sz val="11"/>
        <rFont val="Calibri"/>
        <family val="2"/>
      </rPr>
      <t>)</t>
    </r>
  </si>
  <si>
    <r>
      <t>-X</t>
    </r>
    <r>
      <rPr>
        <vertAlign val="subscript"/>
        <sz val="11"/>
        <rFont val="Calibri"/>
        <family val="2"/>
      </rPr>
      <t>HAO,H,P,old</t>
    </r>
    <r>
      <rPr>
        <sz val="11"/>
        <rFont val="Calibri"/>
        <family val="2"/>
      </rPr>
      <t>/(X</t>
    </r>
    <r>
      <rPr>
        <vertAlign val="subscript"/>
        <sz val="11"/>
        <rFont val="Calibri"/>
        <family val="2"/>
      </rPr>
      <t>HAO,H,P,old</t>
    </r>
    <r>
      <rPr>
        <sz val="11"/>
        <rFont val="Calibri"/>
        <family val="2"/>
      </rPr>
      <t>+X</t>
    </r>
    <r>
      <rPr>
        <vertAlign val="subscript"/>
        <sz val="11"/>
        <rFont val="Calibri"/>
        <family val="2"/>
      </rPr>
      <t>HAO,L,P,old</t>
    </r>
    <r>
      <rPr>
        <sz val="11"/>
        <rFont val="Calibri"/>
        <family val="2"/>
      </rPr>
      <t>)</t>
    </r>
  </si>
  <si>
    <r>
      <t>-X</t>
    </r>
    <r>
      <rPr>
        <vertAlign val="subscript"/>
        <sz val="11"/>
        <rFont val="Calibri"/>
        <family val="2"/>
      </rPr>
      <t>HAO,L,P,old</t>
    </r>
    <r>
      <rPr>
        <sz val="11"/>
        <rFont val="Calibri"/>
        <family val="2"/>
      </rPr>
      <t>/(X</t>
    </r>
    <r>
      <rPr>
        <vertAlign val="subscript"/>
        <sz val="11"/>
        <rFont val="Calibri"/>
        <family val="2"/>
      </rPr>
      <t>HAO,H,P,old</t>
    </r>
    <r>
      <rPr>
        <sz val="11"/>
        <rFont val="Calibri"/>
        <family val="2"/>
      </rPr>
      <t>+X</t>
    </r>
    <r>
      <rPr>
        <vertAlign val="subscript"/>
        <sz val="11"/>
        <rFont val="Calibri"/>
        <family val="2"/>
      </rPr>
      <t>HAO,L,P,old</t>
    </r>
    <r>
      <rPr>
        <sz val="11"/>
        <rFont val="Calibri"/>
        <family val="2"/>
      </rPr>
      <t>)</t>
    </r>
  </si>
  <si>
    <r>
      <t>q</t>
    </r>
    <r>
      <rPr>
        <vertAlign val="subscript"/>
        <sz val="11"/>
        <rFont val="Calibri"/>
        <family val="2"/>
      </rPr>
      <t>HAO,DISS</t>
    </r>
    <r>
      <rPr>
        <sz val="11"/>
        <rFont val="Calibri"/>
        <family val="2"/>
      </rPr>
      <t>*(X</t>
    </r>
    <r>
      <rPr>
        <vertAlign val="subscript"/>
        <sz val="11"/>
        <rFont val="Calibri"/>
        <family val="2"/>
      </rPr>
      <t>HAO,H,P,old</t>
    </r>
    <r>
      <rPr>
        <sz val="11"/>
        <rFont val="Calibri"/>
        <family val="2"/>
      </rPr>
      <t>+X</t>
    </r>
    <r>
      <rPr>
        <vertAlign val="subscript"/>
        <sz val="11"/>
        <rFont val="Calibri"/>
        <family val="2"/>
      </rPr>
      <t>HAO,L,P,old</t>
    </r>
    <r>
      <rPr>
        <sz val="11"/>
        <rFont val="Calibri"/>
        <family val="2"/>
      </rPr>
      <t>)*Loginh</t>
    </r>
    <r>
      <rPr>
        <vertAlign val="subscript"/>
        <sz val="11"/>
        <rFont val="Calibri"/>
        <family val="2"/>
      </rPr>
      <t>SPO4,KiP,HAO,DISS</t>
    </r>
  </si>
  <si>
    <r>
      <t>X</t>
    </r>
    <r>
      <rPr>
        <vertAlign val="subscript"/>
        <sz val="11"/>
        <rFont val="Calibri"/>
        <family val="2"/>
        <scheme val="minor"/>
      </rPr>
      <t>HAO,TSS</t>
    </r>
  </si>
  <si>
    <t>Total HAOs in TSS unit</t>
  </si>
  <si>
    <r>
      <t>(1-f</t>
    </r>
    <r>
      <rPr>
        <vertAlign val="subscript"/>
        <sz val="11"/>
        <rFont val="Calibri"/>
        <family val="2"/>
        <scheme val="minor"/>
      </rPr>
      <t>H2O,HAO,TSS</t>
    </r>
    <r>
      <rPr>
        <sz val="11"/>
        <rFont val="Calibri"/>
        <family val="2"/>
        <scheme val="minor"/>
      </rPr>
      <t>)*X</t>
    </r>
    <r>
      <rPr>
        <vertAlign val="subscript"/>
        <sz val="11"/>
        <rFont val="Calibri"/>
        <family val="2"/>
        <scheme val="minor"/>
      </rPr>
      <t>HAO</t>
    </r>
    <r>
      <rPr>
        <sz val="11"/>
        <rFont val="Calibri"/>
        <family val="2"/>
        <scheme val="minor"/>
      </rPr>
      <t>*MM</t>
    </r>
    <r>
      <rPr>
        <vertAlign val="subscript"/>
        <sz val="11"/>
        <rFont val="Calibri"/>
        <family val="2"/>
        <scheme val="minor"/>
      </rPr>
      <t>AlOH3</t>
    </r>
    <r>
      <rPr>
        <sz val="11"/>
        <rFont val="Calibri"/>
        <family val="2"/>
        <scheme val="minor"/>
      </rPr>
      <t>/AM</t>
    </r>
    <r>
      <rPr>
        <vertAlign val="subscript"/>
        <sz val="11"/>
        <rFont val="Calibri"/>
        <family val="2"/>
        <scheme val="minor"/>
      </rPr>
      <t>Al</t>
    </r>
    <r>
      <rPr>
        <sz val="11"/>
        <rFont val="Calibri"/>
        <family val="2"/>
        <scheme val="minor"/>
      </rPr>
      <t>+ (X</t>
    </r>
    <r>
      <rPr>
        <vertAlign val="subscript"/>
        <sz val="11"/>
        <rFont val="Calibri"/>
        <family val="2"/>
        <scheme val="minor"/>
      </rPr>
      <t>HAO,L,P</t>
    </r>
    <r>
      <rPr>
        <sz val="11"/>
        <rFont val="Calibri"/>
        <family val="2"/>
        <scheme val="minor"/>
      </rPr>
      <t>+X</t>
    </r>
    <r>
      <rPr>
        <vertAlign val="subscript"/>
        <sz val="11"/>
        <rFont val="Calibri"/>
        <family val="2"/>
        <scheme val="minor"/>
      </rPr>
      <t>HAO,L,P,old</t>
    </r>
    <r>
      <rPr>
        <sz val="11"/>
        <rFont val="Calibri"/>
        <family val="2"/>
        <scheme val="minor"/>
      </rPr>
      <t>)*ASF</t>
    </r>
    <r>
      <rPr>
        <vertAlign val="subscript"/>
        <sz val="11"/>
        <rFont val="Calibri"/>
        <family val="2"/>
        <scheme val="minor"/>
      </rPr>
      <t>HAO,L</t>
    </r>
    <r>
      <rPr>
        <sz val="11"/>
        <rFont val="Calibri"/>
        <family val="2"/>
        <scheme val="minor"/>
      </rPr>
      <t>*(MM</t>
    </r>
    <r>
      <rPr>
        <vertAlign val="subscript"/>
        <sz val="11"/>
        <rFont val="Calibri"/>
        <family val="2"/>
        <scheme val="minor"/>
      </rPr>
      <t>PO4</t>
    </r>
    <r>
      <rPr>
        <sz val="11"/>
        <rFont val="Calibri"/>
        <family val="2"/>
        <scheme val="minor"/>
      </rPr>
      <t>/AM</t>
    </r>
    <r>
      <rPr>
        <vertAlign val="subscript"/>
        <sz val="11"/>
        <rFont val="Calibri"/>
        <family val="2"/>
        <scheme val="minor"/>
      </rPr>
      <t>Al</t>
    </r>
    <r>
      <rPr>
        <sz val="11"/>
        <rFont val="Calibri"/>
        <family val="2"/>
        <scheme val="minor"/>
      </rPr>
      <t>) +(X</t>
    </r>
    <r>
      <rPr>
        <vertAlign val="subscript"/>
        <sz val="11"/>
        <rFont val="Calibri"/>
        <family val="2"/>
        <scheme val="minor"/>
      </rPr>
      <t>HAO,H,P</t>
    </r>
    <r>
      <rPr>
        <sz val="11"/>
        <rFont val="Calibri"/>
        <family val="2"/>
        <scheme val="minor"/>
      </rPr>
      <t>+X</t>
    </r>
    <r>
      <rPr>
        <vertAlign val="subscript"/>
        <sz val="11"/>
        <rFont val="Calibri"/>
        <family val="2"/>
        <scheme val="minor"/>
      </rPr>
      <t>HAO,H,P,old</t>
    </r>
    <r>
      <rPr>
        <sz val="11"/>
        <rFont val="Calibri"/>
        <family val="2"/>
        <scheme val="minor"/>
      </rPr>
      <t>)*ASF</t>
    </r>
    <r>
      <rPr>
        <vertAlign val="subscript"/>
        <sz val="11"/>
        <rFont val="Calibri"/>
        <family val="2"/>
        <scheme val="minor"/>
      </rPr>
      <t>HAO,H</t>
    </r>
    <r>
      <rPr>
        <sz val="11"/>
        <rFont val="Calibri"/>
        <family val="2"/>
        <scheme val="minor"/>
      </rPr>
      <t>*(MM</t>
    </r>
    <r>
      <rPr>
        <vertAlign val="subscript"/>
        <sz val="11"/>
        <rFont val="Calibri"/>
        <family val="2"/>
        <scheme val="minor"/>
      </rPr>
      <t>PO4</t>
    </r>
    <r>
      <rPr>
        <sz val="11"/>
        <rFont val="Calibri"/>
        <family val="2"/>
        <scheme val="minor"/>
      </rPr>
      <t>/AM</t>
    </r>
    <r>
      <rPr>
        <vertAlign val="subscript"/>
        <sz val="11"/>
        <rFont val="Calibri"/>
        <family val="2"/>
        <scheme val="minor"/>
      </rPr>
      <t>Al</t>
    </r>
    <r>
      <rPr>
        <sz val="11"/>
        <rFont val="Calibri"/>
        <family val="2"/>
        <scheme val="minor"/>
      </rPr>
      <t>)</t>
    </r>
  </si>
  <si>
    <r>
      <t>X</t>
    </r>
    <r>
      <rPr>
        <vertAlign val="subscript"/>
        <sz val="11"/>
        <rFont val="Calibri"/>
        <family val="2"/>
        <scheme val="minor"/>
      </rPr>
      <t>HFO,TSS</t>
    </r>
    <r>
      <rPr>
        <sz val="11"/>
        <rFont val="Calibri"/>
        <family val="2"/>
        <charset val="238"/>
        <scheme val="minor"/>
      </rPr>
      <t>+X</t>
    </r>
    <r>
      <rPr>
        <vertAlign val="subscript"/>
        <sz val="11"/>
        <rFont val="Calibri"/>
        <family val="2"/>
        <scheme val="minor"/>
      </rPr>
      <t>HAO,TSS</t>
    </r>
  </si>
  <si>
    <r>
      <t>X</t>
    </r>
    <r>
      <rPr>
        <vertAlign val="subscript"/>
        <sz val="11"/>
        <rFont val="Calibri"/>
        <family val="2"/>
        <scheme val="minor"/>
      </rPr>
      <t>HAO</t>
    </r>
  </si>
  <si>
    <t>Total HAOs</t>
  </si>
  <si>
    <r>
      <t>X</t>
    </r>
    <r>
      <rPr>
        <vertAlign val="subscript"/>
        <sz val="11"/>
        <rFont val="Calibri"/>
        <family val="2"/>
        <scheme val="minor"/>
      </rPr>
      <t>HAO,H</t>
    </r>
    <r>
      <rPr>
        <sz val="11"/>
        <rFont val="Calibri"/>
        <family val="2"/>
        <scheme val="minor"/>
      </rPr>
      <t>+X</t>
    </r>
    <r>
      <rPr>
        <vertAlign val="subscript"/>
        <sz val="11"/>
        <rFont val="Calibri"/>
        <family val="2"/>
        <scheme val="minor"/>
      </rPr>
      <t>HAO,L</t>
    </r>
    <r>
      <rPr>
        <sz val="11"/>
        <rFont val="Calibri"/>
        <family val="2"/>
        <scheme val="minor"/>
      </rPr>
      <t>+X</t>
    </r>
    <r>
      <rPr>
        <vertAlign val="subscript"/>
        <sz val="11"/>
        <rFont val="Calibri"/>
        <family val="2"/>
        <scheme val="minor"/>
      </rPr>
      <t>HAO,L,P</t>
    </r>
    <r>
      <rPr>
        <sz val="11"/>
        <rFont val="Calibri"/>
        <family val="2"/>
        <scheme val="minor"/>
      </rPr>
      <t>+X</t>
    </r>
    <r>
      <rPr>
        <vertAlign val="subscript"/>
        <sz val="11"/>
        <rFont val="Calibri"/>
        <family val="2"/>
        <scheme val="minor"/>
      </rPr>
      <t>HAO,H,P</t>
    </r>
    <r>
      <rPr>
        <sz val="11"/>
        <rFont val="Calibri"/>
        <family val="2"/>
        <scheme val="minor"/>
      </rPr>
      <t>+X</t>
    </r>
    <r>
      <rPr>
        <vertAlign val="subscript"/>
        <sz val="11"/>
        <rFont val="Calibri"/>
        <family val="2"/>
        <scheme val="minor"/>
      </rPr>
      <t>HAO,old</t>
    </r>
    <r>
      <rPr>
        <sz val="11"/>
        <rFont val="Calibri"/>
        <family val="2"/>
        <scheme val="minor"/>
      </rPr>
      <t>+X</t>
    </r>
    <r>
      <rPr>
        <vertAlign val="subscript"/>
        <sz val="11"/>
        <rFont val="Calibri"/>
        <family val="2"/>
        <scheme val="minor"/>
      </rPr>
      <t>HAO,L,P,old</t>
    </r>
    <r>
      <rPr>
        <sz val="11"/>
        <rFont val="Calibri"/>
        <family val="2"/>
        <scheme val="minor"/>
      </rPr>
      <t>+X</t>
    </r>
    <r>
      <rPr>
        <vertAlign val="subscript"/>
        <sz val="11"/>
        <rFont val="Calibri"/>
        <family val="2"/>
        <scheme val="minor"/>
      </rPr>
      <t>HAO,H,P,old</t>
    </r>
  </si>
  <si>
    <r>
      <t>g Al.m</t>
    </r>
    <r>
      <rPr>
        <vertAlign val="superscript"/>
        <sz val="11"/>
        <rFont val="Calibri"/>
        <family val="2"/>
        <scheme val="minor"/>
      </rPr>
      <t>-3</t>
    </r>
  </si>
  <si>
    <r>
      <t>T</t>
    </r>
    <r>
      <rPr>
        <vertAlign val="subscript"/>
        <sz val="11"/>
        <rFont val="Calibri"/>
        <family val="2"/>
        <scheme val="minor"/>
      </rPr>
      <t>Al</t>
    </r>
  </si>
  <si>
    <t>Total aluminium</t>
  </si>
  <si>
    <r>
      <t>X</t>
    </r>
    <r>
      <rPr>
        <vertAlign val="subscript"/>
        <sz val="11"/>
        <rFont val="Calibri"/>
        <family val="2"/>
        <scheme val="minor"/>
      </rPr>
      <t xml:space="preserve">HAO </t>
    </r>
  </si>
  <si>
    <r>
      <t>X</t>
    </r>
    <r>
      <rPr>
        <vertAlign val="subscript"/>
        <sz val="11"/>
        <rFont val="Calibri"/>
        <family val="2"/>
        <scheme val="minor"/>
      </rPr>
      <t>HAO,P</t>
    </r>
  </si>
  <si>
    <t>Total phosphorus in HAOs</t>
  </si>
  <si>
    <r>
      <t>(X</t>
    </r>
    <r>
      <rPr>
        <vertAlign val="subscript"/>
        <sz val="11"/>
        <rFont val="Calibri"/>
        <family val="2"/>
        <scheme val="minor"/>
      </rPr>
      <t>HAO,L,P</t>
    </r>
    <r>
      <rPr>
        <sz val="11"/>
        <rFont val="Calibri"/>
        <family val="2"/>
        <scheme val="minor"/>
      </rPr>
      <t>+X</t>
    </r>
    <r>
      <rPr>
        <vertAlign val="subscript"/>
        <sz val="11"/>
        <rFont val="Calibri"/>
        <family val="2"/>
        <scheme val="minor"/>
      </rPr>
      <t>HAO,L,P,old</t>
    </r>
    <r>
      <rPr>
        <sz val="11"/>
        <rFont val="Calibri"/>
        <family val="2"/>
        <scheme val="minor"/>
      </rPr>
      <t>)*ASF</t>
    </r>
    <r>
      <rPr>
        <vertAlign val="subscript"/>
        <sz val="11"/>
        <rFont val="Calibri"/>
        <family val="2"/>
        <scheme val="minor"/>
      </rPr>
      <t>HAO,L</t>
    </r>
    <r>
      <rPr>
        <sz val="11"/>
        <rFont val="Calibri"/>
        <family val="2"/>
        <scheme val="minor"/>
      </rPr>
      <t>*(AM</t>
    </r>
    <r>
      <rPr>
        <vertAlign val="subscript"/>
        <sz val="11"/>
        <rFont val="Calibri"/>
        <family val="2"/>
        <scheme val="minor"/>
      </rPr>
      <t>P</t>
    </r>
    <r>
      <rPr>
        <sz val="11"/>
        <rFont val="Calibri"/>
        <family val="2"/>
        <scheme val="minor"/>
      </rPr>
      <t>/AM</t>
    </r>
    <r>
      <rPr>
        <vertAlign val="subscript"/>
        <sz val="11"/>
        <rFont val="Calibri"/>
        <family val="2"/>
        <scheme val="minor"/>
      </rPr>
      <t>Al</t>
    </r>
    <r>
      <rPr>
        <sz val="11"/>
        <rFont val="Calibri"/>
        <family val="2"/>
        <scheme val="minor"/>
      </rPr>
      <t>)+(X</t>
    </r>
    <r>
      <rPr>
        <vertAlign val="subscript"/>
        <sz val="11"/>
        <rFont val="Calibri"/>
        <family val="2"/>
        <scheme val="minor"/>
      </rPr>
      <t>HAO,H,P</t>
    </r>
    <r>
      <rPr>
        <sz val="11"/>
        <rFont val="Calibri"/>
        <family val="2"/>
        <scheme val="minor"/>
      </rPr>
      <t>+X</t>
    </r>
    <r>
      <rPr>
        <vertAlign val="subscript"/>
        <sz val="11"/>
        <rFont val="Calibri"/>
        <family val="2"/>
        <scheme val="minor"/>
      </rPr>
      <t>HAO,H,P,old</t>
    </r>
    <r>
      <rPr>
        <sz val="11"/>
        <rFont val="Calibri"/>
        <family val="2"/>
        <scheme val="minor"/>
      </rPr>
      <t>)*ASF</t>
    </r>
    <r>
      <rPr>
        <vertAlign val="subscript"/>
        <sz val="11"/>
        <rFont val="Calibri"/>
        <family val="2"/>
        <scheme val="minor"/>
      </rPr>
      <t>HAO,H</t>
    </r>
    <r>
      <rPr>
        <sz val="11"/>
        <rFont val="Calibri"/>
        <family val="2"/>
        <scheme val="minor"/>
      </rPr>
      <t>*(AM</t>
    </r>
    <r>
      <rPr>
        <vertAlign val="subscript"/>
        <sz val="11"/>
        <rFont val="Calibri"/>
        <family val="2"/>
        <scheme val="minor"/>
      </rPr>
      <t>P</t>
    </r>
    <r>
      <rPr>
        <sz val="11"/>
        <rFont val="Calibri"/>
        <family val="2"/>
        <scheme val="minor"/>
      </rPr>
      <t>/AM</t>
    </r>
    <r>
      <rPr>
        <vertAlign val="subscript"/>
        <sz val="11"/>
        <rFont val="Calibri"/>
        <family val="2"/>
        <scheme val="minor"/>
      </rPr>
      <t>Al</t>
    </r>
    <r>
      <rPr>
        <sz val="11"/>
        <rFont val="Calibri"/>
        <family val="2"/>
        <scheme val="minor"/>
      </rPr>
      <t>)</t>
    </r>
  </si>
  <si>
    <r>
      <t>Loginh</t>
    </r>
    <r>
      <rPr>
        <vertAlign val="subscript"/>
        <sz val="11"/>
        <rFont val="Calibri"/>
        <family val="2"/>
        <scheme val="minor"/>
      </rPr>
      <t>SPO4,KiP,HAO,DISS</t>
    </r>
  </si>
  <si>
    <r>
      <t>Inhibition term for PO</t>
    </r>
    <r>
      <rPr>
        <vertAlign val="subscript"/>
        <sz val="11"/>
        <color rgb="FF000000"/>
        <rFont val="Calibri"/>
        <family val="2"/>
        <scheme val="minor"/>
      </rPr>
      <t>4</t>
    </r>
    <r>
      <rPr>
        <sz val="11"/>
        <color rgb="FF000000"/>
        <rFont val="Calibri"/>
        <family val="2"/>
        <charset val="238"/>
        <scheme val="minor"/>
      </rPr>
      <t xml:space="preserve"> in redissolution of HAO</t>
    </r>
  </si>
  <si>
    <r>
      <t>Minh</t>
    </r>
    <r>
      <rPr>
        <vertAlign val="subscript"/>
        <sz val="11"/>
        <rFont val="Calibri"/>
        <family val="2"/>
        <scheme val="minor"/>
      </rPr>
      <t>SPO4,KiP,HAO,DESORP</t>
    </r>
  </si>
  <si>
    <r>
      <t>Inhibition term for PO</t>
    </r>
    <r>
      <rPr>
        <vertAlign val="subscript"/>
        <sz val="11"/>
        <color rgb="FF000000"/>
        <rFont val="Calibri"/>
        <family val="2"/>
        <scheme val="minor"/>
      </rPr>
      <t>4</t>
    </r>
    <r>
      <rPr>
        <sz val="11"/>
        <color rgb="FF000000"/>
        <rFont val="Calibri"/>
        <family val="2"/>
        <charset val="238"/>
        <scheme val="minor"/>
      </rPr>
      <t xml:space="preserve"> in desorption of HAO</t>
    </r>
  </si>
  <si>
    <r>
      <t>Minh(S</t>
    </r>
    <r>
      <rPr>
        <vertAlign val="subscript"/>
        <sz val="11"/>
        <rFont val="Calibri"/>
        <family val="2"/>
        <scheme val="minor"/>
      </rPr>
      <t>PO4</t>
    </r>
    <r>
      <rPr>
        <sz val="11"/>
        <rFont val="Calibri"/>
        <family val="2"/>
        <scheme val="minor"/>
      </rPr>
      <t>;Ki</t>
    </r>
    <r>
      <rPr>
        <vertAlign val="subscript"/>
        <sz val="11"/>
        <rFont val="Calibri"/>
        <family val="2"/>
        <scheme val="minor"/>
      </rPr>
      <t>P,HAO,DESORP</t>
    </r>
    <r>
      <rPr>
        <sz val="11"/>
        <rFont val="Calibri"/>
        <family val="2"/>
        <scheme val="minor"/>
      </rPr>
      <t>)</t>
    </r>
  </si>
  <si>
    <r>
      <t>Msat</t>
    </r>
    <r>
      <rPr>
        <vertAlign val="subscript"/>
        <sz val="11"/>
        <rFont val="Calibri"/>
        <family val="2"/>
        <scheme val="minor"/>
      </rPr>
      <t>SPO4,KP,HAO,BIND</t>
    </r>
  </si>
  <si>
    <r>
      <t>Saturation term for PO</t>
    </r>
    <r>
      <rPr>
        <vertAlign val="subscript"/>
        <sz val="11"/>
        <color rgb="FF000000"/>
        <rFont val="Calibri"/>
        <family val="2"/>
        <scheme val="minor"/>
      </rPr>
      <t>4</t>
    </r>
    <r>
      <rPr>
        <sz val="11"/>
        <color rgb="FF000000"/>
        <rFont val="Calibri"/>
        <family val="2"/>
        <charset val="238"/>
        <scheme val="minor"/>
      </rPr>
      <t xml:space="preserve"> binding on HAO</t>
    </r>
  </si>
  <si>
    <r>
      <t>Msat(S</t>
    </r>
    <r>
      <rPr>
        <vertAlign val="subscript"/>
        <sz val="11"/>
        <rFont val="Calibri"/>
        <family val="2"/>
        <scheme val="minor"/>
      </rPr>
      <t>PO4</t>
    </r>
    <r>
      <rPr>
        <sz val="11"/>
        <rFont val="Calibri"/>
        <family val="2"/>
        <scheme val="minor"/>
      </rPr>
      <t>;K</t>
    </r>
    <r>
      <rPr>
        <vertAlign val="subscript"/>
        <sz val="11"/>
        <rFont val="Calibri"/>
        <family val="2"/>
        <scheme val="minor"/>
      </rPr>
      <t>P,HAO,BIND</t>
    </r>
    <r>
      <rPr>
        <sz val="11"/>
        <rFont val="Calibri"/>
        <family val="2"/>
        <scheme val="minor"/>
      </rPr>
      <t>)</t>
    </r>
  </si>
  <si>
    <t>r101</t>
  </si>
  <si>
    <t>r102</t>
  </si>
  <si>
    <r>
      <t>ASF</t>
    </r>
    <r>
      <rPr>
        <vertAlign val="subscript"/>
        <sz val="11"/>
        <rFont val="Calibri"/>
        <family val="2"/>
        <scheme val="minor"/>
      </rPr>
      <t>HFO,L</t>
    </r>
  </si>
  <si>
    <r>
      <t>-1/(ASF</t>
    </r>
    <r>
      <rPr>
        <vertAlign val="subscript"/>
        <sz val="11"/>
        <rFont val="Calibri"/>
        <family val="2"/>
      </rPr>
      <t>HFO,L</t>
    </r>
    <r>
      <rPr>
        <sz val="11"/>
        <rFont val="Calibri"/>
        <family val="2"/>
      </rPr>
      <t>*(AM</t>
    </r>
    <r>
      <rPr>
        <vertAlign val="subscript"/>
        <sz val="11"/>
        <rFont val="Calibri"/>
        <family val="2"/>
      </rPr>
      <t>P</t>
    </r>
    <r>
      <rPr>
        <sz val="11"/>
        <rFont val="Calibri"/>
        <family val="2"/>
      </rPr>
      <t>/AM</t>
    </r>
    <r>
      <rPr>
        <vertAlign val="subscript"/>
        <sz val="11"/>
        <rFont val="Calibri"/>
        <family val="2"/>
      </rPr>
      <t>Fe</t>
    </r>
    <r>
      <rPr>
        <sz val="11"/>
        <rFont val="Calibri"/>
        <family val="2"/>
      </rPr>
      <t>))</t>
    </r>
  </si>
  <si>
    <r>
      <t>1/(ASF</t>
    </r>
    <r>
      <rPr>
        <vertAlign val="subscript"/>
        <sz val="11"/>
        <rFont val="Calibri"/>
        <family val="2"/>
      </rPr>
      <t>HFO,L</t>
    </r>
    <r>
      <rPr>
        <sz val="11"/>
        <rFont val="Calibri"/>
        <family val="2"/>
      </rPr>
      <t>*(AM</t>
    </r>
    <r>
      <rPr>
        <vertAlign val="subscript"/>
        <sz val="11"/>
        <rFont val="Calibri"/>
        <family val="2"/>
      </rPr>
      <t>P</t>
    </r>
    <r>
      <rPr>
        <sz val="11"/>
        <rFont val="Calibri"/>
        <family val="2"/>
      </rPr>
      <t>/AM</t>
    </r>
    <r>
      <rPr>
        <vertAlign val="subscript"/>
        <sz val="11"/>
        <rFont val="Calibri"/>
        <family val="2"/>
      </rPr>
      <t>Fe</t>
    </r>
    <r>
      <rPr>
        <sz val="11"/>
        <rFont val="Calibri"/>
        <family val="2"/>
      </rPr>
      <t>))</t>
    </r>
  </si>
  <si>
    <r>
      <t>(ASF</t>
    </r>
    <r>
      <rPr>
        <vertAlign val="subscript"/>
        <sz val="11"/>
        <rFont val="Calibri"/>
        <family val="2"/>
      </rPr>
      <t>HFO,L</t>
    </r>
    <r>
      <rPr>
        <sz val="11"/>
        <rFont val="Calibri"/>
        <family val="2"/>
      </rPr>
      <t>*(AM</t>
    </r>
    <r>
      <rPr>
        <vertAlign val="subscript"/>
        <sz val="11"/>
        <rFont val="Calibri"/>
        <family val="2"/>
      </rPr>
      <t>P</t>
    </r>
    <r>
      <rPr>
        <sz val="11"/>
        <rFont val="Calibri"/>
        <family val="2"/>
      </rPr>
      <t>/AM</t>
    </r>
    <r>
      <rPr>
        <vertAlign val="subscript"/>
        <sz val="11"/>
        <rFont val="Calibri"/>
        <family val="2"/>
      </rPr>
      <t>Fe</t>
    </r>
    <r>
      <rPr>
        <sz val="11"/>
        <rFont val="Calibri"/>
        <family val="2"/>
      </rPr>
      <t>))</t>
    </r>
  </si>
  <si>
    <r>
      <t>ASF</t>
    </r>
    <r>
      <rPr>
        <vertAlign val="subscript"/>
        <sz val="11"/>
        <rFont val="Calibri"/>
        <family val="2"/>
        <scheme val="minor"/>
      </rPr>
      <t>HFO,L</t>
    </r>
    <r>
      <rPr>
        <sz val="11"/>
        <rFont val="Calibri"/>
        <family val="2"/>
        <scheme val="minor"/>
      </rPr>
      <t>*(AM</t>
    </r>
    <r>
      <rPr>
        <vertAlign val="subscript"/>
        <sz val="11"/>
        <rFont val="Calibri"/>
        <family val="2"/>
        <scheme val="minor"/>
      </rPr>
      <t>P</t>
    </r>
    <r>
      <rPr>
        <sz val="11"/>
        <rFont val="Calibri"/>
        <family val="2"/>
        <scheme val="minor"/>
      </rPr>
      <t>/AM</t>
    </r>
    <r>
      <rPr>
        <vertAlign val="subscript"/>
        <sz val="11"/>
        <rFont val="Calibri"/>
        <family val="2"/>
        <scheme val="minor"/>
      </rPr>
      <t>Fe</t>
    </r>
    <r>
      <rPr>
        <sz val="11"/>
        <rFont val="Calibri"/>
        <family val="2"/>
        <scheme val="minor"/>
      </rPr>
      <t>)</t>
    </r>
  </si>
  <si>
    <r>
      <t>ASF</t>
    </r>
    <r>
      <rPr>
        <vertAlign val="subscript"/>
        <sz val="11"/>
        <rFont val="Calibri"/>
        <family val="2"/>
        <scheme val="minor"/>
      </rPr>
      <t>HFO,H</t>
    </r>
  </si>
  <si>
    <r>
      <t>-1/(ASF</t>
    </r>
    <r>
      <rPr>
        <vertAlign val="subscript"/>
        <sz val="11"/>
        <rFont val="Calibri"/>
        <family val="2"/>
      </rPr>
      <t>HFO,H</t>
    </r>
    <r>
      <rPr>
        <sz val="11"/>
        <rFont val="Calibri"/>
        <family val="2"/>
      </rPr>
      <t>*(AM</t>
    </r>
    <r>
      <rPr>
        <vertAlign val="subscript"/>
        <sz val="11"/>
        <rFont val="Calibri"/>
        <family val="2"/>
      </rPr>
      <t>P</t>
    </r>
    <r>
      <rPr>
        <sz val="11"/>
        <rFont val="Calibri"/>
        <family val="2"/>
      </rPr>
      <t>/AM</t>
    </r>
    <r>
      <rPr>
        <vertAlign val="subscript"/>
        <sz val="11"/>
        <rFont val="Calibri"/>
        <family val="2"/>
      </rPr>
      <t>Fe</t>
    </r>
    <r>
      <rPr>
        <sz val="11"/>
        <rFont val="Calibri"/>
        <family val="2"/>
      </rPr>
      <t>))</t>
    </r>
  </si>
  <si>
    <r>
      <t>1/(ASF</t>
    </r>
    <r>
      <rPr>
        <vertAlign val="subscript"/>
        <sz val="11"/>
        <rFont val="Calibri"/>
        <family val="2"/>
      </rPr>
      <t>HFO,H</t>
    </r>
    <r>
      <rPr>
        <sz val="11"/>
        <rFont val="Calibri"/>
        <family val="2"/>
      </rPr>
      <t>*(AM</t>
    </r>
    <r>
      <rPr>
        <vertAlign val="subscript"/>
        <sz val="11"/>
        <rFont val="Calibri"/>
        <family val="2"/>
      </rPr>
      <t>P</t>
    </r>
    <r>
      <rPr>
        <sz val="11"/>
        <rFont val="Calibri"/>
        <family val="2"/>
      </rPr>
      <t>/AM</t>
    </r>
    <r>
      <rPr>
        <vertAlign val="subscript"/>
        <sz val="11"/>
        <rFont val="Calibri"/>
        <family val="2"/>
      </rPr>
      <t>Fe</t>
    </r>
    <r>
      <rPr>
        <sz val="11"/>
        <rFont val="Calibri"/>
        <family val="2"/>
      </rPr>
      <t>))</t>
    </r>
  </si>
  <si>
    <r>
      <t>(ASF</t>
    </r>
    <r>
      <rPr>
        <vertAlign val="subscript"/>
        <sz val="11"/>
        <rFont val="Calibri"/>
        <family val="2"/>
      </rPr>
      <t>HFO,H</t>
    </r>
    <r>
      <rPr>
        <sz val="11"/>
        <rFont val="Calibri"/>
        <family val="2"/>
      </rPr>
      <t>*(AM</t>
    </r>
    <r>
      <rPr>
        <vertAlign val="subscript"/>
        <sz val="11"/>
        <rFont val="Calibri"/>
        <family val="2"/>
      </rPr>
      <t>P</t>
    </r>
    <r>
      <rPr>
        <sz val="11"/>
        <rFont val="Calibri"/>
        <family val="2"/>
      </rPr>
      <t>/AM</t>
    </r>
    <r>
      <rPr>
        <vertAlign val="subscript"/>
        <sz val="11"/>
        <rFont val="Calibri"/>
        <family val="2"/>
      </rPr>
      <t>Fe</t>
    </r>
    <r>
      <rPr>
        <sz val="11"/>
        <rFont val="Calibri"/>
        <family val="2"/>
      </rPr>
      <t>))</t>
    </r>
  </si>
  <si>
    <r>
      <t>(ASF</t>
    </r>
    <r>
      <rPr>
        <vertAlign val="subscript"/>
        <sz val="11"/>
        <rFont val="Calibri"/>
        <family val="2"/>
      </rPr>
      <t>HFO,H</t>
    </r>
    <r>
      <rPr>
        <sz val="11"/>
        <rFont val="Calibri"/>
        <family val="2"/>
      </rPr>
      <t>*(AM</t>
    </r>
    <r>
      <rPr>
        <vertAlign val="subscript"/>
        <sz val="11"/>
        <rFont val="Calibri"/>
        <family val="2"/>
      </rPr>
      <t>P</t>
    </r>
    <r>
      <rPr>
        <sz val="11"/>
        <rFont val="Calibri"/>
        <family val="2"/>
      </rPr>
      <t>/AM</t>
    </r>
    <r>
      <rPr>
        <vertAlign val="subscript"/>
        <sz val="11"/>
        <rFont val="Calibri"/>
        <family val="2"/>
      </rPr>
      <t>Fe</t>
    </r>
    <r>
      <rPr>
        <sz val="11"/>
        <rFont val="Calibri"/>
        <family val="2"/>
      </rPr>
      <t>))*X</t>
    </r>
    <r>
      <rPr>
        <vertAlign val="subscript"/>
        <sz val="11"/>
        <rFont val="Calibri"/>
        <family val="2"/>
      </rPr>
      <t>HFO,H,P,old</t>
    </r>
    <r>
      <rPr>
        <sz val="11"/>
        <rFont val="Calibri"/>
        <family val="2"/>
      </rPr>
      <t>/(X</t>
    </r>
    <r>
      <rPr>
        <vertAlign val="subscript"/>
        <sz val="11"/>
        <rFont val="Calibri"/>
        <family val="2"/>
      </rPr>
      <t>HFO,H,P,old</t>
    </r>
    <r>
      <rPr>
        <sz val="11"/>
        <rFont val="Calibri"/>
        <family val="2"/>
      </rPr>
      <t>+X</t>
    </r>
    <r>
      <rPr>
        <vertAlign val="subscript"/>
        <sz val="11"/>
        <rFont val="Calibri"/>
        <family val="2"/>
      </rPr>
      <t>HFO,L,P,old</t>
    </r>
    <r>
      <rPr>
        <sz val="11"/>
        <rFont val="Calibri"/>
        <family val="2"/>
      </rPr>
      <t>)+(ASF</t>
    </r>
    <r>
      <rPr>
        <vertAlign val="subscript"/>
        <sz val="11"/>
        <rFont val="Calibri"/>
        <family val="2"/>
      </rPr>
      <t>HFO,L</t>
    </r>
    <r>
      <rPr>
        <sz val="11"/>
        <rFont val="Calibri"/>
        <family val="2"/>
      </rPr>
      <t>*(AM</t>
    </r>
    <r>
      <rPr>
        <vertAlign val="subscript"/>
        <sz val="11"/>
        <rFont val="Calibri"/>
        <family val="2"/>
      </rPr>
      <t>P</t>
    </r>
    <r>
      <rPr>
        <sz val="11"/>
        <rFont val="Calibri"/>
        <family val="2"/>
      </rPr>
      <t>/AM</t>
    </r>
    <r>
      <rPr>
        <vertAlign val="subscript"/>
        <sz val="11"/>
        <rFont val="Calibri"/>
        <family val="2"/>
      </rPr>
      <t>Fe</t>
    </r>
    <r>
      <rPr>
        <sz val="11"/>
        <rFont val="Calibri"/>
        <family val="2"/>
      </rPr>
      <t>))*X</t>
    </r>
    <r>
      <rPr>
        <vertAlign val="subscript"/>
        <sz val="11"/>
        <rFont val="Calibri"/>
        <family val="2"/>
      </rPr>
      <t>HFO,L,P,old</t>
    </r>
    <r>
      <rPr>
        <sz val="11"/>
        <rFont val="Calibri"/>
        <family val="2"/>
      </rPr>
      <t>/(X</t>
    </r>
    <r>
      <rPr>
        <vertAlign val="subscript"/>
        <sz val="11"/>
        <rFont val="Calibri"/>
        <family val="2"/>
      </rPr>
      <t>HFO,H,P,old</t>
    </r>
    <r>
      <rPr>
        <sz val="11"/>
        <rFont val="Calibri"/>
        <family val="2"/>
      </rPr>
      <t>+X</t>
    </r>
    <r>
      <rPr>
        <vertAlign val="subscript"/>
        <sz val="11"/>
        <rFont val="Calibri"/>
        <family val="2"/>
      </rPr>
      <t>HFO,L,P,old</t>
    </r>
    <r>
      <rPr>
        <sz val="11"/>
        <rFont val="Calibri"/>
        <family val="2"/>
      </rPr>
      <t>)</t>
    </r>
  </si>
  <si>
    <r>
      <t>ASF</t>
    </r>
    <r>
      <rPr>
        <vertAlign val="subscript"/>
        <sz val="11"/>
        <rFont val="Calibri"/>
        <family val="2"/>
        <scheme val="minor"/>
      </rPr>
      <t>HFO,H</t>
    </r>
    <r>
      <rPr>
        <sz val="11"/>
        <rFont val="Calibri"/>
        <family val="2"/>
        <scheme val="minor"/>
      </rPr>
      <t>*(AM</t>
    </r>
    <r>
      <rPr>
        <vertAlign val="subscript"/>
        <sz val="11"/>
        <rFont val="Calibri"/>
        <family val="2"/>
        <scheme val="minor"/>
      </rPr>
      <t>P</t>
    </r>
    <r>
      <rPr>
        <sz val="11"/>
        <rFont val="Calibri"/>
        <family val="2"/>
        <scheme val="minor"/>
      </rPr>
      <t>/AM</t>
    </r>
    <r>
      <rPr>
        <vertAlign val="subscript"/>
        <sz val="11"/>
        <rFont val="Calibri"/>
        <family val="2"/>
        <scheme val="minor"/>
      </rPr>
      <t>Fe</t>
    </r>
    <r>
      <rPr>
        <sz val="11"/>
        <rFont val="Calibri"/>
        <family val="2"/>
        <scheme val="minor"/>
      </rPr>
      <t>)</t>
    </r>
  </si>
  <si>
    <r>
      <t>(X</t>
    </r>
    <r>
      <rPr>
        <vertAlign val="subscript"/>
        <sz val="11"/>
        <rFont val="Calibri"/>
        <family val="2"/>
        <scheme val="minor"/>
      </rPr>
      <t>HFO,L,P</t>
    </r>
    <r>
      <rPr>
        <sz val="11"/>
        <rFont val="Calibri"/>
        <family val="2"/>
        <scheme val="minor"/>
      </rPr>
      <t>+X</t>
    </r>
    <r>
      <rPr>
        <vertAlign val="subscript"/>
        <sz val="11"/>
        <rFont val="Calibri"/>
        <family val="2"/>
        <scheme val="minor"/>
      </rPr>
      <t>HFO,L,P,old</t>
    </r>
    <r>
      <rPr>
        <sz val="11"/>
        <rFont val="Calibri"/>
        <family val="2"/>
        <scheme val="minor"/>
      </rPr>
      <t>)*ASF</t>
    </r>
    <r>
      <rPr>
        <vertAlign val="subscript"/>
        <sz val="11"/>
        <rFont val="Calibri"/>
        <family val="2"/>
        <scheme val="minor"/>
      </rPr>
      <t>HFO,L</t>
    </r>
    <r>
      <rPr>
        <sz val="11"/>
        <rFont val="Calibri"/>
        <family val="2"/>
        <scheme val="minor"/>
      </rPr>
      <t>*(AM</t>
    </r>
    <r>
      <rPr>
        <vertAlign val="subscript"/>
        <sz val="11"/>
        <rFont val="Calibri"/>
        <family val="2"/>
        <scheme val="minor"/>
      </rPr>
      <t>P</t>
    </r>
    <r>
      <rPr>
        <sz val="11"/>
        <rFont val="Calibri"/>
        <family val="2"/>
        <scheme val="minor"/>
      </rPr>
      <t>/AM</t>
    </r>
    <r>
      <rPr>
        <vertAlign val="subscript"/>
        <sz val="11"/>
        <rFont val="Calibri"/>
        <family val="2"/>
        <scheme val="minor"/>
      </rPr>
      <t>Fe</t>
    </r>
    <r>
      <rPr>
        <sz val="11"/>
        <rFont val="Calibri"/>
        <family val="2"/>
        <scheme val="minor"/>
      </rPr>
      <t>)+(X</t>
    </r>
    <r>
      <rPr>
        <vertAlign val="subscript"/>
        <sz val="11"/>
        <rFont val="Calibri"/>
        <family val="2"/>
        <scheme val="minor"/>
      </rPr>
      <t>HFO,H,P</t>
    </r>
    <r>
      <rPr>
        <sz val="11"/>
        <rFont val="Calibri"/>
        <family val="2"/>
        <scheme val="minor"/>
      </rPr>
      <t>+X</t>
    </r>
    <r>
      <rPr>
        <vertAlign val="subscript"/>
        <sz val="11"/>
        <rFont val="Calibri"/>
        <family val="2"/>
        <scheme val="minor"/>
      </rPr>
      <t>HFO,H,P,old</t>
    </r>
    <r>
      <rPr>
        <sz val="11"/>
        <rFont val="Calibri"/>
        <family val="2"/>
        <scheme val="minor"/>
      </rPr>
      <t>)*ASF</t>
    </r>
    <r>
      <rPr>
        <vertAlign val="subscript"/>
        <sz val="11"/>
        <rFont val="Calibri"/>
        <family val="2"/>
        <scheme val="minor"/>
      </rPr>
      <t>HFO,H</t>
    </r>
    <r>
      <rPr>
        <sz val="11"/>
        <rFont val="Calibri"/>
        <family val="2"/>
        <scheme val="minor"/>
      </rPr>
      <t>*(AM</t>
    </r>
    <r>
      <rPr>
        <vertAlign val="subscript"/>
        <sz val="11"/>
        <rFont val="Calibri"/>
        <family val="2"/>
        <scheme val="minor"/>
      </rPr>
      <t>P</t>
    </r>
    <r>
      <rPr>
        <sz val="11"/>
        <rFont val="Calibri"/>
        <family val="2"/>
        <scheme val="minor"/>
      </rPr>
      <t>/AM</t>
    </r>
    <r>
      <rPr>
        <vertAlign val="subscript"/>
        <sz val="11"/>
        <rFont val="Calibri"/>
        <family val="2"/>
        <scheme val="minor"/>
      </rPr>
      <t>Fe</t>
    </r>
    <r>
      <rPr>
        <sz val="11"/>
        <rFont val="Calibri"/>
        <family val="2"/>
        <scheme val="minor"/>
      </rPr>
      <t>)</t>
    </r>
  </si>
  <si>
    <r>
      <t>(1-f</t>
    </r>
    <r>
      <rPr>
        <vertAlign val="subscript"/>
        <sz val="11"/>
        <rFont val="Calibri"/>
        <family val="2"/>
        <scheme val="minor"/>
      </rPr>
      <t>H2O,HFO,TSS</t>
    </r>
    <r>
      <rPr>
        <sz val="11"/>
        <rFont val="Calibri"/>
        <family val="2"/>
        <scheme val="minor"/>
      </rPr>
      <t>)*X</t>
    </r>
    <r>
      <rPr>
        <vertAlign val="subscript"/>
        <sz val="11"/>
        <rFont val="Calibri"/>
        <family val="2"/>
        <scheme val="minor"/>
      </rPr>
      <t>HFO</t>
    </r>
    <r>
      <rPr>
        <sz val="11"/>
        <rFont val="Calibri"/>
        <family val="2"/>
        <scheme val="minor"/>
      </rPr>
      <t>*MM</t>
    </r>
    <r>
      <rPr>
        <vertAlign val="subscript"/>
        <sz val="11"/>
        <rFont val="Calibri"/>
        <family val="2"/>
        <scheme val="minor"/>
      </rPr>
      <t>FeOH3</t>
    </r>
    <r>
      <rPr>
        <sz val="11"/>
        <rFont val="Calibri"/>
        <family val="2"/>
        <scheme val="minor"/>
      </rPr>
      <t>/AM</t>
    </r>
    <r>
      <rPr>
        <vertAlign val="subscript"/>
        <sz val="11"/>
        <rFont val="Calibri"/>
        <family val="2"/>
        <scheme val="minor"/>
      </rPr>
      <t>Fe</t>
    </r>
    <r>
      <rPr>
        <sz val="11"/>
        <rFont val="Calibri"/>
        <family val="2"/>
        <scheme val="minor"/>
      </rPr>
      <t>+ (X</t>
    </r>
    <r>
      <rPr>
        <vertAlign val="subscript"/>
        <sz val="11"/>
        <rFont val="Calibri"/>
        <family val="2"/>
        <scheme val="minor"/>
      </rPr>
      <t>HFO,L,P</t>
    </r>
    <r>
      <rPr>
        <sz val="11"/>
        <rFont val="Calibri"/>
        <family val="2"/>
        <scheme val="minor"/>
      </rPr>
      <t>+X</t>
    </r>
    <r>
      <rPr>
        <vertAlign val="subscript"/>
        <sz val="11"/>
        <rFont val="Calibri"/>
        <family val="2"/>
        <scheme val="minor"/>
      </rPr>
      <t>HFO,L,P,old</t>
    </r>
    <r>
      <rPr>
        <sz val="11"/>
        <rFont val="Calibri"/>
        <family val="2"/>
        <scheme val="minor"/>
      </rPr>
      <t>)*ASF</t>
    </r>
    <r>
      <rPr>
        <vertAlign val="subscript"/>
        <sz val="11"/>
        <rFont val="Calibri"/>
        <family val="2"/>
        <scheme val="minor"/>
      </rPr>
      <t>HFO,L</t>
    </r>
    <r>
      <rPr>
        <sz val="11"/>
        <rFont val="Calibri"/>
        <family val="2"/>
        <scheme val="minor"/>
      </rPr>
      <t>*(MM</t>
    </r>
    <r>
      <rPr>
        <vertAlign val="subscript"/>
        <sz val="11"/>
        <rFont val="Calibri"/>
        <family val="2"/>
        <scheme val="minor"/>
      </rPr>
      <t>PO4</t>
    </r>
    <r>
      <rPr>
        <sz val="11"/>
        <rFont val="Calibri"/>
        <family val="2"/>
        <scheme val="minor"/>
      </rPr>
      <t>/AM</t>
    </r>
    <r>
      <rPr>
        <vertAlign val="subscript"/>
        <sz val="11"/>
        <rFont val="Calibri"/>
        <family val="2"/>
        <scheme val="minor"/>
      </rPr>
      <t>Fe</t>
    </r>
    <r>
      <rPr>
        <sz val="11"/>
        <rFont val="Calibri"/>
        <family val="2"/>
        <scheme val="minor"/>
      </rPr>
      <t>)+(X</t>
    </r>
    <r>
      <rPr>
        <vertAlign val="subscript"/>
        <sz val="11"/>
        <rFont val="Calibri"/>
        <family val="2"/>
        <scheme val="minor"/>
      </rPr>
      <t>HFO,H,P</t>
    </r>
    <r>
      <rPr>
        <sz val="11"/>
        <rFont val="Calibri"/>
        <family val="2"/>
        <scheme val="minor"/>
      </rPr>
      <t>+X</t>
    </r>
    <r>
      <rPr>
        <vertAlign val="subscript"/>
        <sz val="11"/>
        <rFont val="Calibri"/>
        <family val="2"/>
        <scheme val="minor"/>
      </rPr>
      <t>HFO,H,P,old</t>
    </r>
    <r>
      <rPr>
        <sz val="11"/>
        <rFont val="Calibri"/>
        <family val="2"/>
        <scheme val="minor"/>
      </rPr>
      <t>)*ASF</t>
    </r>
    <r>
      <rPr>
        <vertAlign val="subscript"/>
        <sz val="11"/>
        <rFont val="Calibri"/>
        <family val="2"/>
        <scheme val="minor"/>
      </rPr>
      <t>HFO,H</t>
    </r>
    <r>
      <rPr>
        <sz val="11"/>
        <rFont val="Calibri"/>
        <family val="2"/>
        <scheme val="minor"/>
      </rPr>
      <t>*(MM</t>
    </r>
    <r>
      <rPr>
        <vertAlign val="subscript"/>
        <sz val="11"/>
        <rFont val="Calibri"/>
        <family val="2"/>
        <scheme val="minor"/>
      </rPr>
      <t>PO4</t>
    </r>
    <r>
      <rPr>
        <sz val="11"/>
        <rFont val="Calibri"/>
        <family val="2"/>
        <scheme val="minor"/>
      </rPr>
      <t>/AM</t>
    </r>
    <r>
      <rPr>
        <vertAlign val="subscript"/>
        <sz val="11"/>
        <rFont val="Calibri"/>
        <family val="2"/>
        <scheme val="minor"/>
      </rPr>
      <t>Fe</t>
    </r>
    <r>
      <rPr>
        <sz val="11"/>
        <rFont val="Calibri"/>
        <family val="2"/>
        <scheme val="minor"/>
      </rPr>
      <t>)</t>
    </r>
  </si>
  <si>
    <t>r41</t>
  </si>
  <si>
    <t>r42</t>
  </si>
  <si>
    <t>r43</t>
  </si>
  <si>
    <t>r44</t>
  </si>
  <si>
    <t>r45</t>
  </si>
  <si>
    <r>
      <t>-(v1_S</t>
    </r>
    <r>
      <rPr>
        <vertAlign val="subscript"/>
        <sz val="11"/>
        <rFont val="Calibri"/>
        <family val="2"/>
        <scheme val="minor"/>
      </rPr>
      <t>O2</t>
    </r>
    <r>
      <rPr>
        <sz val="11"/>
        <rFont val="Calibri"/>
        <family val="2"/>
        <scheme val="minor"/>
      </rPr>
      <t xml:space="preserve"> * r1 + v4_S</t>
    </r>
    <r>
      <rPr>
        <vertAlign val="subscript"/>
        <sz val="11"/>
        <rFont val="Calibri"/>
        <family val="2"/>
        <scheme val="minor"/>
      </rPr>
      <t>O2</t>
    </r>
    <r>
      <rPr>
        <sz val="11"/>
        <rFont val="Calibri"/>
        <family val="2"/>
        <scheme val="minor"/>
      </rPr>
      <t xml:space="preserve"> * r4 + v9_S</t>
    </r>
    <r>
      <rPr>
        <vertAlign val="subscript"/>
        <sz val="11"/>
        <rFont val="Calibri"/>
        <family val="2"/>
        <scheme val="minor"/>
      </rPr>
      <t>O2</t>
    </r>
    <r>
      <rPr>
        <sz val="11"/>
        <rFont val="Calibri"/>
        <family val="2"/>
        <scheme val="minor"/>
      </rPr>
      <t xml:space="preserve"> * r9 + v14_S</t>
    </r>
    <r>
      <rPr>
        <vertAlign val="subscript"/>
        <sz val="11"/>
        <rFont val="Calibri"/>
        <family val="2"/>
        <scheme val="minor"/>
      </rPr>
      <t>O2</t>
    </r>
    <r>
      <rPr>
        <sz val="11"/>
        <rFont val="Calibri"/>
        <family val="2"/>
        <scheme val="minor"/>
      </rPr>
      <t xml:space="preserve"> * r14 + v21_S</t>
    </r>
    <r>
      <rPr>
        <vertAlign val="subscript"/>
        <sz val="11"/>
        <rFont val="Calibri"/>
        <family val="2"/>
        <scheme val="minor"/>
      </rPr>
      <t>O2</t>
    </r>
    <r>
      <rPr>
        <sz val="11"/>
        <rFont val="Calibri"/>
        <family val="2"/>
        <scheme val="minor"/>
      </rPr>
      <t xml:space="preserve"> * r21 + v24_S</t>
    </r>
    <r>
      <rPr>
        <vertAlign val="subscript"/>
        <sz val="11"/>
        <rFont val="Calibri"/>
        <family val="2"/>
        <charset val="238"/>
        <scheme val="minor"/>
      </rPr>
      <t>O2</t>
    </r>
    <r>
      <rPr>
        <sz val="11"/>
        <rFont val="Calibri"/>
        <family val="2"/>
        <scheme val="minor"/>
      </rPr>
      <t xml:space="preserve"> * r24 + v27_S</t>
    </r>
    <r>
      <rPr>
        <vertAlign val="subscript"/>
        <sz val="11"/>
        <rFont val="Calibri"/>
        <family val="2"/>
        <scheme val="minor"/>
      </rPr>
      <t>O2</t>
    </r>
    <r>
      <rPr>
        <sz val="11"/>
        <rFont val="Calibri"/>
        <family val="2"/>
        <scheme val="minor"/>
      </rPr>
      <t xml:space="preserve"> * r27 + v32_S</t>
    </r>
    <r>
      <rPr>
        <vertAlign val="subscript"/>
        <sz val="11"/>
        <rFont val="Calibri"/>
        <family val="2"/>
        <scheme val="minor"/>
      </rPr>
      <t>O2</t>
    </r>
    <r>
      <rPr>
        <sz val="11"/>
        <rFont val="Calibri"/>
        <family val="2"/>
        <scheme val="minor"/>
      </rPr>
      <t xml:space="preserve"> * r32)</t>
    </r>
  </si>
  <si>
    <t>Total organic Kjeldahl nitrogen</t>
  </si>
  <si>
    <r>
      <t>T</t>
    </r>
    <r>
      <rPr>
        <vertAlign val="subscript"/>
        <sz val="11"/>
        <rFont val="Calibri"/>
        <family val="2"/>
        <charset val="238"/>
        <scheme val="minor"/>
      </rPr>
      <t>KN,B</t>
    </r>
  </si>
  <si>
    <r>
      <t>PUR</t>
    </r>
    <r>
      <rPr>
        <vertAlign val="subscript"/>
        <sz val="11"/>
        <rFont val="Calibri"/>
        <family val="2"/>
        <scheme val="minor"/>
      </rPr>
      <t>BIO</t>
    </r>
    <r>
      <rPr>
        <sz val="11"/>
        <rFont val="Calibri"/>
        <family val="2"/>
        <scheme val="minor"/>
      </rPr>
      <t xml:space="preserve"> + PUR</t>
    </r>
    <r>
      <rPr>
        <vertAlign val="subscript"/>
        <sz val="11"/>
        <rFont val="Calibri"/>
        <family val="2"/>
        <scheme val="minor"/>
      </rPr>
      <t>CHEM</t>
    </r>
  </si>
  <si>
    <t>Phosphorus uptake rate of PAO (PURBIOP)</t>
  </si>
  <si>
    <r>
      <t>PUR</t>
    </r>
    <r>
      <rPr>
        <vertAlign val="subscript"/>
        <sz val="11"/>
        <rFont val="Calibri"/>
        <family val="2"/>
        <charset val="238"/>
        <scheme val="minor"/>
      </rPr>
      <t>BIOP</t>
    </r>
  </si>
  <si>
    <r>
      <t>-(v24_S</t>
    </r>
    <r>
      <rPr>
        <vertAlign val="subscript"/>
        <sz val="11"/>
        <rFont val="Calibri"/>
        <family val="2"/>
        <charset val="238"/>
        <scheme val="minor"/>
      </rPr>
      <t>PO4</t>
    </r>
    <r>
      <rPr>
        <sz val="11"/>
        <rFont val="Calibri"/>
        <family val="2"/>
        <scheme val="minor"/>
      </rPr>
      <t xml:space="preserve"> * r24 + v25_S</t>
    </r>
    <r>
      <rPr>
        <vertAlign val="subscript"/>
        <sz val="11"/>
        <rFont val="Calibri"/>
        <family val="2"/>
        <charset val="238"/>
        <scheme val="minor"/>
      </rPr>
      <t>PO4</t>
    </r>
    <r>
      <rPr>
        <sz val="11"/>
        <rFont val="Calibri"/>
        <family val="2"/>
        <scheme val="minor"/>
      </rPr>
      <t xml:space="preserve"> * r25 + v26_S</t>
    </r>
    <r>
      <rPr>
        <vertAlign val="subscript"/>
        <sz val="11"/>
        <rFont val="Calibri"/>
        <family val="2"/>
        <charset val="238"/>
        <scheme val="minor"/>
      </rPr>
      <t>PO4</t>
    </r>
    <r>
      <rPr>
        <sz val="11"/>
        <rFont val="Calibri"/>
        <family val="2"/>
        <scheme val="minor"/>
      </rPr>
      <t xml:space="preserve"> * r26)</t>
    </r>
  </si>
  <si>
    <r>
      <t>K</t>
    </r>
    <r>
      <rPr>
        <vertAlign val="subscript"/>
        <sz val="11"/>
        <rFont val="Calibri"/>
        <family val="2"/>
        <scheme val="minor"/>
      </rPr>
      <t>sp,ACP,param</t>
    </r>
    <r>
      <rPr>
        <sz val="11"/>
        <rFont val="Calibri"/>
        <family val="2"/>
        <scheme val="minor"/>
      </rPr>
      <t>/(f</t>
    </r>
    <r>
      <rPr>
        <vertAlign val="subscript"/>
        <sz val="11"/>
        <rFont val="Calibri"/>
        <family val="2"/>
        <scheme val="minor"/>
      </rPr>
      <t>di</t>
    </r>
    <r>
      <rPr>
        <vertAlign val="superscript"/>
        <sz val="11"/>
        <rFont val="Calibri"/>
        <family val="2"/>
        <scheme val="minor"/>
      </rPr>
      <t>^(3/5)</t>
    </r>
    <r>
      <rPr>
        <sz val="11"/>
        <rFont val="Calibri"/>
        <family val="2"/>
        <scheme val="minor"/>
      </rPr>
      <t>*f</t>
    </r>
    <r>
      <rPr>
        <vertAlign val="subscript"/>
        <sz val="11"/>
        <rFont val="Calibri"/>
        <family val="2"/>
        <scheme val="minor"/>
      </rPr>
      <t>tri</t>
    </r>
    <r>
      <rPr>
        <vertAlign val="superscript"/>
        <sz val="11"/>
        <rFont val="Calibri"/>
        <family val="2"/>
        <scheme val="minor"/>
      </rPr>
      <t>^(2/5)</t>
    </r>
    <r>
      <rPr>
        <sz val="11"/>
        <rFont val="Calibri"/>
        <family val="2"/>
        <scheme val="minor"/>
      </rPr>
      <t>)</t>
    </r>
  </si>
  <si>
    <r>
      <t>K</t>
    </r>
    <r>
      <rPr>
        <vertAlign val="subscript"/>
        <sz val="11"/>
        <rFont val="Calibri"/>
        <family val="2"/>
        <scheme val="minor"/>
      </rPr>
      <t>sp,Vivi,param</t>
    </r>
    <r>
      <rPr>
        <sz val="11"/>
        <rFont val="Calibri"/>
        <family val="2"/>
        <scheme val="minor"/>
      </rPr>
      <t>/(f</t>
    </r>
    <r>
      <rPr>
        <vertAlign val="subscript"/>
        <sz val="11"/>
        <rFont val="Calibri"/>
        <family val="2"/>
        <scheme val="minor"/>
      </rPr>
      <t>di</t>
    </r>
    <r>
      <rPr>
        <vertAlign val="superscript"/>
        <sz val="11"/>
        <rFont val="Calibri"/>
        <family val="2"/>
        <scheme val="minor"/>
      </rPr>
      <t>^(3/5)</t>
    </r>
    <r>
      <rPr>
        <sz val="11"/>
        <rFont val="Calibri"/>
        <family val="2"/>
        <scheme val="minor"/>
      </rPr>
      <t>*f</t>
    </r>
    <r>
      <rPr>
        <vertAlign val="subscript"/>
        <sz val="11"/>
        <rFont val="Calibri"/>
        <family val="2"/>
        <scheme val="minor"/>
      </rPr>
      <t>tri</t>
    </r>
    <r>
      <rPr>
        <vertAlign val="superscript"/>
        <sz val="11"/>
        <rFont val="Calibri"/>
        <family val="2"/>
        <scheme val="minor"/>
      </rPr>
      <t>^(2/5)</t>
    </r>
    <r>
      <rPr>
        <sz val="11"/>
        <rFont val="Calibri"/>
        <family val="2"/>
        <scheme val="minor"/>
      </rPr>
      <t>)</t>
    </r>
  </si>
  <si>
    <r>
      <t>K</t>
    </r>
    <r>
      <rPr>
        <vertAlign val="subscript"/>
        <sz val="11"/>
        <rFont val="Calibri"/>
        <family val="2"/>
        <scheme val="minor"/>
      </rPr>
      <t>sp,STR,param</t>
    </r>
    <r>
      <rPr>
        <sz val="11"/>
        <rFont val="Calibri"/>
        <family val="2"/>
        <scheme val="minor"/>
      </rPr>
      <t>/(f</t>
    </r>
    <r>
      <rPr>
        <vertAlign val="subscript"/>
        <sz val="11"/>
        <rFont val="Calibri"/>
        <family val="2"/>
        <scheme val="minor"/>
      </rPr>
      <t>di</t>
    </r>
    <r>
      <rPr>
        <sz val="11"/>
        <rFont val="Calibri"/>
        <family val="2"/>
        <scheme val="minor"/>
      </rPr>
      <t>^</t>
    </r>
    <r>
      <rPr>
        <vertAlign val="superscript"/>
        <sz val="11"/>
        <rFont val="Calibri"/>
        <family val="2"/>
        <scheme val="minor"/>
      </rPr>
      <t>(1/3)</t>
    </r>
    <r>
      <rPr>
        <sz val="11"/>
        <rFont val="Calibri"/>
        <family val="2"/>
        <scheme val="minor"/>
      </rPr>
      <t>*f</t>
    </r>
    <r>
      <rPr>
        <vertAlign val="subscript"/>
        <sz val="11"/>
        <rFont val="Calibri"/>
        <family val="2"/>
        <scheme val="minor"/>
      </rPr>
      <t>mono</t>
    </r>
    <r>
      <rPr>
        <sz val="11"/>
        <rFont val="Calibri"/>
        <family val="2"/>
        <scheme val="minor"/>
      </rPr>
      <t>^</t>
    </r>
    <r>
      <rPr>
        <vertAlign val="superscript"/>
        <sz val="11"/>
        <rFont val="Calibri"/>
        <family val="2"/>
        <scheme val="minor"/>
      </rPr>
      <t>(1/3)</t>
    </r>
    <r>
      <rPr>
        <sz val="11"/>
        <rFont val="Calibri"/>
        <family val="2"/>
        <scheme val="minor"/>
      </rPr>
      <t>*f</t>
    </r>
    <r>
      <rPr>
        <vertAlign val="subscript"/>
        <sz val="11"/>
        <rFont val="Calibri"/>
        <family val="2"/>
        <scheme val="minor"/>
      </rPr>
      <t>tri</t>
    </r>
    <r>
      <rPr>
        <sz val="11"/>
        <rFont val="Calibri"/>
        <family val="2"/>
        <scheme val="minor"/>
      </rPr>
      <t>^</t>
    </r>
    <r>
      <rPr>
        <vertAlign val="superscript"/>
        <sz val="11"/>
        <rFont val="Calibri"/>
        <family val="2"/>
        <scheme val="minor"/>
      </rPr>
      <t>(1/3)</t>
    </r>
    <r>
      <rPr>
        <sz val="11"/>
        <rFont val="Calibri"/>
        <family val="2"/>
        <charset val="238"/>
        <scheme val="minor"/>
      </rPr>
      <t>)</t>
    </r>
  </si>
  <si>
    <r>
      <t>K</t>
    </r>
    <r>
      <rPr>
        <vertAlign val="subscript"/>
        <sz val="11"/>
        <rFont val="Calibri"/>
        <family val="2"/>
        <scheme val="minor"/>
      </rPr>
      <t>sp,CaCO3,param</t>
    </r>
    <r>
      <rPr>
        <sz val="11"/>
        <rFont val="Calibri"/>
        <family val="2"/>
        <scheme val="minor"/>
      </rPr>
      <t>/f</t>
    </r>
    <r>
      <rPr>
        <vertAlign val="subscript"/>
        <sz val="11"/>
        <rFont val="Calibri"/>
        <family val="2"/>
        <scheme val="minor"/>
      </rPr>
      <t>di</t>
    </r>
  </si>
  <si>
    <r>
      <t>i</t>
    </r>
    <r>
      <rPr>
        <vertAlign val="subscript"/>
        <sz val="11"/>
        <rFont val="Calibri"/>
        <family val="2"/>
        <scheme val="minor"/>
      </rPr>
      <t>P,AHO</t>
    </r>
  </si>
  <si>
    <t>P content of AHO</t>
  </si>
  <si>
    <t>Truong et al. (2021)</t>
  </si>
  <si>
    <r>
      <t>-i</t>
    </r>
    <r>
      <rPr>
        <vertAlign val="subscript"/>
        <sz val="11"/>
        <color indexed="8"/>
        <rFont val="Calibri"/>
        <family val="2"/>
      </rPr>
      <t>P,AHO</t>
    </r>
  </si>
  <si>
    <r>
      <t>i</t>
    </r>
    <r>
      <rPr>
        <vertAlign val="subscript"/>
        <sz val="11"/>
        <color indexed="8"/>
        <rFont val="Calibri"/>
        <family val="2"/>
      </rPr>
      <t>P,AHO</t>
    </r>
    <r>
      <rPr>
        <sz val="11"/>
        <color indexed="8"/>
        <rFont val="Calibri"/>
        <family val="2"/>
      </rPr>
      <t>-f</t>
    </r>
    <r>
      <rPr>
        <vertAlign val="subscript"/>
        <sz val="11"/>
        <color indexed="8"/>
        <rFont val="Calibri"/>
        <family val="2"/>
      </rPr>
      <t>E</t>
    </r>
    <r>
      <rPr>
        <sz val="11"/>
        <color indexed="8"/>
        <rFont val="Calibri"/>
        <family val="2"/>
      </rPr>
      <t>*(1-f</t>
    </r>
    <r>
      <rPr>
        <vertAlign val="subscript"/>
        <sz val="11"/>
        <color indexed="8"/>
        <rFont val="Calibri"/>
        <family val="2"/>
      </rPr>
      <t>C</t>
    </r>
    <r>
      <rPr>
        <sz val="11"/>
        <color indexed="8"/>
        <rFont val="Calibri"/>
        <family val="2"/>
      </rPr>
      <t>)*i</t>
    </r>
    <r>
      <rPr>
        <vertAlign val="subscript"/>
        <sz val="11"/>
        <color indexed="8"/>
        <rFont val="Calibri"/>
        <family val="2"/>
      </rPr>
      <t>P,BIO</t>
    </r>
    <r>
      <rPr>
        <sz val="11"/>
        <color indexed="8"/>
        <rFont val="Calibri"/>
        <family val="2"/>
      </rPr>
      <t>-f</t>
    </r>
    <r>
      <rPr>
        <vertAlign val="subscript"/>
        <sz val="11"/>
        <color indexed="8"/>
        <rFont val="Calibri"/>
        <family val="2"/>
      </rPr>
      <t>C</t>
    </r>
    <r>
      <rPr>
        <sz val="11"/>
        <color indexed="8"/>
        <rFont val="Calibri"/>
        <family val="2"/>
      </rPr>
      <t>*i</t>
    </r>
    <r>
      <rPr>
        <vertAlign val="subscript"/>
        <sz val="11"/>
        <color indexed="8"/>
        <rFont val="Calibri"/>
        <family val="2"/>
      </rPr>
      <t>P,CB</t>
    </r>
    <r>
      <rPr>
        <sz val="11"/>
        <color indexed="8"/>
        <rFont val="Calibri"/>
        <family val="2"/>
      </rPr>
      <t>-(1-f</t>
    </r>
    <r>
      <rPr>
        <vertAlign val="subscript"/>
        <sz val="11"/>
        <color indexed="8"/>
        <rFont val="Calibri"/>
        <family val="2"/>
      </rPr>
      <t>E</t>
    </r>
    <r>
      <rPr>
        <sz val="11"/>
        <color indexed="8"/>
        <rFont val="Calibri"/>
        <family val="2"/>
      </rPr>
      <t>)*(1-f</t>
    </r>
    <r>
      <rPr>
        <vertAlign val="subscript"/>
        <sz val="11"/>
        <color indexed="8"/>
        <rFont val="Calibri"/>
        <family val="2"/>
      </rPr>
      <t>C</t>
    </r>
    <r>
      <rPr>
        <sz val="11"/>
        <color indexed="8"/>
        <rFont val="Calibri"/>
        <family val="2"/>
      </rPr>
      <t>)*i</t>
    </r>
    <r>
      <rPr>
        <vertAlign val="subscript"/>
        <sz val="11"/>
        <color indexed="8"/>
        <rFont val="Calibri"/>
        <family val="2"/>
      </rPr>
      <t>P,BIO</t>
    </r>
    <r>
      <rPr>
        <sz val="11"/>
        <color indexed="8"/>
        <rFont val="Calibri"/>
        <family val="2"/>
      </rPr>
      <t>-f</t>
    </r>
    <r>
      <rPr>
        <vertAlign val="subscript"/>
        <sz val="11"/>
        <color indexed="8"/>
        <rFont val="Calibri"/>
        <family val="2"/>
      </rPr>
      <t>C</t>
    </r>
    <r>
      <rPr>
        <sz val="11"/>
        <color indexed="8"/>
        <rFont val="Calibri"/>
        <family val="2"/>
      </rPr>
      <t>*X</t>
    </r>
    <r>
      <rPr>
        <vertAlign val="subscript"/>
        <sz val="11"/>
        <color indexed="8"/>
        <rFont val="Calibri"/>
        <family val="2"/>
      </rPr>
      <t>STO</t>
    </r>
    <r>
      <rPr>
        <sz val="11"/>
        <color indexed="8"/>
        <rFont val="Calibri"/>
        <family val="2"/>
      </rPr>
      <t>/X</t>
    </r>
    <r>
      <rPr>
        <vertAlign val="subscript"/>
        <sz val="11"/>
        <color indexed="8"/>
        <rFont val="Calibri"/>
        <family val="2"/>
      </rPr>
      <t>AHO</t>
    </r>
    <r>
      <rPr>
        <sz val="11"/>
        <color indexed="8"/>
        <rFont val="Calibri"/>
        <family val="2"/>
      </rPr>
      <t>*i</t>
    </r>
    <r>
      <rPr>
        <vertAlign val="subscript"/>
        <sz val="11"/>
        <color indexed="8"/>
        <rFont val="Calibri"/>
        <family val="2"/>
      </rPr>
      <t>P,CB</t>
    </r>
  </si>
  <si>
    <r>
      <t>i</t>
    </r>
    <r>
      <rPr>
        <vertAlign val="subscript"/>
        <sz val="11"/>
        <color indexed="8"/>
        <rFont val="Calibri"/>
        <family val="2"/>
      </rPr>
      <t>P,AHO</t>
    </r>
  </si>
  <si>
    <r>
      <t>Logsat</t>
    </r>
    <r>
      <rPr>
        <vertAlign val="subscript"/>
        <sz val="11"/>
        <rFont val="Calibri"/>
        <family val="2"/>
        <scheme val="minor"/>
      </rPr>
      <t>XPP,KPO4,PAO</t>
    </r>
  </si>
  <si>
    <t>Logistic saturation term for PP in PP cleavage (PAO)</t>
  </si>
  <si>
    <r>
      <t>b</t>
    </r>
    <r>
      <rPr>
        <vertAlign val="subscript"/>
        <sz val="11"/>
        <rFont val="Calibri"/>
        <family val="2"/>
      </rPr>
      <t>PP,ana,T</t>
    </r>
    <r>
      <rPr>
        <sz val="11"/>
        <rFont val="Calibri"/>
        <family val="2"/>
      </rPr>
      <t xml:space="preserve"> * X</t>
    </r>
    <r>
      <rPr>
        <vertAlign val="subscript"/>
        <sz val="11"/>
        <rFont val="Calibri"/>
        <family val="2"/>
      </rPr>
      <t>PAO</t>
    </r>
    <r>
      <rPr>
        <sz val="11"/>
        <rFont val="Calibri"/>
        <family val="2"/>
      </rPr>
      <t xml:space="preserve"> * Logsat</t>
    </r>
    <r>
      <rPr>
        <vertAlign val="subscript"/>
        <sz val="11"/>
        <rFont val="Calibri"/>
        <family val="2"/>
      </rPr>
      <t>XPP,KPO4,PAO</t>
    </r>
    <r>
      <rPr>
        <sz val="11"/>
        <rFont val="Calibri"/>
        <family val="2"/>
      </rPr>
      <t xml:space="preserve"> * (η</t>
    </r>
    <r>
      <rPr>
        <vertAlign val="subscript"/>
        <sz val="11"/>
        <rFont val="Calibri"/>
        <family val="2"/>
      </rPr>
      <t>bPP,aer</t>
    </r>
    <r>
      <rPr>
        <sz val="11"/>
        <rFont val="Calibri"/>
        <family val="2"/>
      </rPr>
      <t xml:space="preserve"> * MRinh</t>
    </r>
    <r>
      <rPr>
        <vertAlign val="subscript"/>
        <sz val="11"/>
        <rFont val="Calibri"/>
        <family val="2"/>
      </rPr>
      <t>XPHA,XPAO,KPHA,cle</t>
    </r>
    <r>
      <rPr>
        <sz val="11"/>
        <rFont val="Calibri"/>
        <family val="2"/>
      </rPr>
      <t xml:space="preserve"> * Msat</t>
    </r>
    <r>
      <rPr>
        <vertAlign val="subscript"/>
        <sz val="11"/>
        <rFont val="Calibri"/>
        <family val="2"/>
      </rPr>
      <t>SO2,KO2,CASTO</t>
    </r>
    <r>
      <rPr>
        <sz val="11"/>
        <rFont val="Calibri"/>
        <family val="2"/>
      </rPr>
      <t xml:space="preserve"> + η</t>
    </r>
    <r>
      <rPr>
        <vertAlign val="subscript"/>
        <sz val="11"/>
        <rFont val="Calibri"/>
        <family val="2"/>
      </rPr>
      <t>bPP,anox</t>
    </r>
    <r>
      <rPr>
        <sz val="11"/>
        <rFont val="Calibri"/>
        <family val="2"/>
      </rPr>
      <t xml:space="preserve"> * Minh</t>
    </r>
    <r>
      <rPr>
        <vertAlign val="subscript"/>
        <sz val="11"/>
        <rFont val="Calibri"/>
        <family val="2"/>
      </rPr>
      <t>SO2,KO2,CASTO</t>
    </r>
    <r>
      <rPr>
        <sz val="11"/>
        <rFont val="Calibri"/>
        <family val="2"/>
      </rPr>
      <t xml:space="preserve"> * Msat</t>
    </r>
    <r>
      <rPr>
        <vertAlign val="subscript"/>
        <sz val="11"/>
        <rFont val="Calibri"/>
        <family val="2"/>
      </rPr>
      <t>SNO2,KNO2,CASTO</t>
    </r>
    <r>
      <rPr>
        <sz val="11"/>
        <rFont val="Calibri"/>
        <family val="2"/>
      </rPr>
      <t xml:space="preserve"> + η</t>
    </r>
    <r>
      <rPr>
        <vertAlign val="subscript"/>
        <sz val="11"/>
        <rFont val="Calibri"/>
        <family val="2"/>
        <charset val="238"/>
      </rPr>
      <t>bPP,anox</t>
    </r>
    <r>
      <rPr>
        <sz val="11"/>
        <rFont val="Calibri"/>
        <family val="2"/>
      </rPr>
      <t xml:space="preserve"> * Minh</t>
    </r>
    <r>
      <rPr>
        <vertAlign val="subscript"/>
        <sz val="11"/>
        <rFont val="Calibri"/>
        <family val="2"/>
        <charset val="238"/>
      </rPr>
      <t>SO2,KO2,CASTO</t>
    </r>
    <r>
      <rPr>
        <sz val="11"/>
        <rFont val="Calibri"/>
        <family val="2"/>
      </rPr>
      <t xml:space="preserve"> * Msat</t>
    </r>
    <r>
      <rPr>
        <vertAlign val="subscript"/>
        <sz val="11"/>
        <rFont val="Calibri"/>
        <family val="2"/>
        <charset val="238"/>
      </rPr>
      <t>SNO3,KNO3,CASTO</t>
    </r>
    <r>
      <rPr>
        <sz val="11"/>
        <rFont val="Calibri"/>
        <family val="2"/>
      </rPr>
      <t xml:space="preserve"> * Minh</t>
    </r>
    <r>
      <rPr>
        <vertAlign val="subscript"/>
        <sz val="11"/>
        <rFont val="Calibri"/>
        <family val="2"/>
        <charset val="238"/>
      </rPr>
      <t>SNO2,KNO2,CASTO</t>
    </r>
    <r>
      <rPr>
        <sz val="11"/>
        <rFont val="Calibri"/>
        <family val="2"/>
      </rPr>
      <t xml:space="preserve"> + Minh</t>
    </r>
    <r>
      <rPr>
        <vertAlign val="subscript"/>
        <sz val="11"/>
        <rFont val="Calibri"/>
        <family val="2"/>
      </rPr>
      <t>SO2,KO2,CASTO</t>
    </r>
    <r>
      <rPr>
        <sz val="11"/>
        <rFont val="Calibri"/>
        <family val="2"/>
      </rPr>
      <t xml:space="preserve"> * Minh</t>
    </r>
    <r>
      <rPr>
        <vertAlign val="subscript"/>
        <sz val="11"/>
        <rFont val="Calibri"/>
        <family val="2"/>
      </rPr>
      <t>SNO3,KNO3,CASTO</t>
    </r>
    <r>
      <rPr>
        <sz val="11"/>
        <rFont val="Calibri"/>
        <family val="2"/>
        <charset val="238"/>
      </rPr>
      <t xml:space="preserve"> * Minh</t>
    </r>
    <r>
      <rPr>
        <vertAlign val="subscript"/>
        <sz val="11"/>
        <rFont val="Calibri"/>
        <family val="2"/>
      </rPr>
      <t>SNO2,KNO2,CASTO</t>
    </r>
    <r>
      <rPr>
        <sz val="11"/>
        <rFont val="Calibri"/>
        <family val="2"/>
      </rPr>
      <t>)</t>
    </r>
  </si>
  <si>
    <r>
      <t>X</t>
    </r>
    <r>
      <rPr>
        <vertAlign val="subscript"/>
        <sz val="11"/>
        <rFont val="Calibri"/>
        <family val="2"/>
        <charset val="238"/>
        <scheme val="minor"/>
      </rPr>
      <t>PP,PAO,min</t>
    </r>
  </si>
  <si>
    <t>PAO PP uptake booster denominator limiting term</t>
  </si>
  <si>
    <r>
      <t>q</t>
    </r>
    <r>
      <rPr>
        <vertAlign val="subscript"/>
        <sz val="11"/>
        <rFont val="Calibri"/>
        <family val="2"/>
      </rPr>
      <t>PAO,PP,T</t>
    </r>
    <r>
      <rPr>
        <sz val="11"/>
        <rFont val="Calibri"/>
        <family val="2"/>
      </rPr>
      <t xml:space="preserve"> * X</t>
    </r>
    <r>
      <rPr>
        <vertAlign val="subscript"/>
        <sz val="11"/>
        <rFont val="Calibri"/>
        <family val="2"/>
      </rPr>
      <t>PAO</t>
    </r>
    <r>
      <rPr>
        <sz val="11"/>
        <rFont val="Calibri"/>
        <family val="2"/>
      </rPr>
      <t>/(X</t>
    </r>
    <r>
      <rPr>
        <vertAlign val="subscript"/>
        <sz val="11"/>
        <rFont val="Calibri"/>
        <family val="2"/>
        <charset val="238"/>
      </rPr>
      <t>PP</t>
    </r>
    <r>
      <rPr>
        <sz val="11"/>
        <rFont val="Calibri"/>
        <family val="2"/>
      </rPr>
      <t>+X</t>
    </r>
    <r>
      <rPr>
        <vertAlign val="subscript"/>
        <sz val="11"/>
        <rFont val="Calibri"/>
        <family val="2"/>
        <charset val="238"/>
      </rPr>
      <t>PP,PAO,min</t>
    </r>
    <r>
      <rPr>
        <sz val="11"/>
        <rFont val="Calibri"/>
        <family val="2"/>
      </rPr>
      <t>)</t>
    </r>
    <r>
      <rPr>
        <vertAlign val="subscript"/>
        <sz val="11"/>
        <rFont val="Calibri"/>
        <family val="2"/>
      </rPr>
      <t xml:space="preserve"> </t>
    </r>
    <r>
      <rPr>
        <sz val="11"/>
        <rFont val="Calibri"/>
        <family val="2"/>
      </rPr>
      <t>* X</t>
    </r>
    <r>
      <rPr>
        <vertAlign val="subscript"/>
        <sz val="11"/>
        <rFont val="Calibri"/>
        <family val="2"/>
      </rPr>
      <t xml:space="preserve">PAO </t>
    </r>
    <r>
      <rPr>
        <sz val="11"/>
        <rFont val="Calibri"/>
        <family val="2"/>
      </rPr>
      <t>* Msat</t>
    </r>
    <r>
      <rPr>
        <vertAlign val="subscript"/>
        <sz val="11"/>
        <rFont val="Calibri"/>
        <family val="2"/>
      </rPr>
      <t xml:space="preserve">SO2,KO2,CASTO </t>
    </r>
    <r>
      <rPr>
        <sz val="11"/>
        <rFont val="Calibri"/>
        <family val="2"/>
      </rPr>
      <t>* Logsat</t>
    </r>
    <r>
      <rPr>
        <vertAlign val="subscript"/>
        <sz val="11"/>
        <rFont val="Calibri"/>
        <family val="2"/>
      </rPr>
      <t xml:space="preserve">SPO4,KPO4,PAO </t>
    </r>
    <r>
      <rPr>
        <sz val="11"/>
        <rFont val="Calibri"/>
        <family val="2"/>
      </rPr>
      <t>* Loginh</t>
    </r>
    <r>
      <rPr>
        <vertAlign val="subscript"/>
        <sz val="11"/>
        <rFont val="Calibri"/>
        <family val="2"/>
      </rPr>
      <t xml:space="preserve">XPP,XPAO,max </t>
    </r>
    <r>
      <rPr>
        <sz val="11"/>
        <rFont val="Calibri"/>
        <family val="2"/>
      </rPr>
      <t>* Msat</t>
    </r>
    <r>
      <rPr>
        <vertAlign val="subscript"/>
        <sz val="11"/>
        <rFont val="Calibri"/>
        <family val="2"/>
      </rPr>
      <t xml:space="preserve">SCa,KCa,PAO </t>
    </r>
    <r>
      <rPr>
        <sz val="11"/>
        <rFont val="Calibri"/>
        <family val="2"/>
      </rPr>
      <t>* Msat</t>
    </r>
    <r>
      <rPr>
        <vertAlign val="subscript"/>
        <sz val="11"/>
        <rFont val="Calibri"/>
        <family val="2"/>
      </rPr>
      <t xml:space="preserve">SMg,KMg,PAO </t>
    </r>
    <r>
      <rPr>
        <sz val="11"/>
        <rFont val="Calibri"/>
        <family val="2"/>
      </rPr>
      <t>* Msat</t>
    </r>
    <r>
      <rPr>
        <vertAlign val="subscript"/>
        <sz val="11"/>
        <rFont val="Calibri"/>
        <family val="2"/>
      </rPr>
      <t xml:space="preserve">SK,KK,PAO </t>
    </r>
    <r>
      <rPr>
        <sz val="11"/>
        <rFont val="Calibri"/>
        <family val="2"/>
      </rPr>
      <t>* Bellinh</t>
    </r>
    <r>
      <rPr>
        <vertAlign val="subscript"/>
        <sz val="11"/>
        <rFont val="Calibri"/>
        <family val="2"/>
      </rPr>
      <t>pH</t>
    </r>
    <r>
      <rPr>
        <sz val="11"/>
        <rFont val="Calibri"/>
        <family val="2"/>
        <charset val="238"/>
      </rPr>
      <t/>
    </r>
  </si>
  <si>
    <r>
      <t>q</t>
    </r>
    <r>
      <rPr>
        <vertAlign val="subscript"/>
        <sz val="11"/>
        <rFont val="Calibri"/>
        <family val="2"/>
      </rPr>
      <t>PAO,PP,T</t>
    </r>
    <r>
      <rPr>
        <sz val="11"/>
        <rFont val="Calibri"/>
        <family val="2"/>
      </rPr>
      <t xml:space="preserve"> * X</t>
    </r>
    <r>
      <rPr>
        <vertAlign val="subscript"/>
        <sz val="11"/>
        <rFont val="Calibri"/>
        <family val="2"/>
      </rPr>
      <t>PAO</t>
    </r>
    <r>
      <rPr>
        <sz val="11"/>
        <rFont val="Calibri"/>
        <family val="2"/>
      </rPr>
      <t>/(X</t>
    </r>
    <r>
      <rPr>
        <vertAlign val="subscript"/>
        <sz val="11"/>
        <rFont val="Calibri"/>
        <family val="2"/>
        <charset val="238"/>
      </rPr>
      <t>PP</t>
    </r>
    <r>
      <rPr>
        <sz val="11"/>
        <rFont val="Calibri"/>
        <family val="2"/>
      </rPr>
      <t>+X</t>
    </r>
    <r>
      <rPr>
        <vertAlign val="subscript"/>
        <sz val="11"/>
        <rFont val="Calibri"/>
        <family val="2"/>
        <charset val="238"/>
      </rPr>
      <t>PP,PAO,min</t>
    </r>
    <r>
      <rPr>
        <sz val="11"/>
        <rFont val="Calibri"/>
        <family val="2"/>
      </rPr>
      <t>)</t>
    </r>
    <r>
      <rPr>
        <vertAlign val="subscript"/>
        <sz val="11"/>
        <rFont val="Calibri"/>
        <family val="2"/>
      </rPr>
      <t xml:space="preserve"> </t>
    </r>
    <r>
      <rPr>
        <sz val="11"/>
        <rFont val="Calibri"/>
        <family val="2"/>
      </rPr>
      <t>* X</t>
    </r>
    <r>
      <rPr>
        <vertAlign val="subscript"/>
        <sz val="11"/>
        <rFont val="Calibri"/>
        <family val="2"/>
      </rPr>
      <t xml:space="preserve">PAO </t>
    </r>
    <r>
      <rPr>
        <sz val="11"/>
        <rFont val="Calibri"/>
        <family val="2"/>
      </rPr>
      <t>* η</t>
    </r>
    <r>
      <rPr>
        <vertAlign val="subscript"/>
        <sz val="11"/>
        <rFont val="Calibri"/>
        <family val="2"/>
      </rPr>
      <t xml:space="preserve">CASTO,anox </t>
    </r>
    <r>
      <rPr>
        <sz val="11"/>
        <rFont val="Calibri"/>
        <family val="2"/>
      </rPr>
      <t>* Msat</t>
    </r>
    <r>
      <rPr>
        <vertAlign val="subscript"/>
        <sz val="11"/>
        <rFont val="Calibri"/>
        <family val="2"/>
      </rPr>
      <t xml:space="preserve">SNO2,KNO2,CASTO </t>
    </r>
    <r>
      <rPr>
        <sz val="11"/>
        <rFont val="Calibri"/>
        <family val="2"/>
      </rPr>
      <t>* Minh</t>
    </r>
    <r>
      <rPr>
        <vertAlign val="subscript"/>
        <sz val="11"/>
        <rFont val="Calibri"/>
        <family val="2"/>
      </rPr>
      <t xml:space="preserve">SO2,KO2,CASTO </t>
    </r>
    <r>
      <rPr>
        <sz val="11"/>
        <rFont val="Calibri"/>
        <family val="2"/>
      </rPr>
      <t>* Logsat</t>
    </r>
    <r>
      <rPr>
        <vertAlign val="subscript"/>
        <sz val="11"/>
        <rFont val="Calibri"/>
        <family val="2"/>
      </rPr>
      <t xml:space="preserve">SPO4,KPO4,PAO </t>
    </r>
    <r>
      <rPr>
        <sz val="11"/>
        <rFont val="Calibri"/>
        <family val="2"/>
      </rPr>
      <t>* Loginh</t>
    </r>
    <r>
      <rPr>
        <vertAlign val="subscript"/>
        <sz val="11"/>
        <rFont val="Calibri"/>
        <family val="2"/>
      </rPr>
      <t xml:space="preserve">XPP,XPAO,max </t>
    </r>
    <r>
      <rPr>
        <sz val="11"/>
        <rFont val="Calibri"/>
        <family val="2"/>
      </rPr>
      <t>* Msat</t>
    </r>
    <r>
      <rPr>
        <vertAlign val="subscript"/>
        <sz val="11"/>
        <rFont val="Calibri"/>
        <family val="2"/>
      </rPr>
      <t xml:space="preserve">SCa,KCa,PAO </t>
    </r>
    <r>
      <rPr>
        <sz val="11"/>
        <rFont val="Calibri"/>
        <family val="2"/>
      </rPr>
      <t>* Msat</t>
    </r>
    <r>
      <rPr>
        <vertAlign val="subscript"/>
        <sz val="11"/>
        <rFont val="Calibri"/>
        <family val="2"/>
      </rPr>
      <t xml:space="preserve">SMg,KMg,PAO </t>
    </r>
    <r>
      <rPr>
        <sz val="11"/>
        <rFont val="Calibri"/>
        <family val="2"/>
      </rPr>
      <t>* Msat</t>
    </r>
    <r>
      <rPr>
        <vertAlign val="subscript"/>
        <sz val="11"/>
        <rFont val="Calibri"/>
        <family val="2"/>
      </rPr>
      <t xml:space="preserve">SK,KK,PAO </t>
    </r>
    <r>
      <rPr>
        <sz val="11"/>
        <rFont val="Calibri"/>
        <family val="2"/>
      </rPr>
      <t>* Bellinh</t>
    </r>
    <r>
      <rPr>
        <vertAlign val="subscript"/>
        <sz val="11"/>
        <rFont val="Calibri"/>
        <family val="2"/>
      </rPr>
      <t>pH</t>
    </r>
  </si>
  <si>
    <r>
      <t>q</t>
    </r>
    <r>
      <rPr>
        <vertAlign val="subscript"/>
        <sz val="11"/>
        <rFont val="Calibri"/>
        <family val="2"/>
      </rPr>
      <t>PAO,PP,T</t>
    </r>
    <r>
      <rPr>
        <sz val="11"/>
        <rFont val="Calibri"/>
        <family val="2"/>
      </rPr>
      <t xml:space="preserve"> * X</t>
    </r>
    <r>
      <rPr>
        <vertAlign val="subscript"/>
        <sz val="11"/>
        <rFont val="Calibri"/>
        <family val="2"/>
      </rPr>
      <t>PAO</t>
    </r>
    <r>
      <rPr>
        <sz val="11"/>
        <rFont val="Calibri"/>
        <family val="2"/>
      </rPr>
      <t>/(X</t>
    </r>
    <r>
      <rPr>
        <vertAlign val="subscript"/>
        <sz val="11"/>
        <rFont val="Calibri"/>
        <family val="2"/>
        <charset val="238"/>
      </rPr>
      <t>PP</t>
    </r>
    <r>
      <rPr>
        <sz val="11"/>
        <rFont val="Calibri"/>
        <family val="2"/>
      </rPr>
      <t>+X</t>
    </r>
    <r>
      <rPr>
        <vertAlign val="subscript"/>
        <sz val="11"/>
        <rFont val="Calibri"/>
        <family val="2"/>
        <charset val="238"/>
      </rPr>
      <t>PP,PAO,min</t>
    </r>
    <r>
      <rPr>
        <sz val="11"/>
        <rFont val="Calibri"/>
        <family val="2"/>
      </rPr>
      <t>)</t>
    </r>
    <r>
      <rPr>
        <vertAlign val="subscript"/>
        <sz val="11"/>
        <rFont val="Calibri"/>
        <family val="2"/>
      </rPr>
      <t xml:space="preserve"> </t>
    </r>
    <r>
      <rPr>
        <sz val="11"/>
        <rFont val="Calibri"/>
        <family val="2"/>
      </rPr>
      <t>* X</t>
    </r>
    <r>
      <rPr>
        <vertAlign val="subscript"/>
        <sz val="11"/>
        <rFont val="Calibri"/>
        <family val="2"/>
      </rPr>
      <t xml:space="preserve">PAO </t>
    </r>
    <r>
      <rPr>
        <sz val="11"/>
        <rFont val="Calibri"/>
        <family val="2"/>
      </rPr>
      <t>* η</t>
    </r>
    <r>
      <rPr>
        <vertAlign val="subscript"/>
        <sz val="11"/>
        <rFont val="Calibri"/>
        <family val="2"/>
      </rPr>
      <t xml:space="preserve">CASTO,anox </t>
    </r>
    <r>
      <rPr>
        <sz val="11"/>
        <rFont val="Calibri"/>
        <family val="2"/>
      </rPr>
      <t>* Msat</t>
    </r>
    <r>
      <rPr>
        <vertAlign val="subscript"/>
        <sz val="11"/>
        <rFont val="Calibri"/>
        <family val="2"/>
      </rPr>
      <t xml:space="preserve">SNO3,KNO3,CASTO </t>
    </r>
    <r>
      <rPr>
        <sz val="11"/>
        <rFont val="Calibri"/>
        <family val="2"/>
      </rPr>
      <t>* Minh</t>
    </r>
    <r>
      <rPr>
        <vertAlign val="subscript"/>
        <sz val="11"/>
        <rFont val="Calibri"/>
        <family val="2"/>
      </rPr>
      <t>SO2,KO2,CASTO</t>
    </r>
    <r>
      <rPr>
        <sz val="11"/>
        <rFont val="Calibri"/>
        <family val="2"/>
        <charset val="238"/>
      </rPr>
      <t xml:space="preserve"> * Minh</t>
    </r>
    <r>
      <rPr>
        <vertAlign val="subscript"/>
        <sz val="11"/>
        <rFont val="Calibri"/>
        <family val="2"/>
      </rPr>
      <t xml:space="preserve">SNO2,KNO2,CASTO </t>
    </r>
    <r>
      <rPr>
        <sz val="11"/>
        <rFont val="Calibri"/>
        <family val="2"/>
      </rPr>
      <t>* Logsat</t>
    </r>
    <r>
      <rPr>
        <vertAlign val="subscript"/>
        <sz val="11"/>
        <rFont val="Calibri"/>
        <family val="2"/>
      </rPr>
      <t xml:space="preserve">SPO4,KPO4,PAO </t>
    </r>
    <r>
      <rPr>
        <sz val="11"/>
        <rFont val="Calibri"/>
        <family val="2"/>
      </rPr>
      <t>* Loginh</t>
    </r>
    <r>
      <rPr>
        <vertAlign val="subscript"/>
        <sz val="11"/>
        <rFont val="Calibri"/>
        <family val="2"/>
      </rPr>
      <t xml:space="preserve">XPP,XPAO,max </t>
    </r>
    <r>
      <rPr>
        <sz val="11"/>
        <rFont val="Calibri"/>
        <family val="2"/>
      </rPr>
      <t>* Msat</t>
    </r>
    <r>
      <rPr>
        <vertAlign val="subscript"/>
        <sz val="11"/>
        <rFont val="Calibri"/>
        <family val="2"/>
      </rPr>
      <t xml:space="preserve">SCa,KCa,PAO </t>
    </r>
    <r>
      <rPr>
        <sz val="11"/>
        <rFont val="Calibri"/>
        <family val="2"/>
      </rPr>
      <t>* Msat</t>
    </r>
    <r>
      <rPr>
        <vertAlign val="subscript"/>
        <sz val="11"/>
        <rFont val="Calibri"/>
        <family val="2"/>
      </rPr>
      <t xml:space="preserve">SMg,KMg,PAO </t>
    </r>
    <r>
      <rPr>
        <sz val="11"/>
        <rFont val="Calibri"/>
        <family val="2"/>
      </rPr>
      <t>* Msat</t>
    </r>
    <r>
      <rPr>
        <vertAlign val="subscript"/>
        <sz val="11"/>
        <rFont val="Calibri"/>
        <family val="2"/>
      </rPr>
      <t xml:space="preserve">SK,KK,PAO </t>
    </r>
    <r>
      <rPr>
        <sz val="11"/>
        <rFont val="Calibri"/>
        <family val="2"/>
      </rPr>
      <t>* Bellinh</t>
    </r>
    <r>
      <rPr>
        <vertAlign val="subscript"/>
        <sz val="11"/>
        <rFont val="Calibri"/>
        <family val="2"/>
      </rPr>
      <t>pH</t>
    </r>
  </si>
  <si>
    <t>SV group</t>
  </si>
  <si>
    <t>Biomass</t>
  </si>
  <si>
    <t>O2</t>
  </si>
  <si>
    <t>TIC</t>
  </si>
  <si>
    <t>TSS</t>
  </si>
  <si>
    <t>ALPHA</t>
  </si>
  <si>
    <t>IS input</t>
  </si>
  <si>
    <t>Non-pHSet; IS</t>
  </si>
  <si>
    <r>
      <t>IS</t>
    </r>
    <r>
      <rPr>
        <vertAlign val="subscript"/>
        <sz val="11"/>
        <rFont val="Calibri"/>
        <family val="2"/>
        <scheme val="minor"/>
      </rPr>
      <t>input,AS</t>
    </r>
  </si>
  <si>
    <r>
      <t>IS</t>
    </r>
    <r>
      <rPr>
        <vertAlign val="subscript"/>
        <sz val="11"/>
        <rFont val="Calibri"/>
        <family val="2"/>
        <scheme val="minor"/>
      </rPr>
      <t>input,DIG</t>
    </r>
  </si>
  <si>
    <r>
      <t>IS</t>
    </r>
    <r>
      <rPr>
        <vertAlign val="subscript"/>
        <sz val="11"/>
        <color theme="1"/>
        <rFont val="Calibri"/>
        <family val="2"/>
        <scheme val="minor"/>
      </rPr>
      <t>input,AS</t>
    </r>
  </si>
  <si>
    <r>
      <t>IS</t>
    </r>
    <r>
      <rPr>
        <vertAlign val="subscript"/>
        <sz val="11"/>
        <color theme="1"/>
        <rFont val="Calibri"/>
        <family val="2"/>
        <scheme val="minor"/>
      </rPr>
      <t>input,DIG</t>
    </r>
  </si>
  <si>
    <t>pH; Non-IS; Non-Input; Digester</t>
  </si>
  <si>
    <r>
      <t>IS</t>
    </r>
    <r>
      <rPr>
        <vertAlign val="subscript"/>
        <sz val="11"/>
        <color theme="1"/>
        <rFont val="Calibri"/>
        <family val="2"/>
        <scheme val="minor"/>
      </rPr>
      <t>input,sidestream</t>
    </r>
  </si>
  <si>
    <t>Ionic strength input for sidestream</t>
  </si>
  <si>
    <t>Ionic strength input for activated sludge</t>
  </si>
  <si>
    <t>Ionic strength input for digesters</t>
  </si>
  <si>
    <r>
      <t>IS</t>
    </r>
    <r>
      <rPr>
        <vertAlign val="subscript"/>
        <sz val="11"/>
        <rFont val="Calibri"/>
        <family val="2"/>
        <scheme val="minor"/>
      </rPr>
      <t>input,sidestream</t>
    </r>
  </si>
  <si>
    <t>pH; Non-IS; Non-Input; Sidestream</t>
  </si>
  <si>
    <t>pH; Non-IS; Non-Input; Non-Digester; Non-Sidestream</t>
  </si>
  <si>
    <t>pH; Non-IS; Input; Non-Digester; Non-Sidestream; Non-pHSet</t>
  </si>
  <si>
    <t>pH; Non-IS; Input; Digester; Non-pHSet</t>
  </si>
  <si>
    <t>pH; Non-IS; Input; Sidestream; Non-pHSet</t>
  </si>
  <si>
    <t>Half-saturation of readily biodegradable substrate as polymers in fermentation by OHOs in digester</t>
  </si>
  <si>
    <t>previously 0.03</t>
  </si>
  <si>
    <t>previously 0.05</t>
  </si>
  <si>
    <t>previously 0.005</t>
  </si>
  <si>
    <r>
      <t>S</t>
    </r>
    <r>
      <rPr>
        <vertAlign val="subscript"/>
        <sz val="11"/>
        <rFont val="Calibri"/>
        <family val="2"/>
        <scheme val="minor"/>
      </rPr>
      <t>U,N</t>
    </r>
  </si>
  <si>
    <t>Soluble unbiodegradable organic nitrogen</t>
  </si>
  <si>
    <r>
      <t>S</t>
    </r>
    <r>
      <rPr>
        <vertAlign val="subscript"/>
        <sz val="11"/>
        <rFont val="Calibri"/>
        <family val="2"/>
      </rPr>
      <t>U</t>
    </r>
    <r>
      <rPr>
        <sz val="11"/>
        <rFont val="Calibri"/>
        <family val="2"/>
      </rPr>
      <t xml:space="preserve"> *i</t>
    </r>
    <r>
      <rPr>
        <vertAlign val="subscript"/>
        <sz val="11"/>
        <rFont val="Calibri"/>
        <family val="2"/>
      </rPr>
      <t>N,SU</t>
    </r>
  </si>
  <si>
    <r>
      <t>Loginhswitch(ORP; Logsat</t>
    </r>
    <r>
      <rPr>
        <vertAlign val="subscript"/>
        <sz val="11"/>
        <rFont val="Calibri"/>
        <family val="2"/>
      </rPr>
      <t>ORP,HFO,Half</t>
    </r>
    <r>
      <rPr>
        <sz val="11"/>
        <rFont val="Calibri"/>
        <family val="2"/>
      </rPr>
      <t>; Logsat</t>
    </r>
    <r>
      <rPr>
        <vertAlign val="subscript"/>
        <sz val="11"/>
        <rFont val="Calibri"/>
        <family val="2"/>
      </rPr>
      <t>ORP,HFO,Slope</t>
    </r>
    <r>
      <rPr>
        <sz val="11"/>
        <rFont val="Calibri"/>
        <family val="2"/>
      </rPr>
      <t>)</t>
    </r>
  </si>
  <si>
    <t>Bellopt(var; xopt; whalf; slope)</t>
  </si>
  <si>
    <t>Bell-shaped filtering function</t>
  </si>
  <si>
    <t>1 / (1 + Pow(Abs((var-xopt)/whalf),slope))</t>
  </si>
  <si>
    <t>Logsatswitch(var; halfval; slope)</t>
  </si>
  <si>
    <t>Logistic saturation switch</t>
  </si>
  <si>
    <t>Loginhswitch(var; halfval; slope)</t>
  </si>
  <si>
    <t>Logistic inhibition switch</t>
  </si>
  <si>
    <t>var / (var + halfval * Exp((halfval - var) * slope))</t>
  </si>
  <si>
    <t>1 - var / (var + halfval * Exp((halfval - var) * slope))</t>
  </si>
  <si>
    <r>
      <t>Logrange</t>
    </r>
    <r>
      <rPr>
        <vertAlign val="subscript"/>
        <sz val="11"/>
        <rFont val="Calibri"/>
        <family val="2"/>
        <charset val="238"/>
        <scheme val="minor"/>
      </rPr>
      <t>VFA,FERM,AS</t>
    </r>
  </si>
  <si>
    <t>Effective range of logistic switch for VFA fermentation by OHOs (AS)</t>
  </si>
  <si>
    <t>define range in percentage of half-saturation value</t>
  </si>
  <si>
    <r>
      <t>Logrange</t>
    </r>
    <r>
      <rPr>
        <vertAlign val="subscript"/>
        <sz val="11"/>
        <rFont val="Calibri"/>
        <family val="2"/>
        <scheme val="minor"/>
      </rPr>
      <t>PO4,PAO,AS,sat</t>
    </r>
  </si>
  <si>
    <r>
      <t>Effective range of logistic switch for PO</t>
    </r>
    <r>
      <rPr>
        <vertAlign val="subscript"/>
        <sz val="11"/>
        <rFont val="Calibri"/>
        <family val="2"/>
        <charset val="238"/>
        <scheme val="minor"/>
      </rPr>
      <t>4</t>
    </r>
    <r>
      <rPr>
        <sz val="11"/>
        <rFont val="Calibri"/>
        <family val="2"/>
        <scheme val="minor"/>
      </rPr>
      <t xml:space="preserve"> uptake by PAOs</t>
    </r>
  </si>
  <si>
    <r>
      <t>Logrange</t>
    </r>
    <r>
      <rPr>
        <vertAlign val="subscript"/>
        <sz val="11"/>
        <rFont val="Calibri"/>
        <family val="2"/>
        <charset val="238"/>
        <scheme val="minor"/>
      </rPr>
      <t>PP,PAO,AS,sat</t>
    </r>
  </si>
  <si>
    <t>Effective range of logistic switch for PP cleavage by PAOs</t>
  </si>
  <si>
    <r>
      <t>Logrange</t>
    </r>
    <r>
      <rPr>
        <vertAlign val="subscript"/>
        <sz val="11"/>
        <rFont val="Calibri"/>
        <family val="2"/>
        <charset val="238"/>
        <scheme val="minor"/>
      </rPr>
      <t>PP,PAO,inh</t>
    </r>
  </si>
  <si>
    <t>Effective range of logistic switch for PP/PAO inhibition term</t>
  </si>
  <si>
    <t>define range in percentage of half-inhibition value</t>
  </si>
  <si>
    <r>
      <t>Logrange</t>
    </r>
    <r>
      <rPr>
        <vertAlign val="subscript"/>
        <sz val="11"/>
        <rFont val="Calibri"/>
        <family val="2"/>
        <charset val="238"/>
        <scheme val="minor"/>
      </rPr>
      <t>PHA,PAO,inh</t>
    </r>
  </si>
  <si>
    <t>Effective range of logistic switch for PHA/PAO inhibition term</t>
  </si>
  <si>
    <r>
      <t>Logrange</t>
    </r>
    <r>
      <rPr>
        <vertAlign val="subscript"/>
        <sz val="11"/>
        <rFont val="Calibri"/>
        <family val="2"/>
        <charset val="238"/>
        <scheme val="minor"/>
      </rPr>
      <t>CO2,AOB,pH,AS</t>
    </r>
  </si>
  <si>
    <t>Effective range of bicarbonate logistic switch for AOBs (AS)</t>
  </si>
  <si>
    <r>
      <t>Logrange</t>
    </r>
    <r>
      <rPr>
        <vertAlign val="subscript"/>
        <sz val="11"/>
        <rFont val="Calibri"/>
        <family val="2"/>
        <charset val="238"/>
        <scheme val="minor"/>
      </rPr>
      <t>CO2,AOB,pH,sidestream</t>
    </r>
  </si>
  <si>
    <t>Effective range of bicarbonate logistic switch for AOBs (Sidestream)</t>
  </si>
  <si>
    <r>
      <t>Logrange</t>
    </r>
    <r>
      <rPr>
        <vertAlign val="subscript"/>
        <sz val="11"/>
        <color indexed="8"/>
        <rFont val="Calibri"/>
        <family val="2"/>
        <charset val="238"/>
        <scheme val="minor"/>
      </rPr>
      <t>CO2,NOB,pH,AS</t>
    </r>
  </si>
  <si>
    <t>Effective range of bicarbonate logistic switch for NOBs (AS)</t>
  </si>
  <si>
    <r>
      <t>Logrange</t>
    </r>
    <r>
      <rPr>
        <vertAlign val="subscript"/>
        <sz val="11"/>
        <rFont val="Calibri"/>
        <family val="2"/>
        <charset val="238"/>
        <scheme val="minor"/>
      </rPr>
      <t>CO2,AMX,pH,AS</t>
    </r>
  </si>
  <si>
    <t>Effective range of bicarbonate logistic switch for AMX (AS)</t>
  </si>
  <si>
    <r>
      <t>Logrange</t>
    </r>
    <r>
      <rPr>
        <vertAlign val="subscript"/>
        <sz val="11"/>
        <rFont val="Calibri"/>
        <family val="2"/>
        <charset val="238"/>
        <scheme val="minor"/>
      </rPr>
      <t>P,HFO,DISS</t>
    </r>
  </si>
  <si>
    <t>Effective range of logistic switch for HFO redissolution</t>
  </si>
  <si>
    <r>
      <t>Logrange</t>
    </r>
    <r>
      <rPr>
        <vertAlign val="subscript"/>
        <sz val="11"/>
        <rFont val="Calibri"/>
        <family val="2"/>
        <charset val="238"/>
        <scheme val="minor"/>
      </rPr>
      <t>P,HAO,DISS</t>
    </r>
  </si>
  <si>
    <t>Effective range of logistic switch for HAO redissolution</t>
  </si>
  <si>
    <t>Slope calculations for logistic saturation/inhibition functions</t>
  </si>
  <si>
    <r>
      <t>Logslope</t>
    </r>
    <r>
      <rPr>
        <vertAlign val="subscript"/>
        <sz val="11"/>
        <rFont val="Calibri"/>
        <family val="2"/>
        <scheme val="minor"/>
      </rPr>
      <t>CO2,AOB,pH</t>
    </r>
  </si>
  <si>
    <r>
      <t>Logistic slope of bicarbonate</t>
    </r>
    <r>
      <rPr>
        <sz val="11"/>
        <color rgb="FF000000"/>
        <rFont val="Calibri"/>
        <family val="2"/>
        <charset val="238"/>
        <scheme val="minor"/>
      </rPr>
      <t xml:space="preserve"> for AOBs in AS</t>
    </r>
  </si>
  <si>
    <r>
      <t>L.mol [HCO</t>
    </r>
    <r>
      <rPr>
        <vertAlign val="subscript"/>
        <sz val="11"/>
        <rFont val="Calibri"/>
        <family val="2"/>
        <scheme val="minor"/>
      </rPr>
      <t>3</t>
    </r>
    <r>
      <rPr>
        <vertAlign val="superscript"/>
        <sz val="11"/>
        <rFont val="Calibri"/>
        <family val="2"/>
        <scheme val="minor"/>
      </rPr>
      <t>-</t>
    </r>
    <r>
      <rPr>
        <sz val="11"/>
        <rFont val="Calibri"/>
        <family val="2"/>
        <scheme val="minor"/>
      </rPr>
      <t>]</t>
    </r>
    <r>
      <rPr>
        <vertAlign val="superscript"/>
        <sz val="11"/>
        <rFont val="Calibri"/>
        <family val="2"/>
        <scheme val="minor"/>
      </rPr>
      <t>-1</t>
    </r>
  </si>
  <si>
    <r>
      <t>Logistic slope of bicarbonate</t>
    </r>
    <r>
      <rPr>
        <sz val="11"/>
        <color rgb="FF000000"/>
        <rFont val="Calibri"/>
        <family val="2"/>
        <charset val="238"/>
        <scheme val="minor"/>
      </rPr>
      <t xml:space="preserve"> for AOBs in sidestream</t>
    </r>
  </si>
  <si>
    <r>
      <t>Logslope</t>
    </r>
    <r>
      <rPr>
        <vertAlign val="subscript"/>
        <sz val="11"/>
        <rFont val="Calibri"/>
        <family val="2"/>
        <charset val="238"/>
        <scheme val="minor"/>
      </rPr>
      <t>CO2,NOB,pH</t>
    </r>
  </si>
  <si>
    <t>Logistic slope of bicarbonate for NOBs in AS</t>
  </si>
  <si>
    <r>
      <t>Logslope</t>
    </r>
    <r>
      <rPr>
        <vertAlign val="subscript"/>
        <sz val="11"/>
        <rFont val="Calibri"/>
        <family val="2"/>
        <scheme val="minor"/>
      </rPr>
      <t>CO2,AMX,pH</t>
    </r>
  </si>
  <si>
    <r>
      <t>Logistic slope of bicarbonate</t>
    </r>
    <r>
      <rPr>
        <sz val="11"/>
        <color rgb="FF000000"/>
        <rFont val="Calibri"/>
        <family val="2"/>
        <charset val="238"/>
        <scheme val="minor"/>
      </rPr>
      <t xml:space="preserve"> for AMX in AS</t>
    </r>
  </si>
  <si>
    <r>
      <t>Logslope</t>
    </r>
    <r>
      <rPr>
        <vertAlign val="subscript"/>
        <sz val="11"/>
        <rFont val="Calibri"/>
        <family val="2"/>
        <charset val="238"/>
        <scheme val="minor"/>
      </rPr>
      <t>VFA,FERM</t>
    </r>
  </si>
  <si>
    <t>Logistic slope of VFA fermentation switch for OHOs in AS</t>
  </si>
  <si>
    <r>
      <t>m</t>
    </r>
    <r>
      <rPr>
        <vertAlign val="superscript"/>
        <sz val="11"/>
        <rFont val="Calibri"/>
        <family val="2"/>
        <charset val="238"/>
        <scheme val="minor"/>
      </rPr>
      <t>3</t>
    </r>
    <r>
      <rPr>
        <sz val="11"/>
        <rFont val="Calibri"/>
        <family val="2"/>
        <scheme val="minor"/>
      </rPr>
      <t>.g COD</t>
    </r>
    <r>
      <rPr>
        <vertAlign val="superscript"/>
        <sz val="11"/>
        <rFont val="Calibri"/>
        <family val="2"/>
        <charset val="238"/>
        <scheme val="minor"/>
      </rPr>
      <t>-1</t>
    </r>
  </si>
  <si>
    <t>Logistic slope of VFA fermentation switch for OHOs in biofilm</t>
  </si>
  <si>
    <r>
      <t>Logslope</t>
    </r>
    <r>
      <rPr>
        <vertAlign val="subscript"/>
        <sz val="11"/>
        <rFont val="Calibri"/>
        <family val="2"/>
        <charset val="238"/>
        <scheme val="minor"/>
      </rPr>
      <t>PO4,PAO,sat</t>
    </r>
  </si>
  <si>
    <r>
      <t>Logistic slope of PO</t>
    </r>
    <r>
      <rPr>
        <vertAlign val="subscript"/>
        <sz val="11"/>
        <rFont val="Calibri"/>
        <family val="2"/>
        <charset val="238"/>
        <scheme val="minor"/>
      </rPr>
      <t>4</t>
    </r>
    <r>
      <rPr>
        <sz val="11"/>
        <rFont val="Calibri"/>
        <family val="2"/>
        <scheme val="minor"/>
      </rPr>
      <t xml:space="preserve"> uptake switch for PAOs in AS</t>
    </r>
  </si>
  <si>
    <r>
      <t>m</t>
    </r>
    <r>
      <rPr>
        <vertAlign val="superscript"/>
        <sz val="11"/>
        <rFont val="Calibri"/>
        <family val="2"/>
        <charset val="238"/>
        <scheme val="minor"/>
      </rPr>
      <t>3</t>
    </r>
    <r>
      <rPr>
        <sz val="11"/>
        <rFont val="Calibri"/>
        <family val="2"/>
        <scheme val="minor"/>
      </rPr>
      <t>.g P</t>
    </r>
    <r>
      <rPr>
        <vertAlign val="superscript"/>
        <sz val="11"/>
        <rFont val="Calibri"/>
        <family val="2"/>
        <charset val="238"/>
        <scheme val="minor"/>
      </rPr>
      <t>-1</t>
    </r>
  </si>
  <si>
    <r>
      <t>Logistic slope of PO</t>
    </r>
    <r>
      <rPr>
        <vertAlign val="subscript"/>
        <sz val="11"/>
        <rFont val="Calibri"/>
        <family val="2"/>
        <charset val="238"/>
        <scheme val="minor"/>
      </rPr>
      <t>4</t>
    </r>
    <r>
      <rPr>
        <sz val="11"/>
        <rFont val="Calibri"/>
        <family val="2"/>
        <scheme val="minor"/>
      </rPr>
      <t xml:space="preserve"> uptake switch for PAOs in biofilm</t>
    </r>
  </si>
  <si>
    <r>
      <t>Logslope</t>
    </r>
    <r>
      <rPr>
        <vertAlign val="subscript"/>
        <sz val="11"/>
        <rFont val="Calibri"/>
        <family val="2"/>
        <charset val="238"/>
        <scheme val="minor"/>
      </rPr>
      <t>PP,PAO,sat</t>
    </r>
  </si>
  <si>
    <t>Logistic slope of PP cleavage switch for PAOs in AS</t>
  </si>
  <si>
    <t>Logistic slope of PP cleavage switch for PAOs in biofilm</t>
  </si>
  <si>
    <r>
      <t>Logslope</t>
    </r>
    <r>
      <rPr>
        <vertAlign val="subscript"/>
        <sz val="11"/>
        <rFont val="Calibri"/>
        <family val="2"/>
        <charset val="238"/>
        <scheme val="minor"/>
      </rPr>
      <t>PHA,PAO,inh</t>
    </r>
  </si>
  <si>
    <t>Logistic slope of inhibition term for PHA/PAO</t>
  </si>
  <si>
    <r>
      <t>Logslope</t>
    </r>
    <r>
      <rPr>
        <vertAlign val="subscript"/>
        <sz val="11"/>
        <rFont val="Calibri"/>
        <family val="2"/>
        <charset val="238"/>
        <scheme val="minor"/>
      </rPr>
      <t>PP,PAO,inh</t>
    </r>
  </si>
  <si>
    <t>Logistic slope of inhibition term for PP/PAO</t>
  </si>
  <si>
    <r>
      <t>Logslope</t>
    </r>
    <r>
      <rPr>
        <vertAlign val="subscript"/>
        <sz val="11"/>
        <rFont val="Calibri"/>
        <family val="2"/>
        <charset val="238"/>
        <scheme val="minor"/>
      </rPr>
      <t>P,HFO,DISS</t>
    </r>
  </si>
  <si>
    <r>
      <t>Logistic slope of PO</t>
    </r>
    <r>
      <rPr>
        <vertAlign val="subscript"/>
        <sz val="11"/>
        <rFont val="Calibri"/>
        <family val="2"/>
        <charset val="238"/>
        <scheme val="minor"/>
      </rPr>
      <t>4</t>
    </r>
    <r>
      <rPr>
        <sz val="11"/>
        <rFont val="Calibri"/>
        <family val="2"/>
        <scheme val="minor"/>
      </rPr>
      <t xml:space="preserve"> in HFO redissolution</t>
    </r>
  </si>
  <si>
    <r>
      <t>Logslope</t>
    </r>
    <r>
      <rPr>
        <vertAlign val="subscript"/>
        <sz val="11"/>
        <rFont val="Calibri"/>
        <family val="2"/>
        <charset val="238"/>
        <scheme val="minor"/>
      </rPr>
      <t>P,HAO,DISS</t>
    </r>
  </si>
  <si>
    <r>
      <t>Logistic slope of PO</t>
    </r>
    <r>
      <rPr>
        <vertAlign val="subscript"/>
        <sz val="11"/>
        <rFont val="Calibri"/>
        <family val="2"/>
        <charset val="238"/>
        <scheme val="minor"/>
      </rPr>
      <t>4</t>
    </r>
    <r>
      <rPr>
        <sz val="11"/>
        <rFont val="Calibri"/>
        <family val="2"/>
        <scheme val="minor"/>
      </rPr>
      <t xml:space="preserve"> in HAO redissolution</t>
    </r>
  </si>
  <si>
    <r>
      <t>Ki</t>
    </r>
    <r>
      <rPr>
        <vertAlign val="subscript"/>
        <sz val="11"/>
        <rFont val="Calibri"/>
        <family val="2"/>
        <scheme val="minor"/>
      </rPr>
      <t>P,HFO,DISS</t>
    </r>
  </si>
  <si>
    <r>
      <t>Loginh</t>
    </r>
    <r>
      <rPr>
        <vertAlign val="subscript"/>
        <sz val="11"/>
        <rFont val="Calibri"/>
        <family val="2"/>
        <scheme val="minor"/>
      </rPr>
      <t>SPO4,KiP,HFO,DISS</t>
    </r>
  </si>
  <si>
    <r>
      <t>q</t>
    </r>
    <r>
      <rPr>
        <vertAlign val="subscript"/>
        <sz val="11"/>
        <rFont val="Calibri"/>
        <family val="2"/>
      </rPr>
      <t>HFO,DISS</t>
    </r>
    <r>
      <rPr>
        <sz val="11"/>
        <rFont val="Calibri"/>
        <family val="2"/>
      </rPr>
      <t>*(X</t>
    </r>
    <r>
      <rPr>
        <vertAlign val="subscript"/>
        <sz val="11"/>
        <rFont val="Calibri"/>
        <family val="2"/>
      </rPr>
      <t>HFO,H,P,old</t>
    </r>
    <r>
      <rPr>
        <sz val="11"/>
        <rFont val="Calibri"/>
        <family val="2"/>
      </rPr>
      <t>+X</t>
    </r>
    <r>
      <rPr>
        <vertAlign val="subscript"/>
        <sz val="11"/>
        <rFont val="Calibri"/>
        <family val="2"/>
      </rPr>
      <t>HFO,L,P,old</t>
    </r>
    <r>
      <rPr>
        <sz val="11"/>
        <rFont val="Calibri"/>
        <family val="2"/>
      </rPr>
      <t>)*Loginh</t>
    </r>
    <r>
      <rPr>
        <vertAlign val="subscript"/>
        <sz val="11"/>
        <rFont val="Calibri"/>
        <family val="2"/>
      </rPr>
      <t>SPO4,KiP,HFO,DISS</t>
    </r>
  </si>
  <si>
    <r>
      <t>Logsat([HCO</t>
    </r>
    <r>
      <rPr>
        <vertAlign val="subscript"/>
        <sz val="11"/>
        <rFont val="Calibri"/>
        <family val="2"/>
        <scheme val="minor"/>
      </rPr>
      <t>3</t>
    </r>
    <r>
      <rPr>
        <vertAlign val="superscript"/>
        <sz val="11"/>
        <rFont val="Calibri"/>
        <family val="2"/>
        <scheme val="minor"/>
      </rPr>
      <t>-</t>
    </r>
    <r>
      <rPr>
        <sz val="11"/>
        <rFont val="Calibri"/>
        <family val="2"/>
        <scheme val="minor"/>
      </rPr>
      <t>]; K</t>
    </r>
    <r>
      <rPr>
        <vertAlign val="subscript"/>
        <sz val="11"/>
        <rFont val="Calibri"/>
        <family val="2"/>
        <scheme val="minor"/>
      </rPr>
      <t>CO2,AOB,pH</t>
    </r>
    <r>
      <rPr>
        <sz val="11"/>
        <rFont val="Calibri"/>
        <family val="2"/>
        <scheme val="minor"/>
      </rPr>
      <t>;  Logslope</t>
    </r>
    <r>
      <rPr>
        <vertAlign val="subscript"/>
        <sz val="11"/>
        <rFont val="Calibri"/>
        <family val="2"/>
        <charset val="238"/>
        <scheme val="minor"/>
      </rPr>
      <t>CO2,AOB,pH</t>
    </r>
    <r>
      <rPr>
        <sz val="11"/>
        <rFont val="Calibri"/>
        <family val="2"/>
        <scheme val="minor"/>
      </rPr>
      <t>)</t>
    </r>
  </si>
  <si>
    <r>
      <t>Logsat([HCO</t>
    </r>
    <r>
      <rPr>
        <vertAlign val="subscript"/>
        <sz val="11"/>
        <rFont val="Calibri"/>
        <family val="2"/>
        <scheme val="minor"/>
      </rPr>
      <t>3</t>
    </r>
    <r>
      <rPr>
        <vertAlign val="superscript"/>
        <sz val="11"/>
        <rFont val="Calibri"/>
        <family val="2"/>
        <scheme val="minor"/>
      </rPr>
      <t>-</t>
    </r>
    <r>
      <rPr>
        <sz val="11"/>
        <rFont val="Calibri"/>
        <family val="2"/>
        <scheme val="minor"/>
      </rPr>
      <t>]; K</t>
    </r>
    <r>
      <rPr>
        <vertAlign val="subscript"/>
        <sz val="11"/>
        <rFont val="Calibri"/>
        <family val="2"/>
        <scheme val="minor"/>
      </rPr>
      <t>CO2,NOB,pH</t>
    </r>
    <r>
      <rPr>
        <sz val="11"/>
        <rFont val="Calibri"/>
        <family val="2"/>
        <scheme val="minor"/>
      </rPr>
      <t>; Logslope</t>
    </r>
    <r>
      <rPr>
        <vertAlign val="subscript"/>
        <sz val="11"/>
        <rFont val="Calibri"/>
        <family val="2"/>
        <charset val="238"/>
        <scheme val="minor"/>
      </rPr>
      <t>CO2,NOB,pH</t>
    </r>
    <r>
      <rPr>
        <sz val="11"/>
        <rFont val="Calibri"/>
        <family val="2"/>
        <scheme val="minor"/>
      </rPr>
      <t>)</t>
    </r>
  </si>
  <si>
    <r>
      <t>Logsat([HCO</t>
    </r>
    <r>
      <rPr>
        <vertAlign val="subscript"/>
        <sz val="11"/>
        <rFont val="Calibri"/>
        <family val="2"/>
        <scheme val="minor"/>
      </rPr>
      <t>3</t>
    </r>
    <r>
      <rPr>
        <vertAlign val="superscript"/>
        <sz val="11"/>
        <rFont val="Calibri"/>
        <family val="2"/>
        <scheme val="minor"/>
      </rPr>
      <t>-</t>
    </r>
    <r>
      <rPr>
        <sz val="11"/>
        <rFont val="Calibri"/>
        <family val="2"/>
        <scheme val="minor"/>
      </rPr>
      <t>]; K</t>
    </r>
    <r>
      <rPr>
        <vertAlign val="subscript"/>
        <sz val="11"/>
        <rFont val="Calibri"/>
        <family val="2"/>
        <scheme val="minor"/>
      </rPr>
      <t>CO2,AMX,pH</t>
    </r>
    <r>
      <rPr>
        <sz val="11"/>
        <rFont val="Calibri"/>
        <family val="2"/>
        <scheme val="minor"/>
      </rPr>
      <t>; Logslope</t>
    </r>
    <r>
      <rPr>
        <vertAlign val="subscript"/>
        <sz val="11"/>
        <rFont val="Calibri"/>
        <family val="2"/>
        <charset val="238"/>
        <scheme val="minor"/>
      </rPr>
      <t>CO2,AMX,pH</t>
    </r>
    <r>
      <rPr>
        <sz val="11"/>
        <rFont val="Calibri"/>
        <family val="2"/>
        <scheme val="minor"/>
      </rPr>
      <t>)</t>
    </r>
  </si>
  <si>
    <r>
      <t>Logsat(S</t>
    </r>
    <r>
      <rPr>
        <vertAlign val="subscript"/>
        <sz val="11"/>
        <rFont val="Calibri"/>
        <family val="2"/>
        <scheme val="minor"/>
      </rPr>
      <t>VFA</t>
    </r>
    <r>
      <rPr>
        <sz val="11"/>
        <rFont val="Calibri"/>
        <family val="2"/>
        <scheme val="minor"/>
      </rPr>
      <t>;K</t>
    </r>
    <r>
      <rPr>
        <vertAlign val="subscript"/>
        <sz val="11"/>
        <rFont val="Calibri"/>
        <family val="2"/>
        <scheme val="minor"/>
      </rPr>
      <t>VFA,FERM</t>
    </r>
    <r>
      <rPr>
        <sz val="11"/>
        <rFont val="Calibri"/>
        <family val="2"/>
        <scheme val="minor"/>
      </rPr>
      <t>;Logslope</t>
    </r>
    <r>
      <rPr>
        <vertAlign val="subscript"/>
        <sz val="11"/>
        <rFont val="Calibri"/>
        <family val="2"/>
        <scheme val="minor"/>
      </rPr>
      <t>VFA,FERM</t>
    </r>
    <r>
      <rPr>
        <sz val="11"/>
        <rFont val="Calibri"/>
        <family val="2"/>
        <scheme val="minor"/>
      </rPr>
      <t>)</t>
    </r>
  </si>
  <si>
    <r>
      <t>Loginh(S</t>
    </r>
    <r>
      <rPr>
        <vertAlign val="subscript"/>
        <sz val="11"/>
        <rFont val="Calibri"/>
        <family val="2"/>
        <scheme val="minor"/>
      </rPr>
      <t>VFA</t>
    </r>
    <r>
      <rPr>
        <sz val="11"/>
        <rFont val="Calibri"/>
        <family val="2"/>
        <scheme val="minor"/>
      </rPr>
      <t>;K</t>
    </r>
    <r>
      <rPr>
        <vertAlign val="subscript"/>
        <sz val="11"/>
        <rFont val="Calibri"/>
        <family val="2"/>
        <scheme val="minor"/>
      </rPr>
      <t>VFA,FERM</t>
    </r>
    <r>
      <rPr>
        <sz val="11"/>
        <rFont val="Calibri"/>
        <family val="2"/>
        <scheme val="minor"/>
      </rPr>
      <t>;Logslope</t>
    </r>
    <r>
      <rPr>
        <vertAlign val="subscript"/>
        <sz val="11"/>
        <rFont val="Calibri"/>
        <family val="2"/>
        <scheme val="minor"/>
      </rPr>
      <t>VFA,FERM</t>
    </r>
    <r>
      <rPr>
        <sz val="11"/>
        <rFont val="Calibri"/>
        <family val="2"/>
        <scheme val="minor"/>
      </rPr>
      <t>)</t>
    </r>
  </si>
  <si>
    <r>
      <t>Logsat(S</t>
    </r>
    <r>
      <rPr>
        <vertAlign val="subscript"/>
        <sz val="11"/>
        <rFont val="Calibri"/>
        <family val="2"/>
        <scheme val="minor"/>
      </rPr>
      <t>PO4</t>
    </r>
    <r>
      <rPr>
        <sz val="11"/>
        <rFont val="Calibri"/>
        <family val="2"/>
        <scheme val="minor"/>
      </rPr>
      <t>;K</t>
    </r>
    <r>
      <rPr>
        <vertAlign val="subscript"/>
        <sz val="11"/>
        <rFont val="Calibri"/>
        <family val="2"/>
        <scheme val="minor"/>
      </rPr>
      <t>PO4,PAO</t>
    </r>
    <r>
      <rPr>
        <sz val="11"/>
        <rFont val="Calibri"/>
        <family val="2"/>
        <scheme val="minor"/>
      </rPr>
      <t>;Logslope</t>
    </r>
    <r>
      <rPr>
        <vertAlign val="subscript"/>
        <sz val="11"/>
        <rFont val="Calibri"/>
        <family val="2"/>
        <charset val="238"/>
        <scheme val="minor"/>
      </rPr>
      <t>PO4,PAO,sat</t>
    </r>
    <r>
      <rPr>
        <sz val="11"/>
        <rFont val="Calibri"/>
        <family val="2"/>
        <scheme val="minor"/>
      </rPr>
      <t>)</t>
    </r>
  </si>
  <si>
    <r>
      <t>Logsat(X</t>
    </r>
    <r>
      <rPr>
        <vertAlign val="subscript"/>
        <sz val="11"/>
        <rFont val="Calibri"/>
        <family val="2"/>
        <scheme val="minor"/>
      </rPr>
      <t>PP</t>
    </r>
    <r>
      <rPr>
        <sz val="11"/>
        <rFont val="Calibri"/>
        <family val="2"/>
        <scheme val="minor"/>
      </rPr>
      <t>;K</t>
    </r>
    <r>
      <rPr>
        <vertAlign val="subscript"/>
        <sz val="11"/>
        <rFont val="Calibri"/>
        <family val="2"/>
        <scheme val="minor"/>
      </rPr>
      <t>PO4,PAO</t>
    </r>
    <r>
      <rPr>
        <sz val="11"/>
        <rFont val="Calibri"/>
        <family val="2"/>
        <scheme val="minor"/>
      </rPr>
      <t>;Logslope</t>
    </r>
    <r>
      <rPr>
        <vertAlign val="subscript"/>
        <sz val="11"/>
        <rFont val="Calibri"/>
        <family val="2"/>
        <charset val="238"/>
        <scheme val="minor"/>
      </rPr>
      <t>PP,PAO,sat</t>
    </r>
    <r>
      <rPr>
        <sz val="11"/>
        <rFont val="Calibri"/>
        <family val="2"/>
        <scheme val="minor"/>
      </rPr>
      <t>)</t>
    </r>
  </si>
  <si>
    <r>
      <t>Loginh(X</t>
    </r>
    <r>
      <rPr>
        <vertAlign val="subscript"/>
        <sz val="11"/>
        <rFont val="Calibri"/>
        <family val="2"/>
        <charset val="238"/>
        <scheme val="minor"/>
      </rPr>
      <t>PP</t>
    </r>
    <r>
      <rPr>
        <sz val="11"/>
        <rFont val="Calibri"/>
        <family val="2"/>
        <scheme val="minor"/>
      </rPr>
      <t>/X</t>
    </r>
    <r>
      <rPr>
        <vertAlign val="subscript"/>
        <sz val="11"/>
        <rFont val="Calibri"/>
        <family val="2"/>
        <charset val="238"/>
        <scheme val="minor"/>
      </rPr>
      <t>PAO</t>
    </r>
    <r>
      <rPr>
        <sz val="11"/>
        <rFont val="Calibri"/>
        <family val="2"/>
        <scheme val="minor"/>
      </rPr>
      <t>; Ki</t>
    </r>
    <r>
      <rPr>
        <vertAlign val="subscript"/>
        <sz val="11"/>
        <rFont val="Calibri"/>
        <family val="2"/>
        <charset val="238"/>
        <scheme val="minor"/>
      </rPr>
      <t>PP,PAO,max</t>
    </r>
    <r>
      <rPr>
        <sz val="11"/>
        <rFont val="Calibri"/>
        <family val="2"/>
        <scheme val="minor"/>
      </rPr>
      <t>; Logslope</t>
    </r>
    <r>
      <rPr>
        <vertAlign val="subscript"/>
        <sz val="11"/>
        <rFont val="Calibri"/>
        <family val="2"/>
        <charset val="238"/>
        <scheme val="minor"/>
      </rPr>
      <t>PP,PAO,inh</t>
    </r>
    <r>
      <rPr>
        <sz val="11"/>
        <rFont val="Calibri"/>
        <family val="2"/>
        <scheme val="minor"/>
      </rPr>
      <t>)</t>
    </r>
  </si>
  <si>
    <r>
      <t>Loginh(S</t>
    </r>
    <r>
      <rPr>
        <vertAlign val="subscript"/>
        <sz val="11"/>
        <rFont val="Calibri"/>
        <family val="2"/>
        <scheme val="minor"/>
      </rPr>
      <t>PO4</t>
    </r>
    <r>
      <rPr>
        <sz val="11"/>
        <rFont val="Calibri"/>
        <family val="2"/>
        <scheme val="minor"/>
      </rPr>
      <t>;Ki</t>
    </r>
    <r>
      <rPr>
        <vertAlign val="subscript"/>
        <sz val="11"/>
        <rFont val="Calibri"/>
        <family val="2"/>
        <scheme val="minor"/>
      </rPr>
      <t>P,HFO,DISS</t>
    </r>
    <r>
      <rPr>
        <sz val="11"/>
        <rFont val="Calibri"/>
        <family val="2"/>
        <scheme val="minor"/>
      </rPr>
      <t>;Logslope</t>
    </r>
    <r>
      <rPr>
        <vertAlign val="subscript"/>
        <sz val="11"/>
        <rFont val="Calibri"/>
        <family val="2"/>
        <charset val="238"/>
        <scheme val="minor"/>
      </rPr>
      <t>P,HFO,DISS</t>
    </r>
    <r>
      <rPr>
        <sz val="11"/>
        <rFont val="Calibri"/>
        <family val="2"/>
        <scheme val="minor"/>
      </rPr>
      <t>)</t>
    </r>
  </si>
  <si>
    <r>
      <t>Loginh(S</t>
    </r>
    <r>
      <rPr>
        <vertAlign val="subscript"/>
        <sz val="11"/>
        <rFont val="Calibri"/>
        <family val="2"/>
        <scheme val="minor"/>
      </rPr>
      <t>PO4</t>
    </r>
    <r>
      <rPr>
        <sz val="11"/>
        <rFont val="Calibri"/>
        <family val="2"/>
        <scheme val="minor"/>
      </rPr>
      <t>;Ki</t>
    </r>
    <r>
      <rPr>
        <vertAlign val="subscript"/>
        <sz val="11"/>
        <rFont val="Calibri"/>
        <family val="2"/>
        <scheme val="minor"/>
      </rPr>
      <t>P,HAO,DISS</t>
    </r>
    <r>
      <rPr>
        <sz val="11"/>
        <rFont val="Calibri"/>
        <family val="2"/>
        <scheme val="minor"/>
      </rPr>
      <t>;Logslope</t>
    </r>
    <r>
      <rPr>
        <vertAlign val="subscript"/>
        <sz val="11"/>
        <rFont val="Calibri"/>
        <family val="2"/>
        <charset val="238"/>
        <scheme val="minor"/>
      </rPr>
      <t>P,HAO,DISS</t>
    </r>
    <r>
      <rPr>
        <sz val="11"/>
        <rFont val="Calibri"/>
        <family val="2"/>
        <scheme val="minor"/>
      </rPr>
      <t>)</t>
    </r>
  </si>
  <si>
    <t>Effective range of logistic switch for STO/AHO inhibition term</t>
  </si>
  <si>
    <r>
      <t>Logrange</t>
    </r>
    <r>
      <rPr>
        <vertAlign val="subscript"/>
        <sz val="11"/>
        <rFont val="Calibri"/>
        <family val="2"/>
        <charset val="238"/>
        <scheme val="minor"/>
      </rPr>
      <t>STO,AHO,inh</t>
    </r>
  </si>
  <si>
    <r>
      <t>Logslope</t>
    </r>
    <r>
      <rPr>
        <vertAlign val="subscript"/>
        <sz val="11"/>
        <rFont val="Calibri"/>
        <family val="2"/>
        <charset val="238"/>
        <scheme val="minor"/>
      </rPr>
      <t>STO,AHO,inh</t>
    </r>
  </si>
  <si>
    <t>Logistic slope of inhibition term for STO/AHO</t>
  </si>
  <si>
    <r>
      <t>Loginh(X</t>
    </r>
    <r>
      <rPr>
        <vertAlign val="subscript"/>
        <sz val="11"/>
        <rFont val="Calibri"/>
        <family val="2"/>
        <scheme val="minor"/>
      </rPr>
      <t>STO</t>
    </r>
    <r>
      <rPr>
        <sz val="11"/>
        <rFont val="Calibri"/>
        <family val="2"/>
        <scheme val="minor"/>
      </rPr>
      <t>/X</t>
    </r>
    <r>
      <rPr>
        <vertAlign val="subscript"/>
        <sz val="11"/>
        <rFont val="Calibri"/>
        <family val="2"/>
        <scheme val="minor"/>
      </rPr>
      <t>AHO</t>
    </r>
    <r>
      <rPr>
        <sz val="11"/>
        <rFont val="Calibri"/>
        <family val="2"/>
        <scheme val="minor"/>
      </rPr>
      <t>; Ki</t>
    </r>
    <r>
      <rPr>
        <vertAlign val="subscript"/>
        <sz val="11"/>
        <rFont val="Calibri"/>
        <family val="2"/>
        <scheme val="minor"/>
      </rPr>
      <t>STO,AHO,max</t>
    </r>
    <r>
      <rPr>
        <sz val="11"/>
        <rFont val="Calibri"/>
        <family val="2"/>
        <scheme val="minor"/>
      </rPr>
      <t>; Logslope</t>
    </r>
    <r>
      <rPr>
        <vertAlign val="subscript"/>
        <sz val="11"/>
        <rFont val="Calibri"/>
        <family val="2"/>
        <charset val="238"/>
        <scheme val="minor"/>
      </rPr>
      <t>STO,AHO,inh</t>
    </r>
    <r>
      <rPr>
        <sz val="11"/>
        <rFont val="Calibri"/>
        <family val="2"/>
        <scheme val="minor"/>
      </rPr>
      <t>)</t>
    </r>
  </si>
  <si>
    <r>
      <t>mol [HCO</t>
    </r>
    <r>
      <rPr>
        <vertAlign val="subscript"/>
        <sz val="11"/>
        <color indexed="8"/>
        <rFont val="Calibri"/>
        <family val="2"/>
        <scheme val="minor"/>
      </rPr>
      <t>3</t>
    </r>
    <r>
      <rPr>
        <vertAlign val="superscript"/>
        <sz val="11"/>
        <color indexed="8"/>
        <rFont val="Calibri"/>
        <family val="2"/>
        <scheme val="minor"/>
      </rPr>
      <t>-</t>
    </r>
    <r>
      <rPr>
        <sz val="11"/>
        <color indexed="8"/>
        <rFont val="Calibri"/>
        <family val="2"/>
        <scheme val="minor"/>
      </rPr>
      <t>].L</t>
    </r>
    <r>
      <rPr>
        <vertAlign val="superscript"/>
        <sz val="11"/>
        <color indexed="8"/>
        <rFont val="Calibri"/>
        <family val="2"/>
        <charset val="238"/>
        <scheme val="minor"/>
      </rPr>
      <t>-1</t>
    </r>
  </si>
  <si>
    <t>Logisticslope(halfval; range)</t>
  </si>
  <si>
    <t>Slope for logistic saturation and inhibition functions</t>
  </si>
  <si>
    <t>(-1)*(2 / (halfval * range)) * Ln((1/19) * (1 + (1/2) * (halfval * range / halfval)))</t>
  </si>
  <si>
    <r>
      <t>Logisticslope(K</t>
    </r>
    <r>
      <rPr>
        <vertAlign val="subscript"/>
        <sz val="11"/>
        <rFont val="Calibri"/>
        <family val="2"/>
        <charset val="238"/>
        <scheme val="minor"/>
      </rPr>
      <t>VFA,FERM</t>
    </r>
    <r>
      <rPr>
        <sz val="11"/>
        <rFont val="Calibri"/>
        <family val="2"/>
        <scheme val="minor"/>
      </rPr>
      <t>; Logrange</t>
    </r>
    <r>
      <rPr>
        <vertAlign val="subscript"/>
        <sz val="11"/>
        <rFont val="Calibri"/>
        <family val="2"/>
        <charset val="238"/>
        <scheme val="minor"/>
      </rPr>
      <t>VFA,FERM,AS</t>
    </r>
    <r>
      <rPr>
        <sz val="11"/>
        <rFont val="Calibri"/>
        <family val="2"/>
        <scheme val="minor"/>
      </rPr>
      <t>) / f</t>
    </r>
    <r>
      <rPr>
        <vertAlign val="subscript"/>
        <sz val="11"/>
        <rFont val="Calibri"/>
        <family val="2"/>
        <scheme val="minor"/>
      </rPr>
      <t>KS</t>
    </r>
  </si>
  <si>
    <r>
      <t>Logisticslope(K</t>
    </r>
    <r>
      <rPr>
        <vertAlign val="subscript"/>
        <sz val="11"/>
        <rFont val="Calibri"/>
        <family val="2"/>
        <charset val="238"/>
        <scheme val="minor"/>
      </rPr>
      <t>PO4,PAO</t>
    </r>
    <r>
      <rPr>
        <sz val="11"/>
        <rFont val="Calibri"/>
        <family val="2"/>
        <scheme val="minor"/>
      </rPr>
      <t>; Logrange</t>
    </r>
    <r>
      <rPr>
        <vertAlign val="subscript"/>
        <sz val="11"/>
        <rFont val="Calibri"/>
        <family val="2"/>
        <charset val="238"/>
        <scheme val="minor"/>
      </rPr>
      <t>PO4,PAO,AS,sat</t>
    </r>
    <r>
      <rPr>
        <sz val="11"/>
        <rFont val="Calibri"/>
        <family val="2"/>
        <scheme val="minor"/>
      </rPr>
      <t>)</t>
    </r>
    <r>
      <rPr>
        <sz val="11"/>
        <rFont val="Calibri"/>
        <family val="2"/>
        <scheme val="minor"/>
      </rPr>
      <t xml:space="preserve"> / f</t>
    </r>
    <r>
      <rPr>
        <vertAlign val="subscript"/>
        <sz val="11"/>
        <rFont val="Calibri"/>
        <family val="2"/>
        <scheme val="minor"/>
      </rPr>
      <t>KS</t>
    </r>
  </si>
  <si>
    <r>
      <t>Logisticslope(K</t>
    </r>
    <r>
      <rPr>
        <vertAlign val="subscript"/>
        <sz val="11"/>
        <rFont val="Calibri"/>
        <family val="2"/>
        <charset val="238"/>
        <scheme val="minor"/>
      </rPr>
      <t>PO4,PAO</t>
    </r>
    <r>
      <rPr>
        <sz val="11"/>
        <rFont val="Calibri"/>
        <family val="2"/>
        <scheme val="minor"/>
      </rPr>
      <t>; Logrange</t>
    </r>
    <r>
      <rPr>
        <vertAlign val="subscript"/>
        <sz val="11"/>
        <rFont val="Calibri"/>
        <family val="2"/>
        <charset val="238"/>
        <scheme val="minor"/>
      </rPr>
      <t>PP,PAO,AS,sat</t>
    </r>
    <r>
      <rPr>
        <sz val="11"/>
        <rFont val="Calibri"/>
        <family val="2"/>
        <scheme val="minor"/>
      </rPr>
      <t>)</t>
    </r>
    <r>
      <rPr>
        <sz val="11"/>
        <rFont val="Calibri"/>
        <family val="2"/>
        <scheme val="minor"/>
      </rPr>
      <t xml:space="preserve"> / f</t>
    </r>
    <r>
      <rPr>
        <vertAlign val="subscript"/>
        <sz val="11"/>
        <rFont val="Calibri"/>
        <family val="2"/>
        <scheme val="minor"/>
      </rPr>
      <t>KS</t>
    </r>
  </si>
  <si>
    <r>
      <t>Logisticslope(Ki</t>
    </r>
    <r>
      <rPr>
        <vertAlign val="subscript"/>
        <sz val="11"/>
        <rFont val="Calibri"/>
        <family val="2"/>
        <charset val="238"/>
        <scheme val="minor"/>
      </rPr>
      <t>P,HAO,DISS</t>
    </r>
    <r>
      <rPr>
        <sz val="11"/>
        <rFont val="Calibri"/>
        <family val="2"/>
        <scheme val="minor"/>
      </rPr>
      <t>; Logrange</t>
    </r>
    <r>
      <rPr>
        <vertAlign val="subscript"/>
        <sz val="11"/>
        <rFont val="Calibri"/>
        <family val="2"/>
        <charset val="238"/>
        <scheme val="minor"/>
      </rPr>
      <t>P,HAO,DISS</t>
    </r>
    <r>
      <rPr>
        <sz val="11"/>
        <rFont val="Calibri"/>
        <family val="2"/>
        <scheme val="minor"/>
      </rPr>
      <t>)</t>
    </r>
  </si>
  <si>
    <r>
      <t>Logisticslope(Ki</t>
    </r>
    <r>
      <rPr>
        <vertAlign val="subscript"/>
        <sz val="11"/>
        <rFont val="Calibri"/>
        <family val="2"/>
        <charset val="238"/>
        <scheme val="minor"/>
      </rPr>
      <t>P,HFO,DISS</t>
    </r>
    <r>
      <rPr>
        <sz val="11"/>
        <rFont val="Calibri"/>
        <family val="2"/>
        <scheme val="minor"/>
      </rPr>
      <t>; Logrange</t>
    </r>
    <r>
      <rPr>
        <vertAlign val="subscript"/>
        <sz val="11"/>
        <rFont val="Calibri"/>
        <family val="2"/>
        <charset val="238"/>
        <scheme val="minor"/>
      </rPr>
      <t>P,HFO,DISS</t>
    </r>
    <r>
      <rPr>
        <sz val="11"/>
        <rFont val="Calibri"/>
        <family val="2"/>
        <scheme val="minor"/>
      </rPr>
      <t>)</t>
    </r>
  </si>
  <si>
    <r>
      <t>Logisticslope(Ki</t>
    </r>
    <r>
      <rPr>
        <vertAlign val="subscript"/>
        <sz val="11"/>
        <rFont val="Calibri"/>
        <family val="2"/>
        <charset val="238"/>
        <scheme val="minor"/>
      </rPr>
      <t>PP,PAO,max</t>
    </r>
    <r>
      <rPr>
        <sz val="11"/>
        <rFont val="Calibri"/>
        <family val="2"/>
        <scheme val="minor"/>
      </rPr>
      <t>; Logrange</t>
    </r>
    <r>
      <rPr>
        <vertAlign val="subscript"/>
        <sz val="11"/>
        <rFont val="Calibri"/>
        <family val="2"/>
        <charset val="238"/>
        <scheme val="minor"/>
      </rPr>
      <t>PP,PAO,inh</t>
    </r>
    <r>
      <rPr>
        <sz val="11"/>
        <rFont val="Calibri"/>
        <family val="2"/>
        <scheme val="minor"/>
      </rPr>
      <t>)</t>
    </r>
  </si>
  <si>
    <r>
      <t>Logisticslope(Ki</t>
    </r>
    <r>
      <rPr>
        <vertAlign val="subscript"/>
        <sz val="11"/>
        <rFont val="Calibri"/>
        <family val="2"/>
        <charset val="238"/>
        <scheme val="minor"/>
      </rPr>
      <t>PHA,PAO,max</t>
    </r>
    <r>
      <rPr>
        <sz val="11"/>
        <rFont val="Calibri"/>
        <family val="2"/>
        <scheme val="minor"/>
      </rPr>
      <t>; Logrange</t>
    </r>
    <r>
      <rPr>
        <vertAlign val="subscript"/>
        <sz val="11"/>
        <rFont val="Calibri"/>
        <family val="2"/>
        <charset val="238"/>
        <scheme val="minor"/>
      </rPr>
      <t>PHA,PAO,inh</t>
    </r>
    <r>
      <rPr>
        <sz val="11"/>
        <rFont val="Calibri"/>
        <family val="2"/>
        <scheme val="minor"/>
      </rPr>
      <t>)</t>
    </r>
  </si>
  <si>
    <r>
      <t>Logisticslope(Ki</t>
    </r>
    <r>
      <rPr>
        <vertAlign val="subscript"/>
        <sz val="11"/>
        <rFont val="Calibri"/>
        <family val="2"/>
        <charset val="238"/>
        <scheme val="minor"/>
      </rPr>
      <t>STO,AHO,max</t>
    </r>
    <r>
      <rPr>
        <sz val="11"/>
        <rFont val="Calibri"/>
        <family val="2"/>
        <scheme val="minor"/>
      </rPr>
      <t>; Logrange</t>
    </r>
    <r>
      <rPr>
        <vertAlign val="subscript"/>
        <sz val="11"/>
        <rFont val="Calibri"/>
        <family val="2"/>
        <charset val="238"/>
        <scheme val="minor"/>
      </rPr>
      <t>STO,AHO,inh</t>
    </r>
    <r>
      <rPr>
        <sz val="11"/>
        <rFont val="Calibri"/>
        <family val="2"/>
        <scheme val="minor"/>
      </rPr>
      <t>)</t>
    </r>
  </si>
  <si>
    <r>
      <t>Logisticslope(K</t>
    </r>
    <r>
      <rPr>
        <vertAlign val="subscript"/>
        <sz val="11"/>
        <rFont val="Calibri"/>
        <family val="2"/>
        <charset val="238"/>
        <scheme val="minor"/>
      </rPr>
      <t>PO4,PAO</t>
    </r>
    <r>
      <rPr>
        <sz val="11"/>
        <rFont val="Calibri"/>
        <family val="2"/>
        <scheme val="minor"/>
      </rPr>
      <t>; Logrange</t>
    </r>
    <r>
      <rPr>
        <vertAlign val="subscript"/>
        <sz val="11"/>
        <rFont val="Calibri"/>
        <family val="2"/>
        <charset val="238"/>
        <scheme val="minor"/>
      </rPr>
      <t>PP,PAO,AS,sat</t>
    </r>
    <r>
      <rPr>
        <sz val="11"/>
        <rFont val="Calibri"/>
        <family val="2"/>
        <scheme val="minor"/>
      </rPr>
      <t>)</t>
    </r>
  </si>
  <si>
    <r>
      <t>Logisticslope(K</t>
    </r>
    <r>
      <rPr>
        <vertAlign val="subscript"/>
        <sz val="11"/>
        <rFont val="Calibri"/>
        <family val="2"/>
        <charset val="238"/>
        <scheme val="minor"/>
      </rPr>
      <t>PO4,PAO</t>
    </r>
    <r>
      <rPr>
        <sz val="11"/>
        <rFont val="Calibri"/>
        <family val="2"/>
        <scheme val="minor"/>
      </rPr>
      <t>; Logrange</t>
    </r>
    <r>
      <rPr>
        <vertAlign val="subscript"/>
        <sz val="11"/>
        <rFont val="Calibri"/>
        <family val="2"/>
        <charset val="238"/>
        <scheme val="minor"/>
      </rPr>
      <t>PO4,PAO,AS,sat</t>
    </r>
    <r>
      <rPr>
        <sz val="11"/>
        <rFont val="Calibri"/>
        <family val="2"/>
        <scheme val="minor"/>
      </rPr>
      <t>)</t>
    </r>
  </si>
  <si>
    <r>
      <t>Logisticslope(K</t>
    </r>
    <r>
      <rPr>
        <vertAlign val="subscript"/>
        <sz val="11"/>
        <rFont val="Calibri"/>
        <family val="2"/>
        <charset val="238"/>
        <scheme val="minor"/>
      </rPr>
      <t>VFA,FERM</t>
    </r>
    <r>
      <rPr>
        <sz val="11"/>
        <rFont val="Calibri"/>
        <family val="2"/>
        <scheme val="minor"/>
      </rPr>
      <t>; Logrange</t>
    </r>
    <r>
      <rPr>
        <vertAlign val="subscript"/>
        <sz val="11"/>
        <rFont val="Calibri"/>
        <family val="2"/>
        <charset val="238"/>
        <scheme val="minor"/>
      </rPr>
      <t>VFA,FERM,AS</t>
    </r>
    <r>
      <rPr>
        <sz val="11"/>
        <rFont val="Calibri"/>
        <family val="2"/>
        <scheme val="minor"/>
      </rPr>
      <t>)</t>
    </r>
  </si>
  <si>
    <r>
      <t>Logisticslope(K</t>
    </r>
    <r>
      <rPr>
        <vertAlign val="subscript"/>
        <sz val="11"/>
        <rFont val="Calibri"/>
        <family val="2"/>
        <charset val="238"/>
        <scheme val="minor"/>
      </rPr>
      <t>CO2,AMX,pH,AS</t>
    </r>
    <r>
      <rPr>
        <sz val="11"/>
        <rFont val="Calibri"/>
        <family val="2"/>
        <scheme val="minor"/>
      </rPr>
      <t>; Logrange</t>
    </r>
    <r>
      <rPr>
        <vertAlign val="subscript"/>
        <sz val="11"/>
        <rFont val="Calibri"/>
        <family val="2"/>
        <charset val="238"/>
        <scheme val="minor"/>
      </rPr>
      <t>CO2,AMX,pH,AS</t>
    </r>
    <r>
      <rPr>
        <sz val="11"/>
        <rFont val="Calibri"/>
        <family val="2"/>
        <scheme val="minor"/>
      </rPr>
      <t>)</t>
    </r>
  </si>
  <si>
    <r>
      <t>Logisticslope(K</t>
    </r>
    <r>
      <rPr>
        <vertAlign val="subscript"/>
        <sz val="11"/>
        <rFont val="Calibri"/>
        <family val="2"/>
        <charset val="238"/>
        <scheme val="minor"/>
      </rPr>
      <t>CO2,NOB,pH,AS</t>
    </r>
    <r>
      <rPr>
        <sz val="11"/>
        <rFont val="Calibri"/>
        <family val="2"/>
        <scheme val="minor"/>
      </rPr>
      <t>; Logrange</t>
    </r>
    <r>
      <rPr>
        <vertAlign val="subscript"/>
        <sz val="11"/>
        <rFont val="Calibri"/>
        <family val="2"/>
        <charset val="238"/>
        <scheme val="minor"/>
      </rPr>
      <t>CO2,NOB,pH,AS</t>
    </r>
    <r>
      <rPr>
        <sz val="11"/>
        <rFont val="Calibri"/>
        <family val="2"/>
        <scheme val="minor"/>
      </rPr>
      <t>)</t>
    </r>
  </si>
  <si>
    <r>
      <t>Logisticslope(K</t>
    </r>
    <r>
      <rPr>
        <vertAlign val="subscript"/>
        <sz val="11"/>
        <rFont val="Calibri"/>
        <family val="2"/>
        <charset val="238"/>
        <scheme val="minor"/>
      </rPr>
      <t>CO2,AOB,pH,sidestream</t>
    </r>
    <r>
      <rPr>
        <sz val="11"/>
        <rFont val="Calibri"/>
        <family val="2"/>
        <scheme val="minor"/>
      </rPr>
      <t>; Logrange</t>
    </r>
    <r>
      <rPr>
        <vertAlign val="subscript"/>
        <sz val="11"/>
        <rFont val="Calibri"/>
        <family val="2"/>
        <charset val="238"/>
        <scheme val="minor"/>
      </rPr>
      <t>CO2,AOB,pH,sidestream</t>
    </r>
    <r>
      <rPr>
        <sz val="11"/>
        <rFont val="Calibri"/>
        <family val="2"/>
        <scheme val="minor"/>
      </rPr>
      <t>)</t>
    </r>
  </si>
  <si>
    <r>
      <t>Logisticslope(K</t>
    </r>
    <r>
      <rPr>
        <vertAlign val="subscript"/>
        <sz val="11"/>
        <rFont val="Calibri"/>
        <family val="2"/>
        <charset val="238"/>
        <scheme val="minor"/>
      </rPr>
      <t>CO2,AOB,pH,AS</t>
    </r>
    <r>
      <rPr>
        <sz val="11"/>
        <rFont val="Calibri"/>
        <family val="2"/>
        <scheme val="minor"/>
      </rPr>
      <t>; Logrange</t>
    </r>
    <r>
      <rPr>
        <vertAlign val="subscript"/>
        <sz val="11"/>
        <rFont val="Calibri"/>
        <family val="2"/>
        <charset val="238"/>
        <scheme val="minor"/>
      </rPr>
      <t>CO2,AOB,pH,AS</t>
    </r>
    <r>
      <rPr>
        <sz val="11"/>
        <rFont val="Calibri"/>
        <family val="2"/>
        <scheme val="minor"/>
      </rPr>
      <t>)</t>
    </r>
  </si>
  <si>
    <t>based on the 95% percentile of the saturation function</t>
  </si>
  <si>
    <r>
      <t>Ki</t>
    </r>
    <r>
      <rPr>
        <vertAlign val="subscript"/>
        <sz val="11"/>
        <rFont val="Calibri"/>
        <family val="2"/>
        <scheme val="minor"/>
      </rPr>
      <t>NH3,AMETO,pH,AS</t>
    </r>
  </si>
  <si>
    <r>
      <t>Half-inhibition of NH3</t>
    </r>
    <r>
      <rPr>
        <sz val="11"/>
        <color rgb="FF000000"/>
        <rFont val="Calibri"/>
        <family val="2"/>
        <charset val="238"/>
        <scheme val="minor"/>
      </rPr>
      <t xml:space="preserve"> for AMETOs (AS)</t>
    </r>
  </si>
  <si>
    <r>
      <t>Logrange</t>
    </r>
    <r>
      <rPr>
        <vertAlign val="subscript"/>
        <sz val="11"/>
        <rFont val="Calibri"/>
        <family val="2"/>
        <charset val="238"/>
        <scheme val="minor"/>
      </rPr>
      <t>NH3,AMETO</t>
    </r>
  </si>
  <si>
    <t>Effective range of NH3 logistic switch for AMETOs</t>
  </si>
  <si>
    <t>A_MP/M_MBSH</t>
  </si>
  <si>
    <t>Fe(OH)3 -&gt; Fe2O3 + 3H2O</t>
  </si>
  <si>
    <r>
      <t>Ki</t>
    </r>
    <r>
      <rPr>
        <vertAlign val="subscript"/>
        <sz val="11"/>
        <rFont val="Calibri"/>
        <family val="2"/>
        <scheme val="minor"/>
      </rPr>
      <t>NH3,AMETO,pH</t>
    </r>
  </si>
  <si>
    <r>
      <t>Ki</t>
    </r>
    <r>
      <rPr>
        <vertAlign val="subscript"/>
        <sz val="11"/>
        <rFont val="Calibri"/>
        <family val="2"/>
        <scheme val="minor"/>
      </rPr>
      <t>NH3,AMETO,pH,AS</t>
    </r>
    <r>
      <rPr>
        <sz val="11"/>
        <rFont val="Calibri"/>
        <family val="2"/>
        <scheme val="minor"/>
      </rPr>
      <t>*f</t>
    </r>
    <r>
      <rPr>
        <vertAlign val="subscript"/>
        <sz val="11"/>
        <rFont val="Calibri"/>
        <family val="2"/>
        <scheme val="minor"/>
      </rPr>
      <t>KS</t>
    </r>
  </si>
  <si>
    <r>
      <t>Half-inhibition of NH</t>
    </r>
    <r>
      <rPr>
        <vertAlign val="subscript"/>
        <sz val="11"/>
        <rFont val="Calibri"/>
        <family val="2"/>
        <scheme val="minor"/>
      </rPr>
      <t>3</t>
    </r>
    <r>
      <rPr>
        <sz val="11"/>
        <color rgb="FF000000"/>
        <rFont val="Calibri"/>
        <family val="2"/>
        <charset val="238"/>
        <scheme val="minor"/>
      </rPr>
      <t xml:space="preserve"> for AMETOs (AS)</t>
    </r>
  </si>
  <si>
    <r>
      <t>Logslope</t>
    </r>
    <r>
      <rPr>
        <vertAlign val="subscript"/>
        <sz val="11"/>
        <rFont val="Calibri"/>
        <family val="2"/>
        <scheme val="minor"/>
      </rPr>
      <t>NH3,AMETO,pH</t>
    </r>
  </si>
  <si>
    <r>
      <t>Logistic slope of NH</t>
    </r>
    <r>
      <rPr>
        <vertAlign val="subscript"/>
        <sz val="11"/>
        <rFont val="Calibri"/>
        <family val="2"/>
        <scheme val="minor"/>
      </rPr>
      <t>3</t>
    </r>
    <r>
      <rPr>
        <sz val="11"/>
        <color rgb="FF000000"/>
        <rFont val="Calibri"/>
        <family val="2"/>
        <charset val="238"/>
        <scheme val="minor"/>
      </rPr>
      <t xml:space="preserve"> for AMETOs</t>
    </r>
  </si>
  <si>
    <r>
      <t>Logisticslope(Ki</t>
    </r>
    <r>
      <rPr>
        <vertAlign val="subscript"/>
        <sz val="11"/>
        <rFont val="Calibri"/>
        <family val="2"/>
        <charset val="238"/>
        <scheme val="minor"/>
      </rPr>
      <t>NH3,AMETO,pH;</t>
    </r>
    <r>
      <rPr>
        <sz val="11"/>
        <rFont val="Calibri"/>
        <family val="2"/>
        <scheme val="minor"/>
      </rPr>
      <t xml:space="preserve"> Logrange</t>
    </r>
    <r>
      <rPr>
        <vertAlign val="subscript"/>
        <sz val="11"/>
        <rFont val="Calibri"/>
        <family val="2"/>
        <charset val="238"/>
        <scheme val="minor"/>
      </rPr>
      <t>NH3,AMETO</t>
    </r>
    <r>
      <rPr>
        <sz val="11"/>
        <rFont val="Calibri"/>
        <family val="2"/>
        <scheme val="minor"/>
      </rPr>
      <t>)</t>
    </r>
  </si>
  <si>
    <r>
      <t>L.mol [NH</t>
    </r>
    <r>
      <rPr>
        <vertAlign val="subscript"/>
        <sz val="11"/>
        <rFont val="Calibri"/>
        <family val="2"/>
        <scheme val="minor"/>
      </rPr>
      <t>3</t>
    </r>
    <r>
      <rPr>
        <vertAlign val="superscript"/>
        <sz val="11"/>
        <rFont val="Calibri"/>
        <family val="2"/>
        <scheme val="minor"/>
      </rPr>
      <t>-</t>
    </r>
    <r>
      <rPr>
        <sz val="11"/>
        <rFont val="Calibri"/>
        <family val="2"/>
        <scheme val="minor"/>
      </rPr>
      <t>]</t>
    </r>
    <r>
      <rPr>
        <vertAlign val="superscript"/>
        <sz val="11"/>
        <rFont val="Calibri"/>
        <family val="2"/>
        <scheme val="minor"/>
      </rPr>
      <t>-1</t>
    </r>
  </si>
  <si>
    <r>
      <t>LoginhpH</t>
    </r>
    <r>
      <rPr>
        <vertAlign val="subscript"/>
        <sz val="11"/>
        <rFont val="Calibri"/>
        <family val="2"/>
        <scheme val="minor"/>
      </rPr>
      <t>NH3,AMETO</t>
    </r>
  </si>
  <si>
    <r>
      <t>Logistic inhibition term for NHx</t>
    </r>
    <r>
      <rPr>
        <sz val="11"/>
        <color rgb="FF000000"/>
        <rFont val="Calibri"/>
        <family val="2"/>
        <charset val="238"/>
        <scheme val="minor"/>
      </rPr>
      <t>/NH</t>
    </r>
    <r>
      <rPr>
        <vertAlign val="subscript"/>
        <sz val="11"/>
        <color rgb="FF000000"/>
        <rFont val="Calibri"/>
        <family val="2"/>
        <scheme val="minor"/>
      </rPr>
      <t>3</t>
    </r>
    <r>
      <rPr>
        <sz val="11"/>
        <color rgb="FF000000"/>
        <rFont val="Calibri"/>
        <family val="2"/>
        <charset val="238"/>
        <scheme val="minor"/>
      </rPr>
      <t xml:space="preserve"> (AMETO)</t>
    </r>
  </si>
  <si>
    <r>
      <t>Loginh([NH</t>
    </r>
    <r>
      <rPr>
        <vertAlign val="subscript"/>
        <sz val="11"/>
        <rFont val="Calibri"/>
        <family val="2"/>
        <scheme val="minor"/>
      </rPr>
      <t>3</t>
    </r>
    <r>
      <rPr>
        <sz val="11"/>
        <rFont val="Calibri"/>
        <family val="2"/>
        <scheme val="minor"/>
      </rPr>
      <t>]; Ki</t>
    </r>
    <r>
      <rPr>
        <vertAlign val="subscript"/>
        <sz val="11"/>
        <rFont val="Calibri"/>
        <family val="2"/>
        <scheme val="minor"/>
      </rPr>
      <t>NH3,AMETO,pH</t>
    </r>
    <r>
      <rPr>
        <sz val="11"/>
        <rFont val="Calibri"/>
        <family val="2"/>
        <scheme val="minor"/>
      </rPr>
      <t>; Logslope</t>
    </r>
    <r>
      <rPr>
        <vertAlign val="subscript"/>
        <sz val="11"/>
        <rFont val="Calibri"/>
        <family val="2"/>
        <charset val="238"/>
        <scheme val="minor"/>
      </rPr>
      <t>NH3,AMETO,pH</t>
    </r>
    <r>
      <rPr>
        <sz val="11"/>
        <rFont val="Calibri"/>
        <family val="2"/>
        <scheme val="minor"/>
      </rPr>
      <t>)</t>
    </r>
  </si>
  <si>
    <r>
      <t>µ</t>
    </r>
    <r>
      <rPr>
        <vertAlign val="subscript"/>
        <sz val="11"/>
        <rFont val="Calibri"/>
        <family val="2"/>
      </rPr>
      <t>AMETO,T</t>
    </r>
    <r>
      <rPr>
        <sz val="11"/>
        <rFont val="Calibri"/>
        <family val="2"/>
      </rPr>
      <t>*X</t>
    </r>
    <r>
      <rPr>
        <vertAlign val="subscript"/>
        <sz val="11"/>
        <rFont val="Calibri"/>
        <family val="2"/>
      </rPr>
      <t>AMETO</t>
    </r>
    <r>
      <rPr>
        <sz val="11"/>
        <rFont val="Calibri"/>
        <family val="2"/>
      </rPr>
      <t>*Hsat</t>
    </r>
    <r>
      <rPr>
        <vertAlign val="subscript"/>
        <sz val="11"/>
        <rFont val="Calibri"/>
        <family val="2"/>
      </rPr>
      <t>SVFA,AMETO</t>
    </r>
    <r>
      <rPr>
        <sz val="11"/>
        <rFont val="Calibri"/>
        <family val="2"/>
      </rPr>
      <t>*Minh</t>
    </r>
    <r>
      <rPr>
        <vertAlign val="subscript"/>
        <sz val="11"/>
        <rFont val="Calibri"/>
        <family val="2"/>
      </rPr>
      <t>SO2,KiO2,AMETO</t>
    </r>
    <r>
      <rPr>
        <sz val="11"/>
        <rFont val="Calibri"/>
        <family val="2"/>
      </rPr>
      <t>*Minh</t>
    </r>
    <r>
      <rPr>
        <vertAlign val="subscript"/>
        <sz val="11"/>
        <rFont val="Calibri"/>
        <family val="2"/>
      </rPr>
      <t>SNOx,KNO3,AMETO</t>
    </r>
    <r>
      <rPr>
        <sz val="11"/>
        <rFont val="Calibri"/>
        <family val="2"/>
      </rPr>
      <t>*LoginhpH</t>
    </r>
    <r>
      <rPr>
        <vertAlign val="subscript"/>
        <sz val="11"/>
        <rFont val="Calibri"/>
        <family val="2"/>
      </rPr>
      <t>NH3,AMETO</t>
    </r>
    <r>
      <rPr>
        <sz val="11"/>
        <rFont val="Calibri"/>
        <family val="2"/>
      </rPr>
      <t>*Msat</t>
    </r>
    <r>
      <rPr>
        <vertAlign val="subscript"/>
        <sz val="11"/>
        <rFont val="Calibri"/>
        <family val="2"/>
      </rPr>
      <t>SNHx,KNHx,BIO</t>
    </r>
    <r>
      <rPr>
        <sz val="11"/>
        <rFont val="Calibri"/>
        <family val="2"/>
      </rPr>
      <t>*Msat</t>
    </r>
    <r>
      <rPr>
        <vertAlign val="subscript"/>
        <sz val="11"/>
        <rFont val="Calibri"/>
        <family val="2"/>
      </rPr>
      <t>SPO4,KPO4,BIO</t>
    </r>
    <r>
      <rPr>
        <sz val="11"/>
        <rFont val="Calibri"/>
        <family val="2"/>
      </rPr>
      <t>*Msat</t>
    </r>
    <r>
      <rPr>
        <vertAlign val="subscript"/>
        <sz val="11"/>
        <rFont val="Calibri"/>
        <family val="2"/>
      </rPr>
      <t>SCAT,KCAT</t>
    </r>
    <r>
      <rPr>
        <sz val="11"/>
        <rFont val="Calibri"/>
        <family val="2"/>
      </rPr>
      <t>*Msat</t>
    </r>
    <r>
      <rPr>
        <vertAlign val="subscript"/>
        <sz val="11"/>
        <rFont val="Calibri"/>
        <family val="2"/>
      </rPr>
      <t>SAN,KAN</t>
    </r>
    <r>
      <rPr>
        <sz val="11"/>
        <rFont val="Calibri"/>
        <family val="2"/>
      </rPr>
      <t>*Msat</t>
    </r>
    <r>
      <rPr>
        <vertAlign val="subscript"/>
        <sz val="11"/>
        <rFont val="Calibri"/>
        <family val="2"/>
      </rPr>
      <t>SCa,KCa</t>
    </r>
    <r>
      <rPr>
        <sz val="11"/>
        <rFont val="Calibri"/>
        <family val="2"/>
      </rPr>
      <t>*Msat</t>
    </r>
    <r>
      <rPr>
        <vertAlign val="subscript"/>
        <sz val="11"/>
        <rFont val="Calibri"/>
        <family val="2"/>
      </rPr>
      <t>SMg,KMg</t>
    </r>
    <r>
      <rPr>
        <sz val="11"/>
        <rFont val="Calibri"/>
        <family val="2"/>
      </rPr>
      <t>*Bellinh</t>
    </r>
    <r>
      <rPr>
        <vertAlign val="subscript"/>
        <sz val="11"/>
        <rFont val="Calibri"/>
        <family val="2"/>
      </rPr>
      <t>pH,AMETO</t>
    </r>
  </si>
  <si>
    <t>Estimated to fit saturation concentrations for 0-30 °C from Metcalf &amp; Eddy Inc.: Wastewater Engineering: Treatment and Reuse</t>
  </si>
  <si>
    <r>
      <t>Temperature dependency factor for CO</t>
    </r>
    <r>
      <rPr>
        <vertAlign val="subscript"/>
        <sz val="11"/>
        <rFont val="Calibri"/>
        <family val="2"/>
        <scheme val="minor"/>
      </rPr>
      <t>2</t>
    </r>
    <r>
      <rPr>
        <sz val="11"/>
        <rFont val="Calibri"/>
        <family val="2"/>
        <scheme val="minor"/>
      </rPr>
      <t xml:space="preserve"> Henry coefficient</t>
    </r>
  </si>
  <si>
    <t>original values in Sumo:</t>
  </si>
  <si>
    <t>Sabba et al</t>
  </si>
  <si>
    <r>
      <t>p</t>
    </r>
    <r>
      <rPr>
        <vertAlign val="subscript"/>
        <sz val="11"/>
        <rFont val="Calibri"/>
        <family val="2"/>
      </rPr>
      <t>NTP</t>
    </r>
  </si>
  <si>
    <r>
      <t>Ca</t>
    </r>
    <r>
      <rPr>
        <vertAlign val="subscript"/>
        <sz val="11"/>
        <rFont val="Calibri"/>
        <family val="2"/>
        <scheme val="minor"/>
      </rPr>
      <t>3</t>
    </r>
    <r>
      <rPr>
        <sz val="11"/>
        <rFont val="Calibri"/>
        <family val="2"/>
        <scheme val="minor"/>
      </rPr>
      <t>(PO</t>
    </r>
    <r>
      <rPr>
        <vertAlign val="subscript"/>
        <sz val="11"/>
        <rFont val="Calibri"/>
        <family val="2"/>
        <scheme val="minor"/>
      </rPr>
      <t>4</t>
    </r>
    <r>
      <rPr>
        <sz val="11"/>
        <rFont val="Calibri"/>
        <family val="2"/>
        <scheme val="minor"/>
      </rPr>
      <t>)</t>
    </r>
    <r>
      <rPr>
        <vertAlign val="subscript"/>
        <sz val="11"/>
        <rFont val="Calibri"/>
        <family val="2"/>
        <scheme val="minor"/>
      </rPr>
      <t>2</t>
    </r>
    <r>
      <rPr>
        <sz val="11"/>
        <rFont val="Calibri"/>
        <family val="2"/>
        <scheme val="minor"/>
      </rPr>
      <t>x·4 H</t>
    </r>
    <r>
      <rPr>
        <vertAlign val="subscript"/>
        <sz val="11"/>
        <rFont val="Calibri"/>
        <family val="2"/>
        <scheme val="minor"/>
      </rPr>
      <t>2</t>
    </r>
    <r>
      <rPr>
        <sz val="11"/>
        <rFont val="Calibri"/>
        <family val="2"/>
        <scheme val="minor"/>
      </rPr>
      <t>O</t>
    </r>
  </si>
  <si>
    <r>
      <t>MM</t>
    </r>
    <r>
      <rPr>
        <vertAlign val="subscript"/>
        <sz val="11"/>
        <rFont val="Calibri"/>
        <family val="2"/>
        <scheme val="minor"/>
      </rPr>
      <t>Al2SO43</t>
    </r>
  </si>
  <si>
    <t>Molecular mass of aluminium sulfate</t>
  </si>
  <si>
    <r>
      <t>MM</t>
    </r>
    <r>
      <rPr>
        <vertAlign val="subscript"/>
        <sz val="11"/>
        <rFont val="Calibri"/>
        <family val="2"/>
        <scheme val="minor"/>
      </rPr>
      <t>AlCl3</t>
    </r>
  </si>
  <si>
    <t>Molecular mass of aluminium chloride</t>
  </si>
  <si>
    <r>
      <t>MM</t>
    </r>
    <r>
      <rPr>
        <vertAlign val="subscript"/>
        <sz val="11"/>
        <rFont val="Calibri"/>
        <family val="2"/>
        <scheme val="minor"/>
      </rPr>
      <t>CaCl</t>
    </r>
    <r>
      <rPr>
        <vertAlign val="subscript"/>
        <sz val="11"/>
        <rFont val="Calibri"/>
        <family val="2"/>
      </rPr>
      <t>2</t>
    </r>
  </si>
  <si>
    <t>Molecular mass of CaCl2</t>
  </si>
  <si>
    <r>
      <t>MM</t>
    </r>
    <r>
      <rPr>
        <vertAlign val="subscript"/>
        <sz val="11"/>
        <rFont val="Calibri"/>
        <family val="2"/>
        <scheme val="minor"/>
      </rPr>
      <t>CaOH</t>
    </r>
    <r>
      <rPr>
        <vertAlign val="subscript"/>
        <sz val="11"/>
        <rFont val="Calibri"/>
        <family val="2"/>
      </rPr>
      <t>2</t>
    </r>
  </si>
  <si>
    <t>Molecular mass of CaOH2</t>
  </si>
  <si>
    <r>
      <t>MM</t>
    </r>
    <r>
      <rPr>
        <vertAlign val="subscript"/>
        <sz val="11"/>
        <rFont val="Calibri"/>
        <family val="2"/>
        <scheme val="minor"/>
      </rPr>
      <t>Fe2SO43</t>
    </r>
  </si>
  <si>
    <t>Molecular mass of iron sulfate</t>
  </si>
  <si>
    <r>
      <t>MM</t>
    </r>
    <r>
      <rPr>
        <vertAlign val="subscript"/>
        <sz val="11"/>
        <rFont val="Calibri"/>
        <family val="2"/>
        <scheme val="minor"/>
      </rPr>
      <t>H3PO4</t>
    </r>
  </si>
  <si>
    <t>Molecular mass of phosphoric acid</t>
  </si>
  <si>
    <r>
      <t>Ca</t>
    </r>
    <r>
      <rPr>
        <vertAlign val="subscript"/>
        <sz val="11"/>
        <rFont val="Calibri"/>
        <family val="2"/>
        <scheme val="minor"/>
      </rPr>
      <t>5</t>
    </r>
    <r>
      <rPr>
        <sz val="11"/>
        <rFont val="Calibri"/>
        <family val="2"/>
        <scheme val="minor"/>
      </rPr>
      <t>(PO</t>
    </r>
    <r>
      <rPr>
        <vertAlign val="subscript"/>
        <sz val="11"/>
        <rFont val="Calibri"/>
        <family val="2"/>
        <scheme val="minor"/>
      </rPr>
      <t>4</t>
    </r>
    <r>
      <rPr>
        <sz val="11"/>
        <rFont val="Calibri"/>
        <family val="2"/>
        <scheme val="minor"/>
      </rPr>
      <t>)</t>
    </r>
    <r>
      <rPr>
        <vertAlign val="subscript"/>
        <sz val="11"/>
        <rFont val="Calibri"/>
        <family val="2"/>
        <scheme val="minor"/>
      </rPr>
      <t>3</t>
    </r>
    <r>
      <rPr>
        <sz val="11"/>
        <rFont val="Calibri"/>
        <family val="2"/>
        <scheme val="minor"/>
      </rPr>
      <t>(OH)</t>
    </r>
  </si>
  <si>
    <r>
      <t>Ca</t>
    </r>
    <r>
      <rPr>
        <vertAlign val="subscript"/>
        <sz val="11"/>
        <rFont val="Calibri"/>
        <family val="2"/>
        <scheme val="minor"/>
      </rPr>
      <t>2</t>
    </r>
    <r>
      <rPr>
        <sz val="11"/>
        <rFont val="Calibri"/>
        <family val="2"/>
        <scheme val="minor"/>
      </rPr>
      <t>(PO</t>
    </r>
    <r>
      <rPr>
        <vertAlign val="subscript"/>
        <sz val="11"/>
        <rFont val="Calibri"/>
        <family val="2"/>
        <scheme val="minor"/>
      </rPr>
      <t>4</t>
    </r>
    <r>
      <rPr>
        <sz val="11"/>
        <rFont val="Calibri"/>
        <family val="2"/>
        <scheme val="minor"/>
      </rPr>
      <t>)(OH)</t>
    </r>
    <r>
      <rPr>
        <vertAlign val="subscript"/>
        <sz val="11"/>
        <rFont val="Calibri"/>
        <family val="2"/>
        <scheme val="minor"/>
      </rPr>
      <t>2</t>
    </r>
    <r>
      <rPr>
        <vertAlign val="superscript"/>
        <sz val="11"/>
        <rFont val="Calibri"/>
        <family val="2"/>
        <scheme val="minor"/>
      </rPr>
      <t>-</t>
    </r>
  </si>
  <si>
    <r>
      <t>MM</t>
    </r>
    <r>
      <rPr>
        <vertAlign val="subscript"/>
        <sz val="11"/>
        <rFont val="Calibri"/>
        <family val="2"/>
        <scheme val="minor"/>
      </rPr>
      <t>HNO3</t>
    </r>
  </si>
  <si>
    <t>Molecular mass of nitric acid</t>
  </si>
  <si>
    <r>
      <t>CH</t>
    </r>
    <r>
      <rPr>
        <vertAlign val="subscript"/>
        <sz val="11"/>
        <rFont val="Calibri"/>
        <family val="2"/>
        <scheme val="minor"/>
      </rPr>
      <t>4</t>
    </r>
    <r>
      <rPr>
        <sz val="11"/>
        <rFont val="Calibri"/>
        <family val="2"/>
        <scheme val="minor"/>
      </rPr>
      <t>S</t>
    </r>
  </si>
  <si>
    <r>
      <t>MM</t>
    </r>
    <r>
      <rPr>
        <vertAlign val="subscript"/>
        <sz val="11"/>
        <rFont val="Calibri"/>
        <family val="2"/>
        <scheme val="minor"/>
      </rPr>
      <t>N2O</t>
    </r>
  </si>
  <si>
    <t>Molar mass of nitrous oxide ion</t>
  </si>
  <si>
    <r>
      <t>MM</t>
    </r>
    <r>
      <rPr>
        <vertAlign val="subscript"/>
        <sz val="11"/>
        <rFont val="Calibri"/>
        <family val="2"/>
        <scheme val="minor"/>
      </rPr>
      <t>KNO2</t>
    </r>
  </si>
  <si>
    <t>Molecular mass of KNO2</t>
  </si>
  <si>
    <r>
      <t>MM</t>
    </r>
    <r>
      <rPr>
        <vertAlign val="subscript"/>
        <sz val="11"/>
        <rFont val="Calibri"/>
        <family val="2"/>
        <scheme val="minor"/>
      </rPr>
      <t>KNO3</t>
    </r>
  </si>
  <si>
    <t>Molecular mass of KNO3</t>
  </si>
  <si>
    <r>
      <t>MM</t>
    </r>
    <r>
      <rPr>
        <vertAlign val="subscript"/>
        <sz val="11"/>
        <rFont val="Calibri"/>
        <family val="2"/>
        <scheme val="minor"/>
      </rPr>
      <t>NH4HCO3</t>
    </r>
  </si>
  <si>
    <t>Molecular mass of NH4HCO3</t>
  </si>
  <si>
    <r>
      <t>MM</t>
    </r>
    <r>
      <rPr>
        <vertAlign val="subscript"/>
        <sz val="11"/>
        <rFont val="Calibri"/>
        <family val="2"/>
        <scheme val="minor"/>
      </rPr>
      <t>NO</t>
    </r>
  </si>
  <si>
    <t>Molar mass of nitric oxide ion</t>
  </si>
  <si>
    <r>
      <t>MgNH</t>
    </r>
    <r>
      <rPr>
        <vertAlign val="subscript"/>
        <sz val="11"/>
        <rFont val="Calibri"/>
        <family val="2"/>
        <scheme val="minor"/>
      </rPr>
      <t>4</t>
    </r>
    <r>
      <rPr>
        <sz val="11"/>
        <rFont val="Calibri"/>
        <family val="2"/>
        <scheme val="minor"/>
      </rPr>
      <t>PO</t>
    </r>
    <r>
      <rPr>
        <vertAlign val="subscript"/>
        <sz val="11"/>
        <rFont val="Calibri"/>
        <family val="2"/>
        <scheme val="minor"/>
      </rPr>
      <t>4</t>
    </r>
    <r>
      <rPr>
        <sz val="11"/>
        <rFont val="Calibri"/>
        <family val="2"/>
        <scheme val="minor"/>
      </rPr>
      <t>x·6 H</t>
    </r>
    <r>
      <rPr>
        <vertAlign val="subscript"/>
        <sz val="11"/>
        <rFont val="Calibri"/>
        <family val="2"/>
        <scheme val="minor"/>
      </rPr>
      <t>2</t>
    </r>
    <r>
      <rPr>
        <sz val="11"/>
        <rFont val="Calibri"/>
        <family val="2"/>
        <scheme val="minor"/>
      </rPr>
      <t>O</t>
    </r>
  </si>
  <si>
    <r>
      <t>Fe</t>
    </r>
    <r>
      <rPr>
        <vertAlign val="subscript"/>
        <sz val="11"/>
        <rFont val="Calibri"/>
        <family val="2"/>
        <scheme val="minor"/>
      </rPr>
      <t>2</t>
    </r>
    <r>
      <rPr>
        <vertAlign val="superscript"/>
        <sz val="11"/>
        <rFont val="Calibri"/>
        <family val="2"/>
        <scheme val="minor"/>
      </rPr>
      <t>+3</t>
    </r>
    <r>
      <rPr>
        <sz val="11"/>
        <rFont val="Calibri"/>
        <family val="2"/>
        <scheme val="minor"/>
      </rPr>
      <t>(PO</t>
    </r>
    <r>
      <rPr>
        <vertAlign val="subscript"/>
        <sz val="11"/>
        <rFont val="Calibri"/>
        <family val="2"/>
        <scheme val="minor"/>
      </rPr>
      <t>4</t>
    </r>
    <r>
      <rPr>
        <vertAlign val="superscript"/>
        <sz val="11"/>
        <rFont val="Calibri"/>
        <family val="2"/>
        <scheme val="minor"/>
      </rPr>
      <t>3-</t>
    </r>
    <r>
      <rPr>
        <sz val="11"/>
        <rFont val="Calibri"/>
        <family val="2"/>
        <scheme val="minor"/>
      </rPr>
      <t>)</t>
    </r>
    <r>
      <rPr>
        <vertAlign val="subscript"/>
        <sz val="11"/>
        <rFont val="Calibri"/>
        <family val="2"/>
        <scheme val="minor"/>
      </rPr>
      <t xml:space="preserve">2 </t>
    </r>
    <r>
      <rPr>
        <sz val="11"/>
        <rFont val="Calibri"/>
        <family val="2"/>
        <scheme val="minor"/>
      </rPr>
      <t>x 8 H</t>
    </r>
    <r>
      <rPr>
        <vertAlign val="subscript"/>
        <sz val="11"/>
        <rFont val="Calibri"/>
        <family val="2"/>
        <scheme val="minor"/>
      </rPr>
      <t>2</t>
    </r>
    <r>
      <rPr>
        <sz val="11"/>
        <rFont val="Calibri"/>
        <family val="2"/>
        <scheme val="minor"/>
      </rPr>
      <t>O</t>
    </r>
  </si>
  <si>
    <r>
      <t>K</t>
    </r>
    <r>
      <rPr>
        <vertAlign val="subscript"/>
        <sz val="11"/>
        <rFont val="Calibri"/>
        <family val="2"/>
        <scheme val="minor"/>
      </rPr>
      <t>Prop,param</t>
    </r>
  </si>
  <si>
    <t>Dissociation constant of propionate</t>
  </si>
  <si>
    <t>?</t>
  </si>
  <si>
    <r>
      <t>K</t>
    </r>
    <r>
      <rPr>
        <vertAlign val="subscript"/>
        <sz val="11"/>
        <rFont val="Calibri"/>
        <family val="2"/>
        <scheme val="minor"/>
      </rPr>
      <t>But,param</t>
    </r>
  </si>
  <si>
    <t>Dissociation constant of butyrate</t>
  </si>
  <si>
    <r>
      <t>K</t>
    </r>
    <r>
      <rPr>
        <vertAlign val="subscript"/>
        <sz val="11"/>
        <rFont val="Calibri"/>
        <family val="2"/>
        <scheme val="minor"/>
      </rPr>
      <t>Val,param</t>
    </r>
  </si>
  <si>
    <t>Dissociation constant of valerate</t>
  </si>
  <si>
    <t>Musvoto et al. (2000) =10^(-25.46) (NIST 1e-29 is too high)</t>
  </si>
  <si>
    <r>
      <t>EEQ</t>
    </r>
    <r>
      <rPr>
        <vertAlign val="subscript"/>
        <sz val="11"/>
        <rFont val="Calibri"/>
        <family val="2"/>
      </rPr>
      <t>NH2OH</t>
    </r>
  </si>
  <si>
    <t>Electron equivalence of NH2OH</t>
  </si>
  <si>
    <r>
      <t>EEQ</t>
    </r>
    <r>
      <rPr>
        <vertAlign val="subscript"/>
        <sz val="11"/>
        <rFont val="Calibri"/>
        <family val="2"/>
      </rPr>
      <t>NH2OH,NO</t>
    </r>
  </si>
  <si>
    <t>Electron equivalence of NH2OH to NO</t>
  </si>
  <si>
    <r>
      <t>c</t>
    </r>
    <r>
      <rPr>
        <vertAlign val="subscript"/>
        <sz val="11"/>
        <rFont val="Calibri"/>
        <family val="2"/>
        <scheme val="minor"/>
      </rPr>
      <t>mmol,mol</t>
    </r>
  </si>
  <si>
    <t>Conversion coefficient between milimols and mol</t>
  </si>
  <si>
    <r>
      <t>mmol.mol</t>
    </r>
    <r>
      <rPr>
        <vertAlign val="superscript"/>
        <sz val="11"/>
        <rFont val="Calibri"/>
        <family val="2"/>
        <scheme val="minor"/>
      </rPr>
      <t>-1</t>
    </r>
  </si>
  <si>
    <r>
      <t>c</t>
    </r>
    <r>
      <rPr>
        <vertAlign val="subscript"/>
        <sz val="11"/>
        <rFont val="Calibri"/>
        <family val="2"/>
        <scheme val="minor"/>
      </rPr>
      <t>s,min</t>
    </r>
  </si>
  <si>
    <t>Conversion coefficient between seconds and minutes</t>
  </si>
  <si>
    <r>
      <t>s.min</t>
    </r>
    <r>
      <rPr>
        <vertAlign val="superscript"/>
        <sz val="11"/>
        <rFont val="Calibri"/>
        <family val="2"/>
        <scheme val="minor"/>
      </rPr>
      <t>-1</t>
    </r>
  </si>
  <si>
    <r>
      <t>c</t>
    </r>
    <r>
      <rPr>
        <vertAlign val="subscript"/>
        <sz val="11"/>
        <rFont val="Calibri"/>
        <family val="2"/>
        <scheme val="minor"/>
      </rPr>
      <t>min,d</t>
    </r>
  </si>
  <si>
    <t>Conversion coefficient between minutes and days</t>
  </si>
  <si>
    <r>
      <t>min.d</t>
    </r>
    <r>
      <rPr>
        <vertAlign val="superscript"/>
        <sz val="11"/>
        <rFont val="Calibri"/>
        <family val="2"/>
        <scheme val="minor"/>
      </rPr>
      <t>-1</t>
    </r>
  </si>
  <si>
    <r>
      <t>c</t>
    </r>
    <r>
      <rPr>
        <vertAlign val="subscript"/>
        <sz val="11"/>
        <rFont val="Calibri"/>
        <family val="2"/>
        <scheme val="minor"/>
      </rPr>
      <t>d,w</t>
    </r>
  </si>
  <si>
    <t>Conversion coefficient between days and weeks</t>
  </si>
  <si>
    <r>
      <t>d.w</t>
    </r>
    <r>
      <rPr>
        <vertAlign val="superscript"/>
        <sz val="11"/>
        <rFont val="Calibri"/>
        <family val="2"/>
        <scheme val="minor"/>
      </rPr>
      <t>-1</t>
    </r>
  </si>
  <si>
    <r>
      <t>c</t>
    </r>
    <r>
      <rPr>
        <vertAlign val="subscript"/>
        <sz val="11"/>
        <rFont val="Calibri"/>
        <family val="2"/>
        <scheme val="minor"/>
      </rPr>
      <t>d,mon</t>
    </r>
  </si>
  <si>
    <t>Conversion coefficient between days and month</t>
  </si>
  <si>
    <r>
      <t>d.mon</t>
    </r>
    <r>
      <rPr>
        <vertAlign val="superscript"/>
        <sz val="11"/>
        <rFont val="Calibri"/>
        <family val="2"/>
        <scheme val="minor"/>
      </rPr>
      <t>-1</t>
    </r>
  </si>
  <si>
    <r>
      <t>c</t>
    </r>
    <r>
      <rPr>
        <vertAlign val="subscript"/>
        <sz val="11"/>
        <rFont val="Calibri"/>
        <family val="2"/>
        <scheme val="minor"/>
      </rPr>
      <t>d,y</t>
    </r>
  </si>
  <si>
    <t>Conversion coefficient between days and years</t>
  </si>
  <si>
    <r>
      <t>d.y</t>
    </r>
    <r>
      <rPr>
        <vertAlign val="superscript"/>
        <sz val="11"/>
        <rFont val="Calibri"/>
        <family val="2"/>
        <scheme val="minor"/>
      </rPr>
      <t>-1</t>
    </r>
  </si>
  <si>
    <r>
      <t>c</t>
    </r>
    <r>
      <rPr>
        <vertAlign val="subscript"/>
        <sz val="11"/>
        <rFont val="Calibri"/>
        <family val="2"/>
        <scheme val="minor"/>
      </rPr>
      <t>g,ton</t>
    </r>
  </si>
  <si>
    <t>Conversion coefficient between grams and ton</t>
  </si>
  <si>
    <r>
      <t>g.ton</t>
    </r>
    <r>
      <rPr>
        <vertAlign val="superscript"/>
        <sz val="11"/>
        <rFont val="Calibri"/>
        <family val="2"/>
        <scheme val="minor"/>
      </rPr>
      <t>-1</t>
    </r>
  </si>
  <si>
    <r>
      <t>c</t>
    </r>
    <r>
      <rPr>
        <vertAlign val="subscript"/>
        <sz val="11"/>
        <rFont val="Calibri"/>
        <family val="2"/>
        <scheme val="minor"/>
      </rPr>
      <t>W,kW</t>
    </r>
  </si>
  <si>
    <r>
      <t>kW.MW</t>
    </r>
    <r>
      <rPr>
        <vertAlign val="superscript"/>
        <sz val="11"/>
        <rFont val="Calibri"/>
        <family val="2"/>
        <scheme val="minor"/>
      </rPr>
      <t>-1</t>
    </r>
  </si>
  <si>
    <r>
      <t>c</t>
    </r>
    <r>
      <rPr>
        <vertAlign val="subscript"/>
        <sz val="11"/>
        <rFont val="Calibri"/>
        <family val="2"/>
        <scheme val="minor"/>
      </rPr>
      <t>Pa,MPa</t>
    </r>
  </si>
  <si>
    <t>Conversion coefficient between pascal and megapascal</t>
  </si>
  <si>
    <r>
      <t>Pa.MPa</t>
    </r>
    <r>
      <rPr>
        <vertAlign val="superscript"/>
        <sz val="11"/>
        <rFont val="Calibri"/>
        <family val="2"/>
        <scheme val="minor"/>
      </rPr>
      <t>-1</t>
    </r>
  </si>
  <si>
    <r>
      <t>c</t>
    </r>
    <r>
      <rPr>
        <vertAlign val="subscript"/>
        <sz val="11"/>
        <rFont val="Calibri"/>
        <family val="2"/>
        <scheme val="minor"/>
      </rPr>
      <t>Pa,mbar</t>
    </r>
  </si>
  <si>
    <t>Conversion coefficient between pascal and milibar</t>
  </si>
  <si>
    <r>
      <t>Pa.mbar</t>
    </r>
    <r>
      <rPr>
        <vertAlign val="superscript"/>
        <sz val="11"/>
        <rFont val="Calibri"/>
        <family val="2"/>
        <scheme val="minor"/>
      </rPr>
      <t>-1</t>
    </r>
  </si>
  <si>
    <r>
      <t>c</t>
    </r>
    <r>
      <rPr>
        <vertAlign val="subscript"/>
        <sz val="11"/>
        <rFont val="Calibri"/>
        <family val="2"/>
        <scheme val="minor"/>
      </rPr>
      <t>micron,m</t>
    </r>
  </si>
  <si>
    <t>Conversion coefficient between microns and meters</t>
  </si>
  <si>
    <r>
      <t>micron.m</t>
    </r>
    <r>
      <rPr>
        <vertAlign val="superscript"/>
        <sz val="11"/>
        <rFont val="Calibri"/>
        <family val="2"/>
        <scheme val="minor"/>
      </rPr>
      <t>-1</t>
    </r>
  </si>
  <si>
    <r>
      <t>c</t>
    </r>
    <r>
      <rPr>
        <vertAlign val="subscript"/>
        <sz val="11"/>
        <rFont val="Calibri"/>
        <family val="2"/>
        <scheme val="minor"/>
      </rPr>
      <t>mm,m</t>
    </r>
  </si>
  <si>
    <t>Conversion coefficient between milimeters and meters</t>
  </si>
  <si>
    <r>
      <t>mm.m</t>
    </r>
    <r>
      <rPr>
        <vertAlign val="superscript"/>
        <sz val="11"/>
        <rFont val="Calibri"/>
        <family val="2"/>
        <scheme val="minor"/>
      </rPr>
      <t>-1</t>
    </r>
  </si>
  <si>
    <r>
      <t>cm.m</t>
    </r>
    <r>
      <rPr>
        <vertAlign val="superscript"/>
        <sz val="11"/>
        <rFont val="Calibri"/>
        <family val="2"/>
        <scheme val="minor"/>
      </rPr>
      <t>-1</t>
    </r>
  </si>
  <si>
    <r>
      <t>c</t>
    </r>
    <r>
      <rPr>
        <vertAlign val="subscript"/>
        <sz val="11"/>
        <rFont val="Calibri"/>
        <family val="2"/>
        <scheme val="minor"/>
      </rPr>
      <t>MG,m3</t>
    </r>
  </si>
  <si>
    <t>Conversion coefficient between million gallons and cubic meters</t>
  </si>
  <si>
    <r>
      <t>MG.m</t>
    </r>
    <r>
      <rPr>
        <vertAlign val="superscript"/>
        <sz val="11"/>
        <rFont val="Calibri"/>
        <family val="2"/>
        <scheme val="minor"/>
      </rPr>
      <t>-3</t>
    </r>
  </si>
  <si>
    <r>
      <t>c</t>
    </r>
    <r>
      <rPr>
        <vertAlign val="subscript"/>
        <sz val="11"/>
        <rFont val="Calibri"/>
        <family val="2"/>
        <scheme val="minor"/>
      </rPr>
      <t>G,m3</t>
    </r>
  </si>
  <si>
    <t>Conversion coefficient between gallons and cubic meters</t>
  </si>
  <si>
    <r>
      <t>G.m</t>
    </r>
    <r>
      <rPr>
        <vertAlign val="superscript"/>
        <sz val="11"/>
        <rFont val="Calibri"/>
        <family val="2"/>
        <scheme val="minor"/>
      </rPr>
      <t>-3</t>
    </r>
  </si>
  <si>
    <r>
      <t>c</t>
    </r>
    <r>
      <rPr>
        <vertAlign val="subscript"/>
        <sz val="11"/>
        <rFont val="Calibri"/>
        <family val="2"/>
        <scheme val="minor"/>
      </rPr>
      <t>lbs,g</t>
    </r>
  </si>
  <si>
    <t>Conversion coefficient between lbs and g</t>
  </si>
  <si>
    <r>
      <t>lbs.g</t>
    </r>
    <r>
      <rPr>
        <vertAlign val="superscript"/>
        <sz val="11"/>
        <rFont val="Calibri"/>
        <family val="2"/>
        <scheme val="minor"/>
      </rPr>
      <t>-1</t>
    </r>
  </si>
  <si>
    <r>
      <t>c</t>
    </r>
    <r>
      <rPr>
        <vertAlign val="subscript"/>
        <sz val="11"/>
        <rFont val="Calibri"/>
        <family val="2"/>
        <scheme val="minor"/>
      </rPr>
      <t>ft3,m3</t>
    </r>
  </si>
  <si>
    <t>Conversion coefficient between cubic feet and cubic meters</t>
  </si>
  <si>
    <r>
      <t>ft</t>
    </r>
    <r>
      <rPr>
        <vertAlign val="superscript"/>
        <sz val="11"/>
        <rFont val="Calibri"/>
        <family val="2"/>
        <scheme val="minor"/>
      </rPr>
      <t>3</t>
    </r>
    <r>
      <rPr>
        <sz val="11"/>
        <rFont val="Calibri"/>
        <family val="2"/>
        <scheme val="minor"/>
      </rPr>
      <t>.m</t>
    </r>
    <r>
      <rPr>
        <vertAlign val="superscript"/>
        <sz val="11"/>
        <rFont val="Calibri"/>
        <family val="2"/>
        <scheme val="minor"/>
      </rPr>
      <t>-3</t>
    </r>
  </si>
  <si>
    <r>
      <t>c</t>
    </r>
    <r>
      <rPr>
        <vertAlign val="subscript"/>
        <sz val="11"/>
        <rFont val="Calibri"/>
        <family val="2"/>
        <scheme val="minor"/>
      </rPr>
      <t>ft2,m2</t>
    </r>
  </si>
  <si>
    <t>Conversion coefficient between square feet and square meters</t>
  </si>
  <si>
    <r>
      <t>ft</t>
    </r>
    <r>
      <rPr>
        <vertAlign val="superscript"/>
        <sz val="11"/>
        <rFont val="Calibri"/>
        <family val="2"/>
        <scheme val="minor"/>
      </rPr>
      <t>2</t>
    </r>
    <r>
      <rPr>
        <sz val="11"/>
        <rFont val="Calibri"/>
        <family val="2"/>
        <scheme val="minor"/>
      </rPr>
      <t>.m</t>
    </r>
    <r>
      <rPr>
        <vertAlign val="superscript"/>
        <sz val="11"/>
        <rFont val="Calibri"/>
        <family val="2"/>
        <scheme val="minor"/>
      </rPr>
      <t>-2</t>
    </r>
  </si>
  <si>
    <r>
      <t>c</t>
    </r>
    <r>
      <rPr>
        <vertAlign val="subscript"/>
        <sz val="11"/>
        <rFont val="Calibri"/>
        <family val="2"/>
        <scheme val="minor"/>
      </rPr>
      <t>ft,m</t>
    </r>
  </si>
  <si>
    <t>Conversion coefficient between foot and meters</t>
  </si>
  <si>
    <r>
      <t>ft.m</t>
    </r>
    <r>
      <rPr>
        <vertAlign val="superscript"/>
        <sz val="11"/>
        <rFont val="Calibri"/>
        <family val="2"/>
        <scheme val="minor"/>
      </rPr>
      <t>-1</t>
    </r>
  </si>
  <si>
    <t>Standard enthalpy of phosphoric acid</t>
  </si>
  <si>
    <r>
      <t>dH</t>
    </r>
    <r>
      <rPr>
        <vertAlign val="subscript"/>
        <sz val="11"/>
        <rFont val="Calibri"/>
        <family val="2"/>
        <scheme val="minor"/>
      </rPr>
      <t>diss,Prop</t>
    </r>
  </si>
  <si>
    <t>Standard enthalpy change of propionate dissociation</t>
  </si>
  <si>
    <t>NIST</t>
  </si>
  <si>
    <r>
      <t>dH</t>
    </r>
    <r>
      <rPr>
        <vertAlign val="subscript"/>
        <sz val="11"/>
        <rFont val="Calibri"/>
        <family val="2"/>
        <scheme val="minor"/>
      </rPr>
      <t>diss,But</t>
    </r>
  </si>
  <si>
    <t>Standard enthalpy change of butyrate dissociation</t>
  </si>
  <si>
    <r>
      <t>dH</t>
    </r>
    <r>
      <rPr>
        <vertAlign val="subscript"/>
        <sz val="11"/>
        <rFont val="Calibri"/>
        <family val="2"/>
        <scheme val="minor"/>
      </rPr>
      <t>diss,Val</t>
    </r>
  </si>
  <si>
    <t>Standard enthalpy change of valerate dissociation</t>
  </si>
  <si>
    <r>
      <t>D</t>
    </r>
    <r>
      <rPr>
        <vertAlign val="subscript"/>
        <sz val="11"/>
        <rFont val="Calibri"/>
        <family val="2"/>
        <charset val="238"/>
        <scheme val="minor"/>
      </rPr>
      <t>SALPHA</t>
    </r>
  </si>
  <si>
    <t>Diffusion coefficient of alpha indicator</t>
  </si>
  <si>
    <r>
      <t>D</t>
    </r>
    <r>
      <rPr>
        <vertAlign val="subscript"/>
        <sz val="11"/>
        <rFont val="Calibri"/>
        <family val="2"/>
        <charset val="238"/>
        <scheme val="minor"/>
      </rPr>
      <t>SNH2OH</t>
    </r>
  </si>
  <si>
    <t>Diffusion coefficient of NH2OH</t>
  </si>
  <si>
    <r>
      <t>D</t>
    </r>
    <r>
      <rPr>
        <vertAlign val="subscript"/>
        <sz val="11"/>
        <rFont val="Calibri"/>
        <family val="2"/>
        <charset val="238"/>
        <scheme val="minor"/>
      </rPr>
      <t>SNO</t>
    </r>
  </si>
  <si>
    <r>
      <t>D</t>
    </r>
    <r>
      <rPr>
        <vertAlign val="subscript"/>
        <sz val="11"/>
        <rFont val="Calibri"/>
        <family val="2"/>
        <charset val="238"/>
        <scheme val="minor"/>
      </rPr>
      <t>SN2O</t>
    </r>
  </si>
  <si>
    <t>Diffusion coefficient of N2O</t>
  </si>
  <si>
    <r>
      <t>D</t>
    </r>
    <r>
      <rPr>
        <vertAlign val="subscript"/>
        <sz val="11"/>
        <rFont val="Calibri"/>
        <family val="2"/>
        <charset val="238"/>
        <scheme val="minor"/>
      </rPr>
      <t>SO</t>
    </r>
  </si>
  <si>
    <r>
      <t>D</t>
    </r>
    <r>
      <rPr>
        <vertAlign val="subscript"/>
        <sz val="11"/>
        <rFont val="Calibri"/>
        <family val="2"/>
        <charset val="238"/>
        <scheme val="minor"/>
      </rPr>
      <t>SHCO</t>
    </r>
  </si>
  <si>
    <t>Input</t>
  </si>
  <si>
    <t>SOTECorr_cdisc</t>
  </si>
  <si>
    <t>SOTECorr_mdisc</t>
  </si>
  <si>
    <t>SOTECorr_pdisc</t>
  </si>
  <si>
    <t>SOTECorr_cdome</t>
  </si>
  <si>
    <t>SOTECorr_mtube</t>
  </si>
  <si>
    <t>SOTEFixed_fine</t>
  </si>
  <si>
    <t>PondWaterColumn</t>
  </si>
  <si>
    <t>PondSediments</t>
  </si>
  <si>
    <r>
      <t>sl</t>
    </r>
    <r>
      <rPr>
        <vertAlign val="subscript"/>
        <sz val="11"/>
        <color theme="1"/>
        <rFont val="Calibri"/>
        <family val="2"/>
        <scheme val="minor"/>
      </rPr>
      <t>h,diff,α</t>
    </r>
  </si>
  <si>
    <t>Slope of depth-related alpha factor correction term</t>
  </si>
  <si>
    <r>
      <t>m</t>
    </r>
    <r>
      <rPr>
        <vertAlign val="superscript"/>
        <sz val="11"/>
        <rFont val="Calibri"/>
        <family val="2"/>
        <scheme val="minor"/>
      </rPr>
      <t>-1</t>
    </r>
  </si>
  <si>
    <t>Slope of solids-related alpha factor correction term, default</t>
  </si>
  <si>
    <r>
      <t>m</t>
    </r>
    <r>
      <rPr>
        <vertAlign val="superscript"/>
        <sz val="11"/>
        <rFont val="Calibri"/>
        <family val="2"/>
        <charset val="238"/>
        <scheme val="minor"/>
      </rPr>
      <t>3</t>
    </r>
    <r>
      <rPr>
        <sz val="11"/>
        <rFont val="Calibri"/>
        <family val="2"/>
        <scheme val="minor"/>
      </rPr>
      <t>.kg TSS</t>
    </r>
    <r>
      <rPr>
        <vertAlign val="superscript"/>
        <sz val="11"/>
        <rFont val="Calibri"/>
        <family val="2"/>
        <scheme val="minor"/>
      </rPr>
      <t>-1</t>
    </r>
  </si>
  <si>
    <t>Slope of solids-related alpha factor correction term, coarse bubbles</t>
  </si>
  <si>
    <r>
      <t>m</t>
    </r>
    <r>
      <rPr>
        <vertAlign val="superscript"/>
        <sz val="11"/>
        <rFont val="Calibri"/>
        <family val="2"/>
        <charset val="238"/>
        <scheme val="minor"/>
      </rPr>
      <t>3</t>
    </r>
    <r>
      <rPr>
        <sz val="11"/>
        <rFont val="Calibri"/>
        <family val="2"/>
        <scheme val="minor"/>
      </rPr>
      <t>.kg TSS</t>
    </r>
    <r>
      <rPr>
        <vertAlign val="superscript"/>
        <sz val="11"/>
        <rFont val="Calibri"/>
        <family val="2"/>
        <charset val="238"/>
        <scheme val="minor"/>
      </rPr>
      <t>-1</t>
    </r>
  </si>
  <si>
    <t>Leading coefficient of solids-related alpha correction term, mechanical aeration</t>
  </si>
  <si>
    <r>
      <t>(kg TSS.m</t>
    </r>
    <r>
      <rPr>
        <vertAlign val="superscript"/>
        <sz val="11"/>
        <rFont val="Calibri"/>
        <family val="2"/>
        <charset val="238"/>
        <scheme val="minor"/>
      </rPr>
      <t>-3</t>
    </r>
    <r>
      <rPr>
        <sz val="11"/>
        <rFont val="Calibri"/>
        <family val="2"/>
        <scheme val="minor"/>
      </rPr>
      <t>)</t>
    </r>
    <r>
      <rPr>
        <vertAlign val="superscript"/>
        <sz val="11"/>
        <rFont val="Calibri"/>
        <family val="2"/>
        <charset val="238"/>
        <scheme val="minor"/>
      </rPr>
      <t>-2</t>
    </r>
  </si>
  <si>
    <t>Linear coefficient of solids-related alpha correction term, mechanical aeration</t>
  </si>
  <si>
    <t>Constant of solids-related alpha correction term, mechanical aeration</t>
  </si>
  <si>
    <t>Coefficient of alpha first order limitation-dampening term</t>
  </si>
  <si>
    <t>Power of alpha first order limitation-dampening term</t>
  </si>
  <si>
    <t>Half-saturation of dissolved oxygen for alpha rate</t>
  </si>
  <si>
    <t>Non-aerated zone alpha improvement rate increase</t>
  </si>
  <si>
    <t>Alpha improvement rate</t>
  </si>
  <si>
    <r>
      <t>K</t>
    </r>
    <r>
      <rPr>
        <vertAlign val="subscript"/>
        <sz val="11"/>
        <rFont val="Calibri"/>
        <family val="2"/>
        <charset val="238"/>
        <scheme val="minor"/>
      </rPr>
      <t>O2,ALPHA</t>
    </r>
  </si>
  <si>
    <r>
      <t>f</t>
    </r>
    <r>
      <rPr>
        <vertAlign val="subscript"/>
        <sz val="11"/>
        <rFont val="Calibri"/>
        <family val="2"/>
        <charset val="238"/>
        <scheme val="minor"/>
      </rPr>
      <t>O2,max,ALPHA</t>
    </r>
  </si>
  <si>
    <t>Maximum alpha indicator</t>
  </si>
  <si>
    <r>
      <t>q</t>
    </r>
    <r>
      <rPr>
        <vertAlign val="subscript"/>
        <sz val="11"/>
        <rFont val="Calibri"/>
        <family val="2"/>
        <charset val="238"/>
        <scheme val="minor"/>
      </rPr>
      <t>ALPHA,O2</t>
    </r>
  </si>
  <si>
    <t>Alpha improvement rate (dissolved oxygen corrected)</t>
  </si>
  <si>
    <r>
      <t>q</t>
    </r>
    <r>
      <rPr>
        <vertAlign val="subscript"/>
        <sz val="11"/>
        <rFont val="Calibri"/>
        <family val="2"/>
        <charset val="238"/>
        <scheme val="minor"/>
      </rPr>
      <t>ALPHA</t>
    </r>
    <r>
      <rPr>
        <sz val="11"/>
        <rFont val="Calibri"/>
        <family val="2"/>
        <charset val="238"/>
        <scheme val="minor"/>
      </rPr>
      <t>*((1-f</t>
    </r>
    <r>
      <rPr>
        <vertAlign val="subscript"/>
        <sz val="11"/>
        <rFont val="Calibri"/>
        <family val="2"/>
        <charset val="238"/>
        <scheme val="minor"/>
      </rPr>
      <t>O2,max,ALPHA</t>
    </r>
    <r>
      <rPr>
        <sz val="11"/>
        <rFont val="Calibri"/>
        <family val="2"/>
        <charset val="238"/>
        <scheme val="minor"/>
      </rPr>
      <t>)*S</t>
    </r>
    <r>
      <rPr>
        <vertAlign val="subscript"/>
        <sz val="11"/>
        <rFont val="Calibri"/>
        <family val="2"/>
        <charset val="238"/>
        <scheme val="minor"/>
      </rPr>
      <t>O2</t>
    </r>
    <r>
      <rPr>
        <sz val="11"/>
        <rFont val="Calibri"/>
        <family val="2"/>
        <charset val="238"/>
        <scheme val="minor"/>
      </rPr>
      <t>/(K</t>
    </r>
    <r>
      <rPr>
        <vertAlign val="subscript"/>
        <sz val="11"/>
        <rFont val="Calibri"/>
        <family val="2"/>
        <charset val="238"/>
        <scheme val="minor"/>
      </rPr>
      <t>O2,ALPHA</t>
    </r>
    <r>
      <rPr>
        <sz val="11"/>
        <rFont val="Calibri"/>
        <family val="2"/>
        <charset val="238"/>
        <scheme val="minor"/>
      </rPr>
      <t>+S</t>
    </r>
    <r>
      <rPr>
        <vertAlign val="subscript"/>
        <sz val="11"/>
        <rFont val="Calibri"/>
        <family val="2"/>
        <charset val="238"/>
        <scheme val="minor"/>
      </rPr>
      <t>O2</t>
    </r>
    <r>
      <rPr>
        <sz val="11"/>
        <rFont val="Calibri"/>
        <family val="2"/>
        <charset val="238"/>
        <scheme val="minor"/>
      </rPr>
      <t>)+f</t>
    </r>
    <r>
      <rPr>
        <vertAlign val="subscript"/>
        <sz val="11"/>
        <rFont val="Calibri"/>
        <family val="2"/>
        <charset val="238"/>
        <scheme val="minor"/>
      </rPr>
      <t>O2,max,ALPHA</t>
    </r>
    <r>
      <rPr>
        <sz val="11"/>
        <rFont val="Calibri"/>
        <family val="2"/>
        <charset val="238"/>
        <scheme val="minor"/>
      </rPr>
      <t>)</t>
    </r>
  </si>
  <si>
    <t>Alpha first order limitation-dampening term</t>
  </si>
  <si>
    <r>
      <t>corr</t>
    </r>
    <r>
      <rPr>
        <vertAlign val="subscript"/>
        <sz val="11"/>
        <rFont val="Calibri"/>
        <family val="2"/>
        <charset val="238"/>
        <scheme val="minor"/>
      </rPr>
      <t>h,diff,</t>
    </r>
    <r>
      <rPr>
        <vertAlign val="subscript"/>
        <sz val="11"/>
        <rFont val="Calibri"/>
        <family val="2"/>
        <charset val="238"/>
      </rPr>
      <t>α</t>
    </r>
  </si>
  <si>
    <t>Depth-related alpha factor correction term</t>
  </si>
  <si>
    <r>
      <t>(S</t>
    </r>
    <r>
      <rPr>
        <vertAlign val="subscript"/>
        <sz val="11"/>
        <color theme="1"/>
        <rFont val="Calibri"/>
        <family val="2"/>
        <scheme val="minor"/>
      </rPr>
      <t>ALPHA</t>
    </r>
    <r>
      <rPr>
        <sz val="11"/>
        <color theme="1"/>
        <rFont val="Calibri"/>
        <family val="2"/>
        <scheme val="minor"/>
      </rPr>
      <t>-1</t>
    </r>
    <r>
      <rPr>
        <sz val="11"/>
        <color indexed="8"/>
        <rFont val="Calibri"/>
        <family val="2"/>
      </rPr>
      <t>)*Exp(sl</t>
    </r>
    <r>
      <rPr>
        <vertAlign val="subscript"/>
        <sz val="11"/>
        <color theme="1"/>
        <rFont val="Calibri"/>
        <family val="2"/>
        <scheme val="minor"/>
      </rPr>
      <t>h,diff,α</t>
    </r>
    <r>
      <rPr>
        <sz val="11"/>
        <color indexed="8"/>
        <rFont val="Calibri"/>
        <family val="2"/>
      </rPr>
      <t>*h</t>
    </r>
    <r>
      <rPr>
        <vertAlign val="subscript"/>
        <sz val="11"/>
        <color theme="1"/>
        <rFont val="Calibri"/>
        <family val="2"/>
        <scheme val="minor"/>
      </rPr>
      <t>diff</t>
    </r>
    <r>
      <rPr>
        <sz val="11"/>
        <color indexed="8"/>
        <rFont val="Calibri"/>
        <family val="2"/>
      </rPr>
      <t>)+1</t>
    </r>
  </si>
  <si>
    <t>Solids-related alpha factor correction term</t>
  </si>
  <si>
    <r>
      <t>S</t>
    </r>
    <r>
      <rPr>
        <vertAlign val="subscript"/>
        <sz val="11"/>
        <rFont val="Calibri"/>
        <family val="2"/>
        <charset val="238"/>
        <scheme val="minor"/>
      </rPr>
      <t>ALPHA</t>
    </r>
    <r>
      <rPr>
        <sz val="11"/>
        <rFont val="Calibri"/>
        <family val="2"/>
        <scheme val="minor"/>
      </rPr>
      <t>/corr</t>
    </r>
    <r>
      <rPr>
        <vertAlign val="subscript"/>
        <sz val="11"/>
        <rFont val="Calibri"/>
        <family val="2"/>
        <scheme val="minor"/>
      </rPr>
      <t>h,diff,α</t>
    </r>
    <r>
      <rPr>
        <sz val="11"/>
        <rFont val="Calibri"/>
        <family val="2"/>
        <scheme val="minor"/>
      </rPr>
      <t>*corr</t>
    </r>
    <r>
      <rPr>
        <vertAlign val="subscript"/>
        <sz val="11"/>
        <rFont val="Calibri"/>
        <family val="2"/>
        <charset val="238"/>
        <scheme val="minor"/>
      </rPr>
      <t>TSS,</t>
    </r>
    <r>
      <rPr>
        <vertAlign val="subscript"/>
        <sz val="11"/>
        <rFont val="Calibri"/>
        <family val="2"/>
        <charset val="238"/>
      </rPr>
      <t>α</t>
    </r>
  </si>
  <si>
    <r>
      <t>h</t>
    </r>
    <r>
      <rPr>
        <vertAlign val="subscript"/>
        <sz val="11"/>
        <rFont val="Calibri"/>
        <family val="2"/>
      </rPr>
      <t>diff</t>
    </r>
  </si>
  <si>
    <t>Diffuser submergence</t>
  </si>
  <si>
    <t>m</t>
  </si>
  <si>
    <r>
      <t>q</t>
    </r>
    <r>
      <rPr>
        <vertAlign val="subscript"/>
        <sz val="11"/>
        <rFont val="Calibri"/>
        <family val="2"/>
      </rPr>
      <t>ALPHA,O2</t>
    </r>
    <r>
      <rPr>
        <sz val="11"/>
        <rFont val="Calibri"/>
        <family val="2"/>
      </rPr>
      <t>*X</t>
    </r>
    <r>
      <rPr>
        <vertAlign val="subscript"/>
        <sz val="11"/>
        <rFont val="Calibri"/>
        <family val="2"/>
      </rPr>
      <t>VSS</t>
    </r>
    <r>
      <rPr>
        <sz val="11"/>
        <rFont val="Calibri"/>
        <family val="2"/>
      </rPr>
      <t>*damp</t>
    </r>
    <r>
      <rPr>
        <vertAlign val="subscript"/>
        <sz val="11"/>
        <rFont val="Calibri"/>
        <family val="2"/>
        <charset val="238"/>
      </rPr>
      <t>ALPHA</t>
    </r>
    <r>
      <rPr>
        <sz val="11"/>
        <rFont val="Calibri"/>
        <family val="2"/>
      </rPr>
      <t>*(S</t>
    </r>
    <r>
      <rPr>
        <vertAlign val="subscript"/>
        <sz val="11"/>
        <rFont val="Calibri"/>
        <family val="2"/>
      </rPr>
      <t>ALPHA,sat</t>
    </r>
    <r>
      <rPr>
        <sz val="11"/>
        <rFont val="Calibri"/>
        <family val="2"/>
      </rPr>
      <t>-S</t>
    </r>
    <r>
      <rPr>
        <vertAlign val="subscript"/>
        <sz val="11"/>
        <rFont val="Calibri"/>
        <family val="2"/>
      </rPr>
      <t>ALPHA</t>
    </r>
    <r>
      <rPr>
        <sz val="11"/>
        <rFont val="Calibri"/>
        <family val="2"/>
      </rPr>
      <t>)</t>
    </r>
  </si>
  <si>
    <r>
      <t>S</t>
    </r>
    <r>
      <rPr>
        <vertAlign val="subscript"/>
        <sz val="11"/>
        <rFont val="Calibri"/>
        <family val="2"/>
        <charset val="238"/>
        <scheme val="minor"/>
      </rPr>
      <t>ALPHA</t>
    </r>
    <r>
      <rPr>
        <sz val="11"/>
        <rFont val="Calibri"/>
        <family val="2"/>
        <scheme val="minor"/>
      </rPr>
      <t>*corr</t>
    </r>
    <r>
      <rPr>
        <vertAlign val="subscript"/>
        <sz val="11"/>
        <rFont val="Calibri"/>
        <family val="2"/>
        <charset val="238"/>
        <scheme val="minor"/>
      </rPr>
      <t>TSS,</t>
    </r>
    <r>
      <rPr>
        <vertAlign val="subscript"/>
        <sz val="11"/>
        <rFont val="Calibri"/>
        <family val="2"/>
        <charset val="238"/>
      </rPr>
      <t>α</t>
    </r>
  </si>
  <si>
    <t>Diffused</t>
  </si>
  <si>
    <t>Diffused; Non-SOTECorr_cap; Non-SOTEFixed_coarse</t>
  </si>
  <si>
    <r>
      <t>k</t>
    </r>
    <r>
      <rPr>
        <vertAlign val="subscript"/>
        <sz val="11"/>
        <rFont val="Calibri"/>
        <family val="2"/>
        <charset val="238"/>
        <scheme val="minor"/>
      </rPr>
      <t>ORPswitch</t>
    </r>
  </si>
  <si>
    <t>sets inertia for the speed of CASTO activity switches' response to ORP changes</t>
  </si>
  <si>
    <r>
      <t>offset</t>
    </r>
    <r>
      <rPr>
        <vertAlign val="subscript"/>
        <sz val="11"/>
        <rFont val="Calibri"/>
        <family val="2"/>
        <charset val="238"/>
        <scheme val="minor"/>
      </rPr>
      <t>ORPswitch</t>
    </r>
  </si>
  <si>
    <t>used for keeping auxiliary ORP state variable in positive range - not recommended to alter</t>
  </si>
  <si>
    <r>
      <t>Loginhswitch(S</t>
    </r>
    <r>
      <rPr>
        <vertAlign val="subscript"/>
        <sz val="11"/>
        <rFont val="Calibri"/>
        <family val="2"/>
        <charset val="238"/>
        <scheme val="minor"/>
      </rPr>
      <t>ORPswitch</t>
    </r>
    <r>
      <rPr>
        <sz val="11"/>
        <rFont val="Calibri"/>
        <family val="2"/>
        <charset val="238"/>
        <scheme val="minor"/>
      </rPr>
      <t xml:space="preserve"> - offset</t>
    </r>
    <r>
      <rPr>
        <vertAlign val="subscript"/>
        <sz val="11"/>
        <rFont val="Calibri"/>
        <family val="2"/>
        <charset val="238"/>
        <scheme val="minor"/>
      </rPr>
      <t>ORPswitch</t>
    </r>
    <r>
      <rPr>
        <sz val="11"/>
        <rFont val="Calibri"/>
        <family val="2"/>
        <scheme val="minor"/>
      </rPr>
      <t>; Logsat</t>
    </r>
    <r>
      <rPr>
        <vertAlign val="subscript"/>
        <sz val="11"/>
        <rFont val="Calibri"/>
        <family val="2"/>
      </rPr>
      <t>ORP,PAO,Half</t>
    </r>
    <r>
      <rPr>
        <sz val="11"/>
        <rFont val="Calibri"/>
        <family val="2"/>
      </rPr>
      <t>; Logsat</t>
    </r>
    <r>
      <rPr>
        <vertAlign val="subscript"/>
        <sz val="11"/>
        <rFont val="Calibri"/>
        <family val="2"/>
      </rPr>
      <t>ORP,PAO,Slope</t>
    </r>
    <r>
      <rPr>
        <sz val="11"/>
        <rFont val="Calibri"/>
        <family val="2"/>
      </rPr>
      <t>)</t>
    </r>
  </si>
  <si>
    <r>
      <t>Logsatswitch(S</t>
    </r>
    <r>
      <rPr>
        <vertAlign val="subscript"/>
        <sz val="11"/>
        <rFont val="Calibri"/>
        <family val="2"/>
        <charset val="238"/>
      </rPr>
      <t>ORPswitch</t>
    </r>
    <r>
      <rPr>
        <sz val="11"/>
        <rFont val="Calibri"/>
        <family val="2"/>
        <charset val="238"/>
      </rPr>
      <t xml:space="preserve"> - offset</t>
    </r>
    <r>
      <rPr>
        <vertAlign val="subscript"/>
        <sz val="11"/>
        <rFont val="Calibri"/>
        <family val="2"/>
        <charset val="238"/>
      </rPr>
      <t>ORPswitch</t>
    </r>
    <r>
      <rPr>
        <sz val="11"/>
        <rFont val="Calibri"/>
        <family val="2"/>
      </rPr>
      <t>; Logsat</t>
    </r>
    <r>
      <rPr>
        <vertAlign val="subscript"/>
        <sz val="11"/>
        <rFont val="Calibri"/>
        <family val="2"/>
      </rPr>
      <t>ORP,GAO,Half,T</t>
    </r>
    <r>
      <rPr>
        <sz val="11"/>
        <rFont val="Calibri"/>
        <family val="2"/>
      </rPr>
      <t>; Logsat</t>
    </r>
    <r>
      <rPr>
        <vertAlign val="subscript"/>
        <sz val="11"/>
        <rFont val="Calibri"/>
        <family val="2"/>
      </rPr>
      <t>ORP,GAO,Slope</t>
    </r>
    <r>
      <rPr>
        <sz val="11"/>
        <rFont val="Calibri"/>
        <family val="2"/>
      </rPr>
      <t>)</t>
    </r>
  </si>
  <si>
    <r>
      <t>S</t>
    </r>
    <r>
      <rPr>
        <b/>
        <vertAlign val="subscript"/>
        <sz val="11"/>
        <rFont val="Calibri"/>
        <family val="2"/>
        <charset val="238"/>
        <scheme val="minor"/>
      </rPr>
      <t>ORPswitch</t>
    </r>
  </si>
  <si>
    <t>ORP driver for CASTO activity switches</t>
  </si>
  <si>
    <r>
      <t>S</t>
    </r>
    <r>
      <rPr>
        <b/>
        <vertAlign val="subscript"/>
        <sz val="12"/>
        <rFont val="Calibri"/>
        <family val="2"/>
        <charset val="238"/>
        <scheme val="minor"/>
      </rPr>
      <t>ORPswitch</t>
    </r>
  </si>
  <si>
    <t>ORP lag for CASTO activity switches</t>
  </si>
  <si>
    <r>
      <t>k</t>
    </r>
    <r>
      <rPr>
        <vertAlign val="subscript"/>
        <sz val="11"/>
        <rFont val="Calibri"/>
        <family val="2"/>
        <charset val="238"/>
      </rPr>
      <t>ORPswitch</t>
    </r>
    <r>
      <rPr>
        <sz val="11"/>
        <rFont val="Calibri"/>
        <family val="2"/>
      </rPr>
      <t>*(ORP + offset</t>
    </r>
    <r>
      <rPr>
        <vertAlign val="subscript"/>
        <sz val="11"/>
        <rFont val="Calibri"/>
        <family val="2"/>
        <charset val="238"/>
      </rPr>
      <t>ORPswitch</t>
    </r>
    <r>
      <rPr>
        <sz val="11"/>
        <rFont val="Calibri"/>
        <family val="2"/>
      </rPr>
      <t xml:space="preserve"> - S</t>
    </r>
    <r>
      <rPr>
        <vertAlign val="subscript"/>
        <sz val="11"/>
        <rFont val="Calibri"/>
        <family val="2"/>
        <charset val="238"/>
      </rPr>
      <t>ORPswitch</t>
    </r>
    <r>
      <rPr>
        <sz val="11"/>
        <rFont val="Calibri"/>
        <family val="2"/>
      </rPr>
      <t>)</t>
    </r>
  </si>
  <si>
    <r>
      <t>mV.d</t>
    </r>
    <r>
      <rPr>
        <vertAlign val="superscript"/>
        <sz val="11"/>
        <color indexed="8"/>
        <rFont val="Calibri"/>
        <family val="2"/>
        <charset val="238"/>
      </rPr>
      <t>-1</t>
    </r>
  </si>
  <si>
    <t>r103</t>
  </si>
  <si>
    <r>
      <t>-(v42_S</t>
    </r>
    <r>
      <rPr>
        <vertAlign val="subscript"/>
        <sz val="11"/>
        <rFont val="Calibri"/>
        <family val="2"/>
        <scheme val="minor"/>
      </rPr>
      <t>O2</t>
    </r>
    <r>
      <rPr>
        <sz val="11"/>
        <rFont val="Calibri"/>
        <family val="2"/>
        <scheme val="minor"/>
      </rPr>
      <t xml:space="preserve"> * r42 + v45_S</t>
    </r>
    <r>
      <rPr>
        <vertAlign val="subscript"/>
        <sz val="11"/>
        <rFont val="Calibri"/>
        <family val="2"/>
        <scheme val="minor"/>
      </rPr>
      <t>O2</t>
    </r>
    <r>
      <rPr>
        <sz val="11"/>
        <rFont val="Calibri"/>
        <family val="2"/>
        <scheme val="minor"/>
      </rPr>
      <t xml:space="preserve"> * r45)</t>
    </r>
  </si>
  <si>
    <r>
      <t>i</t>
    </r>
    <r>
      <rPr>
        <vertAlign val="subscript"/>
        <sz val="11"/>
        <rFont val="Calibri"/>
        <family val="2"/>
        <scheme val="minor"/>
      </rPr>
      <t>P,BIO</t>
    </r>
    <r>
      <rPr>
        <sz val="11"/>
        <rFont val="Calibri"/>
        <family val="2"/>
        <scheme val="minor"/>
      </rPr>
      <t xml:space="preserve"> * (r1 + r2 + r3 + r4 + r5 + r6 + r7 + r8 + r9 + r17 + r18 + r21 + r22 + r23 + r37 + r38 + r42 + r45 + r48 + r51 + r54) + i</t>
    </r>
    <r>
      <rPr>
        <vertAlign val="subscript"/>
        <sz val="11"/>
        <rFont val="Calibri"/>
        <family val="2"/>
        <charset val="238"/>
        <scheme val="minor"/>
      </rPr>
      <t>P,AHO</t>
    </r>
    <r>
      <rPr>
        <sz val="11"/>
        <rFont val="Calibri"/>
        <family val="2"/>
        <scheme val="minor"/>
      </rPr>
      <t xml:space="preserve"> * r14 + PUR</t>
    </r>
    <r>
      <rPr>
        <vertAlign val="subscript"/>
        <sz val="11"/>
        <rFont val="Calibri"/>
        <family val="2"/>
        <charset val="238"/>
        <scheme val="minor"/>
      </rPr>
      <t>BIOP</t>
    </r>
  </si>
  <si>
    <t>loss at 105°C</t>
  </si>
  <si>
    <r>
      <t>X</t>
    </r>
    <r>
      <rPr>
        <vertAlign val="subscript"/>
        <sz val="11"/>
        <rFont val="Calibri"/>
        <family val="2"/>
        <scheme val="minor"/>
      </rPr>
      <t>HFO,ISS</t>
    </r>
  </si>
  <si>
    <t>Total HFOs in ISS unit</t>
  </si>
  <si>
    <r>
      <t>(1-f</t>
    </r>
    <r>
      <rPr>
        <vertAlign val="subscript"/>
        <sz val="11"/>
        <rFont val="Calibri"/>
        <family val="2"/>
        <scheme val="minor"/>
      </rPr>
      <t>H2O,HFO,VSS</t>
    </r>
    <r>
      <rPr>
        <sz val="11"/>
        <rFont val="Calibri"/>
        <family val="2"/>
        <scheme val="minor"/>
      </rPr>
      <t>)*X</t>
    </r>
    <r>
      <rPr>
        <vertAlign val="subscript"/>
        <sz val="11"/>
        <rFont val="Calibri"/>
        <family val="2"/>
        <scheme val="minor"/>
      </rPr>
      <t>HFO</t>
    </r>
    <r>
      <rPr>
        <sz val="11"/>
        <rFont val="Calibri"/>
        <family val="2"/>
        <scheme val="minor"/>
      </rPr>
      <t>*MM</t>
    </r>
    <r>
      <rPr>
        <vertAlign val="subscript"/>
        <sz val="11"/>
        <rFont val="Calibri"/>
        <family val="2"/>
        <scheme val="minor"/>
      </rPr>
      <t>FeOH3</t>
    </r>
    <r>
      <rPr>
        <sz val="11"/>
        <rFont val="Calibri"/>
        <family val="2"/>
        <scheme val="minor"/>
      </rPr>
      <t>/AM</t>
    </r>
    <r>
      <rPr>
        <vertAlign val="subscript"/>
        <sz val="11"/>
        <rFont val="Calibri"/>
        <family val="2"/>
        <scheme val="minor"/>
      </rPr>
      <t>Fe</t>
    </r>
    <r>
      <rPr>
        <sz val="11"/>
        <rFont val="Calibri"/>
        <family val="2"/>
        <scheme val="minor"/>
      </rPr>
      <t>+ (X</t>
    </r>
    <r>
      <rPr>
        <vertAlign val="subscript"/>
        <sz val="11"/>
        <rFont val="Calibri"/>
        <family val="2"/>
        <scheme val="minor"/>
      </rPr>
      <t>HFO,L,P</t>
    </r>
    <r>
      <rPr>
        <sz val="11"/>
        <rFont val="Calibri"/>
        <family val="2"/>
        <scheme val="minor"/>
      </rPr>
      <t>+X</t>
    </r>
    <r>
      <rPr>
        <vertAlign val="subscript"/>
        <sz val="11"/>
        <rFont val="Calibri"/>
        <family val="2"/>
        <scheme val="minor"/>
      </rPr>
      <t>HFO,L,P,old</t>
    </r>
    <r>
      <rPr>
        <sz val="11"/>
        <rFont val="Calibri"/>
        <family val="2"/>
        <scheme val="minor"/>
      </rPr>
      <t>)*ASF</t>
    </r>
    <r>
      <rPr>
        <vertAlign val="subscript"/>
        <sz val="11"/>
        <rFont val="Calibri"/>
        <family val="2"/>
        <scheme val="minor"/>
      </rPr>
      <t>HFO,L</t>
    </r>
    <r>
      <rPr>
        <sz val="11"/>
        <rFont val="Calibri"/>
        <family val="2"/>
        <scheme val="minor"/>
      </rPr>
      <t>*(MM</t>
    </r>
    <r>
      <rPr>
        <vertAlign val="subscript"/>
        <sz val="11"/>
        <rFont val="Calibri"/>
        <family val="2"/>
        <scheme val="minor"/>
      </rPr>
      <t>PO4</t>
    </r>
    <r>
      <rPr>
        <sz val="11"/>
        <rFont val="Calibri"/>
        <family val="2"/>
        <scheme val="minor"/>
      </rPr>
      <t>/AM</t>
    </r>
    <r>
      <rPr>
        <vertAlign val="subscript"/>
        <sz val="11"/>
        <rFont val="Calibri"/>
        <family val="2"/>
        <scheme val="minor"/>
      </rPr>
      <t>Fe</t>
    </r>
    <r>
      <rPr>
        <sz val="11"/>
        <rFont val="Calibri"/>
        <family val="2"/>
        <scheme val="minor"/>
      </rPr>
      <t>)+(X</t>
    </r>
    <r>
      <rPr>
        <vertAlign val="subscript"/>
        <sz val="11"/>
        <rFont val="Calibri"/>
        <family val="2"/>
        <scheme val="minor"/>
      </rPr>
      <t>HFO,H,P</t>
    </r>
    <r>
      <rPr>
        <sz val="11"/>
        <rFont val="Calibri"/>
        <family val="2"/>
        <scheme val="minor"/>
      </rPr>
      <t>+X</t>
    </r>
    <r>
      <rPr>
        <vertAlign val="subscript"/>
        <sz val="11"/>
        <rFont val="Calibri"/>
        <family val="2"/>
        <scheme val="minor"/>
      </rPr>
      <t>HFO,H,P,old</t>
    </r>
    <r>
      <rPr>
        <sz val="11"/>
        <rFont val="Calibri"/>
        <family val="2"/>
        <scheme val="minor"/>
      </rPr>
      <t>)*ASF</t>
    </r>
    <r>
      <rPr>
        <vertAlign val="subscript"/>
        <sz val="11"/>
        <rFont val="Calibri"/>
        <family val="2"/>
        <scheme val="minor"/>
      </rPr>
      <t>HFO,H</t>
    </r>
    <r>
      <rPr>
        <sz val="11"/>
        <rFont val="Calibri"/>
        <family val="2"/>
        <scheme val="minor"/>
      </rPr>
      <t>*(MM</t>
    </r>
    <r>
      <rPr>
        <vertAlign val="subscript"/>
        <sz val="11"/>
        <rFont val="Calibri"/>
        <family val="2"/>
        <scheme val="minor"/>
      </rPr>
      <t>PO4</t>
    </r>
    <r>
      <rPr>
        <sz val="11"/>
        <rFont val="Calibri"/>
        <family val="2"/>
        <scheme val="minor"/>
      </rPr>
      <t>/AM</t>
    </r>
    <r>
      <rPr>
        <vertAlign val="subscript"/>
        <sz val="11"/>
        <rFont val="Calibri"/>
        <family val="2"/>
        <scheme val="minor"/>
      </rPr>
      <t>Fe</t>
    </r>
    <r>
      <rPr>
        <sz val="11"/>
        <rFont val="Calibri"/>
        <family val="2"/>
        <scheme val="minor"/>
      </rPr>
      <t>)</t>
    </r>
  </si>
  <si>
    <r>
      <t>X</t>
    </r>
    <r>
      <rPr>
        <vertAlign val="subscript"/>
        <sz val="11"/>
        <rFont val="Calibri"/>
        <family val="2"/>
        <scheme val="minor"/>
      </rPr>
      <t>HAO,ISS</t>
    </r>
  </si>
  <si>
    <t>Total HAOs in ISS unit</t>
  </si>
  <si>
    <r>
      <t>(1-f</t>
    </r>
    <r>
      <rPr>
        <vertAlign val="subscript"/>
        <sz val="11"/>
        <rFont val="Calibri"/>
        <family val="2"/>
        <scheme val="minor"/>
      </rPr>
      <t>H2O,HAO,VSS</t>
    </r>
    <r>
      <rPr>
        <sz val="11"/>
        <rFont val="Calibri"/>
        <family val="2"/>
        <scheme val="minor"/>
      </rPr>
      <t>)*X</t>
    </r>
    <r>
      <rPr>
        <vertAlign val="subscript"/>
        <sz val="11"/>
        <rFont val="Calibri"/>
        <family val="2"/>
        <scheme val="minor"/>
      </rPr>
      <t>HAO</t>
    </r>
    <r>
      <rPr>
        <sz val="11"/>
        <rFont val="Calibri"/>
        <family val="2"/>
        <scheme val="minor"/>
      </rPr>
      <t>*MM</t>
    </r>
    <r>
      <rPr>
        <vertAlign val="subscript"/>
        <sz val="11"/>
        <rFont val="Calibri"/>
        <family val="2"/>
        <scheme val="minor"/>
      </rPr>
      <t>AlOH3</t>
    </r>
    <r>
      <rPr>
        <sz val="11"/>
        <rFont val="Calibri"/>
        <family val="2"/>
        <scheme val="minor"/>
      </rPr>
      <t>/AM</t>
    </r>
    <r>
      <rPr>
        <vertAlign val="subscript"/>
        <sz val="11"/>
        <rFont val="Calibri"/>
        <family val="2"/>
        <scheme val="minor"/>
      </rPr>
      <t>Al</t>
    </r>
    <r>
      <rPr>
        <sz val="11"/>
        <rFont val="Calibri"/>
        <family val="2"/>
        <scheme val="minor"/>
      </rPr>
      <t>+ (X</t>
    </r>
    <r>
      <rPr>
        <vertAlign val="subscript"/>
        <sz val="11"/>
        <rFont val="Calibri"/>
        <family val="2"/>
        <scheme val="minor"/>
      </rPr>
      <t>HAO,L,P</t>
    </r>
    <r>
      <rPr>
        <sz val="11"/>
        <rFont val="Calibri"/>
        <family val="2"/>
        <scheme val="minor"/>
      </rPr>
      <t>+X</t>
    </r>
    <r>
      <rPr>
        <vertAlign val="subscript"/>
        <sz val="11"/>
        <rFont val="Calibri"/>
        <family val="2"/>
        <scheme val="minor"/>
      </rPr>
      <t>HAO,L,P,old</t>
    </r>
    <r>
      <rPr>
        <sz val="11"/>
        <rFont val="Calibri"/>
        <family val="2"/>
        <scheme val="minor"/>
      </rPr>
      <t>)*ASF</t>
    </r>
    <r>
      <rPr>
        <vertAlign val="subscript"/>
        <sz val="11"/>
        <rFont val="Calibri"/>
        <family val="2"/>
        <scheme val="minor"/>
      </rPr>
      <t>HAO,L</t>
    </r>
    <r>
      <rPr>
        <sz val="11"/>
        <rFont val="Calibri"/>
        <family val="2"/>
        <scheme val="minor"/>
      </rPr>
      <t>*(MM</t>
    </r>
    <r>
      <rPr>
        <vertAlign val="subscript"/>
        <sz val="11"/>
        <rFont val="Calibri"/>
        <family val="2"/>
        <scheme val="minor"/>
      </rPr>
      <t>PO4</t>
    </r>
    <r>
      <rPr>
        <sz val="11"/>
        <rFont val="Calibri"/>
        <family val="2"/>
        <scheme val="minor"/>
      </rPr>
      <t>/AM</t>
    </r>
    <r>
      <rPr>
        <vertAlign val="subscript"/>
        <sz val="11"/>
        <rFont val="Calibri"/>
        <family val="2"/>
        <scheme val="minor"/>
      </rPr>
      <t>Al</t>
    </r>
    <r>
      <rPr>
        <sz val="11"/>
        <rFont val="Calibri"/>
        <family val="2"/>
        <scheme val="minor"/>
      </rPr>
      <t>) +(X</t>
    </r>
    <r>
      <rPr>
        <vertAlign val="subscript"/>
        <sz val="11"/>
        <rFont val="Calibri"/>
        <family val="2"/>
        <scheme val="minor"/>
      </rPr>
      <t>HAO,H,P</t>
    </r>
    <r>
      <rPr>
        <sz val="11"/>
        <rFont val="Calibri"/>
        <family val="2"/>
        <scheme val="minor"/>
      </rPr>
      <t>+X</t>
    </r>
    <r>
      <rPr>
        <vertAlign val="subscript"/>
        <sz val="11"/>
        <rFont val="Calibri"/>
        <family val="2"/>
        <scheme val="minor"/>
      </rPr>
      <t>HAO,H,P,old</t>
    </r>
    <r>
      <rPr>
        <sz val="11"/>
        <rFont val="Calibri"/>
        <family val="2"/>
        <scheme val="minor"/>
      </rPr>
      <t>)*ASF</t>
    </r>
    <r>
      <rPr>
        <vertAlign val="subscript"/>
        <sz val="11"/>
        <rFont val="Calibri"/>
        <family val="2"/>
        <scheme val="minor"/>
      </rPr>
      <t>HAO,H</t>
    </r>
    <r>
      <rPr>
        <sz val="11"/>
        <rFont val="Calibri"/>
        <family val="2"/>
        <scheme val="minor"/>
      </rPr>
      <t>*(MM</t>
    </r>
    <r>
      <rPr>
        <vertAlign val="subscript"/>
        <sz val="11"/>
        <rFont val="Calibri"/>
        <family val="2"/>
        <scheme val="minor"/>
      </rPr>
      <t>PO4</t>
    </r>
    <r>
      <rPr>
        <sz val="11"/>
        <rFont val="Calibri"/>
        <family val="2"/>
        <scheme val="minor"/>
      </rPr>
      <t>/AM</t>
    </r>
    <r>
      <rPr>
        <vertAlign val="subscript"/>
        <sz val="11"/>
        <rFont val="Calibri"/>
        <family val="2"/>
        <scheme val="minor"/>
      </rPr>
      <t>Al</t>
    </r>
    <r>
      <rPr>
        <sz val="11"/>
        <rFont val="Calibri"/>
        <family val="2"/>
        <scheme val="minor"/>
      </rPr>
      <t>)</t>
    </r>
  </si>
  <si>
    <r>
      <t>X</t>
    </r>
    <r>
      <rPr>
        <vertAlign val="subscript"/>
        <sz val="11"/>
        <rFont val="Calibri"/>
        <family val="2"/>
        <scheme val="minor"/>
      </rPr>
      <t>Me,ISS</t>
    </r>
  </si>
  <si>
    <t>Metal precipitates in ISS unit</t>
  </si>
  <si>
    <r>
      <t>X</t>
    </r>
    <r>
      <rPr>
        <vertAlign val="subscript"/>
        <sz val="11"/>
        <rFont val="Calibri"/>
        <family val="2"/>
        <scheme val="minor"/>
      </rPr>
      <t>HFO,ISS</t>
    </r>
    <r>
      <rPr>
        <sz val="11"/>
        <rFont val="Calibri"/>
        <family val="2"/>
        <scheme val="minor"/>
      </rPr>
      <t xml:space="preserve"> + X</t>
    </r>
    <r>
      <rPr>
        <vertAlign val="subscript"/>
        <sz val="11"/>
        <rFont val="Calibri"/>
        <family val="2"/>
        <scheme val="minor"/>
      </rPr>
      <t>HAO,ISS</t>
    </r>
  </si>
  <si>
    <r>
      <t>X</t>
    </r>
    <r>
      <rPr>
        <vertAlign val="subscript"/>
        <sz val="11"/>
        <rFont val="Calibri"/>
        <family val="2"/>
        <scheme val="minor"/>
      </rPr>
      <t>Me,H2O,VSS</t>
    </r>
  </si>
  <si>
    <t>Water associated with metals measured in VSS Test</t>
  </si>
  <si>
    <r>
      <t>X</t>
    </r>
    <r>
      <rPr>
        <vertAlign val="subscript"/>
        <sz val="11"/>
        <rFont val="Calibri"/>
        <family val="2"/>
        <scheme val="minor"/>
      </rPr>
      <t>Me,H2O,TSS</t>
    </r>
  </si>
  <si>
    <t>Water associated with metals measured in TSS Test</t>
  </si>
  <si>
    <r>
      <t>X</t>
    </r>
    <r>
      <rPr>
        <vertAlign val="subscript"/>
        <sz val="11"/>
        <rFont val="Calibri"/>
        <family val="2"/>
        <scheme val="minor"/>
      </rPr>
      <t>Me,ISS</t>
    </r>
    <r>
      <rPr>
        <sz val="11"/>
        <rFont val="Calibri"/>
        <family val="2"/>
        <scheme val="minor"/>
      </rPr>
      <t>+X</t>
    </r>
    <r>
      <rPr>
        <vertAlign val="subscript"/>
        <sz val="11"/>
        <rFont val="Calibri"/>
        <family val="2"/>
        <scheme val="minor"/>
      </rPr>
      <t>precip</t>
    </r>
    <r>
      <rPr>
        <sz val="11"/>
        <rFont val="Calibri"/>
        <family val="2"/>
        <scheme val="minor"/>
      </rPr>
      <t>+X</t>
    </r>
    <r>
      <rPr>
        <vertAlign val="subscript"/>
        <sz val="11"/>
        <rFont val="Calibri"/>
        <family val="2"/>
        <scheme val="minor"/>
      </rPr>
      <t>INORG</t>
    </r>
    <r>
      <rPr>
        <sz val="11"/>
        <rFont val="Calibri"/>
        <family val="2"/>
        <scheme val="minor"/>
      </rPr>
      <t>+i</t>
    </r>
    <r>
      <rPr>
        <vertAlign val="subscript"/>
        <sz val="11"/>
        <rFont val="Calibri"/>
        <family val="2"/>
        <scheme val="minor"/>
      </rPr>
      <t>TSS,PP</t>
    </r>
    <r>
      <rPr>
        <sz val="11"/>
        <rFont val="Calibri"/>
        <family val="2"/>
        <scheme val="minor"/>
      </rPr>
      <t>*X</t>
    </r>
    <r>
      <rPr>
        <vertAlign val="subscript"/>
        <sz val="11"/>
        <rFont val="Calibri"/>
        <family val="2"/>
        <scheme val="minor"/>
      </rPr>
      <t>PP</t>
    </r>
  </si>
  <si>
    <r>
      <t>X</t>
    </r>
    <r>
      <rPr>
        <vertAlign val="subscript"/>
        <sz val="11"/>
        <rFont val="Calibri"/>
        <family val="2"/>
        <scheme val="minor"/>
      </rPr>
      <t xml:space="preserve">VSS </t>
    </r>
    <r>
      <rPr>
        <sz val="11"/>
        <rFont val="Calibri"/>
        <family val="2"/>
        <scheme val="minor"/>
      </rPr>
      <t>+ X</t>
    </r>
    <r>
      <rPr>
        <vertAlign val="subscript"/>
        <sz val="11"/>
        <rFont val="Calibri"/>
        <family val="2"/>
        <scheme val="minor"/>
      </rPr>
      <t xml:space="preserve">ISS </t>
    </r>
    <r>
      <rPr>
        <sz val="11"/>
        <rFont val="Calibri"/>
        <family val="2"/>
        <scheme val="minor"/>
      </rPr>
      <t>- X</t>
    </r>
    <r>
      <rPr>
        <vertAlign val="subscript"/>
        <sz val="11"/>
        <rFont val="Calibri"/>
        <family val="2"/>
        <scheme val="minor"/>
      </rPr>
      <t>Me,H2O,TSS</t>
    </r>
  </si>
  <si>
    <r>
      <t>f</t>
    </r>
    <r>
      <rPr>
        <vertAlign val="subscript"/>
        <sz val="11"/>
        <rFont val="Calibri"/>
        <family val="2"/>
        <scheme val="minor"/>
      </rPr>
      <t>H2O,HFO,TSS</t>
    </r>
    <r>
      <rPr>
        <sz val="11"/>
        <rFont val="Calibri"/>
        <family val="2"/>
        <scheme val="minor"/>
      </rPr>
      <t>*X</t>
    </r>
    <r>
      <rPr>
        <vertAlign val="subscript"/>
        <sz val="11"/>
        <rFont val="Calibri"/>
        <family val="2"/>
        <scheme val="minor"/>
      </rPr>
      <t>HFO</t>
    </r>
    <r>
      <rPr>
        <sz val="11"/>
        <rFont val="Calibri"/>
        <family val="2"/>
        <scheme val="minor"/>
      </rPr>
      <t>*MM</t>
    </r>
    <r>
      <rPr>
        <vertAlign val="subscript"/>
        <sz val="11"/>
        <rFont val="Calibri"/>
        <family val="2"/>
        <scheme val="minor"/>
      </rPr>
      <t>FeOH3</t>
    </r>
    <r>
      <rPr>
        <sz val="11"/>
        <rFont val="Calibri"/>
        <family val="2"/>
        <scheme val="minor"/>
      </rPr>
      <t>/AM</t>
    </r>
    <r>
      <rPr>
        <vertAlign val="subscript"/>
        <sz val="11"/>
        <rFont val="Calibri"/>
        <family val="2"/>
        <scheme val="minor"/>
      </rPr>
      <t>Fe</t>
    </r>
    <r>
      <rPr>
        <sz val="11"/>
        <rFont val="Calibri"/>
        <family val="2"/>
        <scheme val="minor"/>
      </rPr>
      <t>+f</t>
    </r>
    <r>
      <rPr>
        <vertAlign val="subscript"/>
        <sz val="11"/>
        <rFont val="Calibri"/>
        <family val="2"/>
        <scheme val="minor"/>
      </rPr>
      <t>H2O,HAO,TSS</t>
    </r>
    <r>
      <rPr>
        <sz val="11"/>
        <rFont val="Calibri"/>
        <family val="2"/>
        <scheme val="minor"/>
      </rPr>
      <t>*X</t>
    </r>
    <r>
      <rPr>
        <vertAlign val="subscript"/>
        <sz val="11"/>
        <rFont val="Calibri"/>
        <family val="2"/>
        <scheme val="minor"/>
      </rPr>
      <t>HAO</t>
    </r>
    <r>
      <rPr>
        <sz val="11"/>
        <rFont val="Calibri"/>
        <family val="2"/>
        <scheme val="minor"/>
      </rPr>
      <t>*MM</t>
    </r>
    <r>
      <rPr>
        <vertAlign val="subscript"/>
        <sz val="11"/>
        <rFont val="Calibri"/>
        <family val="2"/>
        <scheme val="minor"/>
      </rPr>
      <t>AlOH3</t>
    </r>
    <r>
      <rPr>
        <sz val="11"/>
        <rFont val="Calibri"/>
        <family val="2"/>
        <scheme val="minor"/>
      </rPr>
      <t>/AM</t>
    </r>
    <r>
      <rPr>
        <vertAlign val="subscript"/>
        <sz val="11"/>
        <rFont val="Calibri"/>
        <family val="2"/>
        <scheme val="minor"/>
      </rPr>
      <t>Al</t>
    </r>
  </si>
  <si>
    <r>
      <t>(f</t>
    </r>
    <r>
      <rPr>
        <vertAlign val="subscript"/>
        <sz val="11"/>
        <rFont val="Calibri"/>
        <family val="2"/>
        <scheme val="minor"/>
      </rPr>
      <t>H2O,HFO,VSS</t>
    </r>
    <r>
      <rPr>
        <sz val="11"/>
        <rFont val="Calibri"/>
        <family val="2"/>
        <scheme val="minor"/>
      </rPr>
      <t>-f</t>
    </r>
    <r>
      <rPr>
        <vertAlign val="subscript"/>
        <sz val="11"/>
        <rFont val="Calibri"/>
        <family val="2"/>
        <scheme val="minor"/>
      </rPr>
      <t>H2O,HFO,TSS</t>
    </r>
    <r>
      <rPr>
        <sz val="11"/>
        <rFont val="Calibri"/>
        <family val="2"/>
        <scheme val="minor"/>
      </rPr>
      <t>)*X</t>
    </r>
    <r>
      <rPr>
        <vertAlign val="subscript"/>
        <sz val="11"/>
        <rFont val="Calibri"/>
        <family val="2"/>
        <scheme val="minor"/>
      </rPr>
      <t>HFO</t>
    </r>
    <r>
      <rPr>
        <sz val="11"/>
        <rFont val="Calibri"/>
        <family val="2"/>
        <scheme val="minor"/>
      </rPr>
      <t>*MM</t>
    </r>
    <r>
      <rPr>
        <vertAlign val="subscript"/>
        <sz val="11"/>
        <rFont val="Calibri"/>
        <family val="2"/>
        <scheme val="minor"/>
      </rPr>
      <t>FeOH3</t>
    </r>
    <r>
      <rPr>
        <sz val="11"/>
        <rFont val="Calibri"/>
        <family val="2"/>
        <scheme val="minor"/>
      </rPr>
      <t>/AM</t>
    </r>
    <r>
      <rPr>
        <vertAlign val="subscript"/>
        <sz val="11"/>
        <rFont val="Calibri"/>
        <family val="2"/>
        <scheme val="minor"/>
      </rPr>
      <t>Fe</t>
    </r>
    <r>
      <rPr>
        <sz val="11"/>
        <rFont val="Calibri"/>
        <family val="2"/>
        <scheme val="minor"/>
      </rPr>
      <t>+(f</t>
    </r>
    <r>
      <rPr>
        <vertAlign val="subscript"/>
        <sz val="11"/>
        <rFont val="Calibri"/>
        <family val="2"/>
        <scheme val="minor"/>
      </rPr>
      <t>H2O,HAO,VSS</t>
    </r>
    <r>
      <rPr>
        <sz val="11"/>
        <rFont val="Calibri"/>
        <family val="2"/>
        <scheme val="minor"/>
      </rPr>
      <t>-f</t>
    </r>
    <r>
      <rPr>
        <vertAlign val="subscript"/>
        <sz val="11"/>
        <rFont val="Calibri"/>
        <family val="2"/>
        <scheme val="minor"/>
      </rPr>
      <t>H2O,HAO,TSS</t>
    </r>
    <r>
      <rPr>
        <sz val="11"/>
        <rFont val="Calibri"/>
        <family val="2"/>
        <scheme val="minor"/>
      </rPr>
      <t>)*X</t>
    </r>
    <r>
      <rPr>
        <vertAlign val="subscript"/>
        <sz val="11"/>
        <rFont val="Calibri"/>
        <family val="2"/>
        <scheme val="minor"/>
      </rPr>
      <t>HAO</t>
    </r>
    <r>
      <rPr>
        <sz val="11"/>
        <rFont val="Calibri"/>
        <family val="2"/>
        <scheme val="minor"/>
      </rPr>
      <t>*MM</t>
    </r>
    <r>
      <rPr>
        <vertAlign val="subscript"/>
        <sz val="11"/>
        <rFont val="Calibri"/>
        <family val="2"/>
        <scheme val="minor"/>
      </rPr>
      <t>AlOH3</t>
    </r>
    <r>
      <rPr>
        <sz val="11"/>
        <rFont val="Calibri"/>
        <family val="2"/>
        <scheme val="minor"/>
      </rPr>
      <t>/AM</t>
    </r>
    <r>
      <rPr>
        <vertAlign val="subscript"/>
        <sz val="11"/>
        <rFont val="Calibri"/>
        <family val="2"/>
        <scheme val="minor"/>
      </rPr>
      <t>Al</t>
    </r>
  </si>
  <si>
    <t>Non-pH; Non-Digester; Non-Sidestream</t>
  </si>
  <si>
    <t>Non-pH; Sidestream</t>
  </si>
  <si>
    <r>
      <t>g COD.g COD</t>
    </r>
    <r>
      <rPr>
        <vertAlign val="superscript"/>
        <sz val="11"/>
        <rFont val="Calibri"/>
        <family val="2"/>
        <charset val="238"/>
        <scheme val="minor"/>
      </rPr>
      <t>-1</t>
    </r>
  </si>
  <si>
    <r>
      <t>g COD.g P</t>
    </r>
    <r>
      <rPr>
        <vertAlign val="superscript"/>
        <sz val="11"/>
        <rFont val="Calibri"/>
        <family val="2"/>
        <charset val="238"/>
        <scheme val="minor"/>
      </rPr>
      <t>-1</t>
    </r>
  </si>
  <si>
    <r>
      <t>g P.g COD</t>
    </r>
    <r>
      <rPr>
        <vertAlign val="superscript"/>
        <sz val="11"/>
        <rFont val="Calibri"/>
        <family val="2"/>
        <charset val="238"/>
        <scheme val="minor"/>
      </rPr>
      <t>-1</t>
    </r>
  </si>
  <si>
    <r>
      <t>g TSS.g P</t>
    </r>
    <r>
      <rPr>
        <vertAlign val="superscript"/>
        <sz val="11"/>
        <rFont val="Calibri"/>
        <family val="2"/>
        <charset val="238"/>
        <scheme val="minor"/>
      </rPr>
      <t>-1</t>
    </r>
  </si>
  <si>
    <r>
      <t>g COD.g N</t>
    </r>
    <r>
      <rPr>
        <vertAlign val="superscript"/>
        <sz val="11"/>
        <rFont val="Calibri"/>
        <family val="2"/>
        <scheme val="minor"/>
      </rPr>
      <t>-1</t>
    </r>
  </si>
  <si>
    <r>
      <t>mol NO</t>
    </r>
    <r>
      <rPr>
        <vertAlign val="subscript"/>
        <sz val="11"/>
        <rFont val="Calibri"/>
        <family val="2"/>
        <scheme val="minor"/>
      </rPr>
      <t>2</t>
    </r>
    <r>
      <rPr>
        <sz val="11"/>
        <rFont val="Calibri"/>
        <family val="2"/>
        <scheme val="minor"/>
      </rPr>
      <t>.mol NH</t>
    </r>
    <r>
      <rPr>
        <vertAlign val="subscript"/>
        <sz val="11"/>
        <rFont val="Calibri"/>
        <family val="2"/>
        <scheme val="minor"/>
      </rPr>
      <t>4</t>
    </r>
    <r>
      <rPr>
        <vertAlign val="superscript"/>
        <sz val="11"/>
        <rFont val="Calibri"/>
        <family val="2"/>
        <scheme val="minor"/>
      </rPr>
      <t>-1</t>
    </r>
  </si>
  <si>
    <r>
      <t>mol NO</t>
    </r>
    <r>
      <rPr>
        <vertAlign val="subscript"/>
        <sz val="11"/>
        <rFont val="Calibri"/>
        <family val="2"/>
        <scheme val="minor"/>
      </rPr>
      <t>3</t>
    </r>
    <r>
      <rPr>
        <sz val="11"/>
        <rFont val="Calibri"/>
        <family val="2"/>
        <scheme val="minor"/>
      </rPr>
      <t>.mol NH</t>
    </r>
    <r>
      <rPr>
        <vertAlign val="subscript"/>
        <sz val="11"/>
        <rFont val="Calibri"/>
        <family val="2"/>
        <scheme val="minor"/>
      </rPr>
      <t>4</t>
    </r>
    <r>
      <rPr>
        <vertAlign val="superscript"/>
        <sz val="11"/>
        <rFont val="Calibri"/>
        <family val="2"/>
        <scheme val="minor"/>
      </rPr>
      <t>-1</t>
    </r>
  </si>
  <si>
    <r>
      <t>g COD</t>
    </r>
    <r>
      <rPr>
        <sz val="11"/>
        <color indexed="8"/>
        <rFont val="Calibri"/>
        <family val="2"/>
      </rPr>
      <t>. g COD</t>
    </r>
    <r>
      <rPr>
        <vertAlign val="superscript"/>
        <sz val="11"/>
        <color indexed="8"/>
        <rFont val="Calibri"/>
        <family val="2"/>
      </rPr>
      <t>-1</t>
    </r>
  </si>
  <si>
    <t>NURAMX</t>
  </si>
  <si>
    <t>Ammonia and nitrite uptake rate by Anammox (NURAMX)</t>
  </si>
  <si>
    <r>
      <t>- (v48_S</t>
    </r>
    <r>
      <rPr>
        <vertAlign val="subscript"/>
        <sz val="11"/>
        <rFont val="Calibri"/>
        <family val="2"/>
        <scheme val="minor"/>
      </rPr>
      <t>NHx</t>
    </r>
    <r>
      <rPr>
        <sz val="11"/>
        <rFont val="Calibri"/>
        <family val="2"/>
        <scheme val="minor"/>
      </rPr>
      <t xml:space="preserve"> * r48 + v48_S</t>
    </r>
    <r>
      <rPr>
        <vertAlign val="subscript"/>
        <sz val="11"/>
        <rFont val="Calibri"/>
        <family val="2"/>
        <scheme val="minor"/>
      </rPr>
      <t>NO2</t>
    </r>
    <r>
      <rPr>
        <sz val="11"/>
        <rFont val="Calibri"/>
        <family val="2"/>
        <scheme val="minor"/>
      </rPr>
      <t xml:space="preserve"> * r48)</t>
    </r>
  </si>
  <si>
    <t>Primary effluent</t>
  </si>
  <si>
    <r>
      <t>θ</t>
    </r>
    <r>
      <rPr>
        <vertAlign val="subscript"/>
        <sz val="11"/>
        <color indexed="8"/>
        <rFont val="Calibri"/>
        <family val="2"/>
        <scheme val="minor"/>
      </rPr>
      <t>q,XU</t>
    </r>
  </si>
  <si>
    <t>Arrhenius particulate unbiodegradable organics conversion</t>
  </si>
  <si>
    <r>
      <t>q</t>
    </r>
    <r>
      <rPr>
        <vertAlign val="subscript"/>
        <sz val="11"/>
        <color indexed="8"/>
        <rFont val="Calibri"/>
        <family val="2"/>
        <scheme val="minor"/>
      </rPr>
      <t>XU</t>
    </r>
  </si>
  <si>
    <t>Rate of particulate unbiodegradable organics conversion</t>
  </si>
  <si>
    <t>r104</t>
  </si>
  <si>
    <r>
      <t>X</t>
    </r>
    <r>
      <rPr>
        <vertAlign val="subscript"/>
        <sz val="11"/>
        <rFont val="Calibri"/>
        <family val="2"/>
      </rPr>
      <t>N,U</t>
    </r>
    <r>
      <rPr>
        <sz val="11"/>
        <rFont val="Calibri"/>
        <family val="2"/>
      </rPr>
      <t>/X</t>
    </r>
    <r>
      <rPr>
        <vertAlign val="subscript"/>
        <sz val="11"/>
        <rFont val="Calibri"/>
        <family val="2"/>
      </rPr>
      <t>U</t>
    </r>
  </si>
  <si>
    <r>
      <t>-X</t>
    </r>
    <r>
      <rPr>
        <vertAlign val="subscript"/>
        <sz val="11"/>
        <rFont val="Calibri"/>
        <family val="2"/>
      </rPr>
      <t>N,U</t>
    </r>
    <r>
      <rPr>
        <sz val="11"/>
        <rFont val="Calibri"/>
        <family val="2"/>
      </rPr>
      <t>/X</t>
    </r>
    <r>
      <rPr>
        <vertAlign val="subscript"/>
        <sz val="11"/>
        <rFont val="Calibri"/>
        <family val="2"/>
      </rPr>
      <t>U</t>
    </r>
  </si>
  <si>
    <r>
      <t>X</t>
    </r>
    <r>
      <rPr>
        <vertAlign val="subscript"/>
        <sz val="11"/>
        <rFont val="Calibri"/>
        <family val="2"/>
      </rPr>
      <t>P,U</t>
    </r>
    <r>
      <rPr>
        <sz val="11"/>
        <rFont val="Calibri"/>
        <family val="2"/>
      </rPr>
      <t>/X</t>
    </r>
    <r>
      <rPr>
        <vertAlign val="subscript"/>
        <sz val="11"/>
        <rFont val="Calibri"/>
        <family val="2"/>
      </rPr>
      <t>U</t>
    </r>
  </si>
  <si>
    <r>
      <t>-X</t>
    </r>
    <r>
      <rPr>
        <vertAlign val="subscript"/>
        <sz val="11"/>
        <rFont val="Calibri"/>
        <family val="2"/>
      </rPr>
      <t>P,U</t>
    </r>
    <r>
      <rPr>
        <sz val="11"/>
        <rFont val="Calibri"/>
        <family val="2"/>
      </rPr>
      <t>/X</t>
    </r>
    <r>
      <rPr>
        <vertAlign val="subscript"/>
        <sz val="11"/>
        <rFont val="Calibri"/>
        <family val="2"/>
      </rPr>
      <t>U</t>
    </r>
  </si>
  <si>
    <r>
      <t>q</t>
    </r>
    <r>
      <rPr>
        <vertAlign val="subscript"/>
        <sz val="11"/>
        <color indexed="8"/>
        <rFont val="Calibri"/>
        <family val="2"/>
        <scheme val="minor"/>
      </rPr>
      <t>XU,T</t>
    </r>
  </si>
  <si>
    <t>Rate of particulate unbiodegradable organics conversion (temperature corrected)</t>
  </si>
  <si>
    <r>
      <t>q</t>
    </r>
    <r>
      <rPr>
        <vertAlign val="subscript"/>
        <sz val="11"/>
        <color indexed="8"/>
        <rFont val="Calibri"/>
        <family val="2"/>
        <scheme val="minor"/>
      </rPr>
      <t>XU</t>
    </r>
    <r>
      <rPr>
        <sz val="11"/>
        <color indexed="8"/>
        <rFont val="Calibri"/>
        <family val="2"/>
        <scheme val="minor"/>
      </rPr>
      <t>*Arrh(θ</t>
    </r>
    <r>
      <rPr>
        <vertAlign val="subscript"/>
        <sz val="11"/>
        <color indexed="8"/>
        <rFont val="Calibri"/>
        <family val="2"/>
        <scheme val="minor"/>
      </rPr>
      <t>q,XU</t>
    </r>
    <r>
      <rPr>
        <sz val="11"/>
        <color indexed="8"/>
        <rFont val="Calibri"/>
        <family val="2"/>
        <scheme val="minor"/>
      </rPr>
      <t>; T; T</t>
    </r>
    <r>
      <rPr>
        <vertAlign val="subscript"/>
        <sz val="11"/>
        <color indexed="8"/>
        <rFont val="Calibri"/>
        <family val="2"/>
        <scheme val="minor"/>
      </rPr>
      <t>base</t>
    </r>
    <r>
      <rPr>
        <sz val="11"/>
        <color indexed="8"/>
        <rFont val="Calibri"/>
        <family val="2"/>
        <scheme val="minor"/>
      </rPr>
      <t>)</t>
    </r>
  </si>
  <si>
    <r>
      <t>K</t>
    </r>
    <r>
      <rPr>
        <vertAlign val="subscript"/>
        <sz val="11"/>
        <color indexed="8"/>
        <rFont val="Calibri"/>
        <family val="2"/>
        <scheme val="minor"/>
      </rPr>
      <t>XU</t>
    </r>
  </si>
  <si>
    <r>
      <t>q</t>
    </r>
    <r>
      <rPr>
        <vertAlign val="subscript"/>
        <sz val="11"/>
        <rFont val="Calibri"/>
        <family val="2"/>
      </rPr>
      <t>XU,T</t>
    </r>
    <r>
      <rPr>
        <sz val="11"/>
        <rFont val="Calibri"/>
        <family val="2"/>
      </rPr>
      <t>*X</t>
    </r>
    <r>
      <rPr>
        <vertAlign val="subscript"/>
        <sz val="11"/>
        <rFont val="Calibri"/>
        <family val="2"/>
      </rPr>
      <t>U</t>
    </r>
    <r>
      <rPr>
        <sz val="11"/>
        <rFont val="Calibri"/>
        <family val="2"/>
      </rPr>
      <t>*Msat</t>
    </r>
    <r>
      <rPr>
        <vertAlign val="subscript"/>
        <sz val="11"/>
        <rFont val="Calibri"/>
        <family val="2"/>
      </rPr>
      <t>XU,KXU</t>
    </r>
  </si>
  <si>
    <r>
      <t>Msat</t>
    </r>
    <r>
      <rPr>
        <vertAlign val="subscript"/>
        <sz val="11"/>
        <rFont val="Calibri"/>
        <family val="2"/>
      </rPr>
      <t>XU,KXU</t>
    </r>
  </si>
  <si>
    <t>Saturation term for XU</t>
  </si>
  <si>
    <r>
      <t>Msat(X</t>
    </r>
    <r>
      <rPr>
        <vertAlign val="subscript"/>
        <sz val="11"/>
        <rFont val="Calibri"/>
        <family val="2"/>
      </rPr>
      <t>U</t>
    </r>
    <r>
      <rPr>
        <sz val="11"/>
        <rFont val="Calibri"/>
        <family val="2"/>
      </rPr>
      <t>;K</t>
    </r>
    <r>
      <rPr>
        <vertAlign val="subscript"/>
        <sz val="11"/>
        <rFont val="Calibri"/>
        <family val="2"/>
      </rPr>
      <t>XU</t>
    </r>
    <r>
      <rPr>
        <sz val="11"/>
        <rFont val="Calibri"/>
        <family val="2"/>
      </rPr>
      <t>)</t>
    </r>
  </si>
  <si>
    <t>Aged P-bound hydrous ferric oxide, high surface (HFO,H,P,old)</t>
  </si>
  <si>
    <t>Aged P-bound hydrous ferric oxide, low surface (HFO,L,P,old)</t>
  </si>
  <si>
    <t>Conversion factor of TCOD into total organic carbon at effluent</t>
  </si>
  <si>
    <t>Conversion constant of TCOD into total organic carbon at effluent</t>
  </si>
  <si>
    <t>Saturation term for PHA storage (PAO)</t>
  </si>
  <si>
    <t>Inhibition term for PHA storage (PAO)</t>
  </si>
  <si>
    <t>Inhibition term for PP storage compound (PAO)</t>
  </si>
  <si>
    <t>Saturation term for PP storage (PAO)</t>
  </si>
  <si>
    <t>Kinetic rate of ORP lag for CASTO activity switches</t>
  </si>
  <si>
    <t>Offset of ORP lag for CASTO activity switches</t>
  </si>
  <si>
    <t>Inhibition term for VFAs in fermentation</t>
  </si>
  <si>
    <t>Half-saturation of particulate unbiodegradable organics</t>
  </si>
  <si>
    <t>Photosynthetic organisms kinetics (ALGAE)</t>
  </si>
  <si>
    <r>
      <t>µ</t>
    </r>
    <r>
      <rPr>
        <vertAlign val="subscript"/>
        <sz val="11"/>
        <color rgb="FF000000"/>
        <rFont val="Calibri"/>
        <family val="2"/>
        <scheme val="minor"/>
      </rPr>
      <t>ALGAE</t>
    </r>
  </si>
  <si>
    <t>Maximum specific growth rate of ALGAE</t>
  </si>
  <si>
    <r>
      <t>b</t>
    </r>
    <r>
      <rPr>
        <vertAlign val="subscript"/>
        <sz val="11"/>
        <color indexed="8"/>
        <rFont val="Calibri"/>
        <family val="2"/>
        <scheme val="minor"/>
      </rPr>
      <t>ALGAE</t>
    </r>
  </si>
  <si>
    <t>Decay rate of ALGAE</t>
  </si>
  <si>
    <r>
      <t>K</t>
    </r>
    <r>
      <rPr>
        <vertAlign val="subscript"/>
        <sz val="11"/>
        <color rgb="FF000000"/>
        <rFont val="Calibri"/>
        <family val="2"/>
        <scheme val="minor"/>
      </rPr>
      <t>CO2,ALGAE</t>
    </r>
  </si>
  <si>
    <r>
      <t>Half-saturation of CO</t>
    </r>
    <r>
      <rPr>
        <vertAlign val="subscript"/>
        <sz val="11"/>
        <color rgb="FF000000"/>
        <rFont val="Calibri"/>
        <family val="2"/>
        <scheme val="minor"/>
      </rPr>
      <t>2</t>
    </r>
    <r>
      <rPr>
        <sz val="11"/>
        <color indexed="8"/>
        <rFont val="Calibri"/>
        <family val="2"/>
        <scheme val="minor"/>
      </rPr>
      <t xml:space="preserve"> for ALGAE</t>
    </r>
  </si>
  <si>
    <r>
      <t>K</t>
    </r>
    <r>
      <rPr>
        <vertAlign val="subscript"/>
        <sz val="11"/>
        <color rgb="FF000000"/>
        <rFont val="Calibri"/>
        <family val="2"/>
        <scheme val="minor"/>
      </rPr>
      <t>NOx,ALGAE</t>
    </r>
  </si>
  <si>
    <r>
      <t>Half-saturation of NO</t>
    </r>
    <r>
      <rPr>
        <vertAlign val="subscript"/>
        <sz val="11"/>
        <color rgb="FF000000"/>
        <rFont val="Calibri"/>
        <family val="2"/>
        <scheme val="minor"/>
      </rPr>
      <t>x</t>
    </r>
    <r>
      <rPr>
        <sz val="11"/>
        <color indexed="8"/>
        <rFont val="Calibri"/>
        <family val="2"/>
        <scheme val="minor"/>
      </rPr>
      <t xml:space="preserve"> for ALGAE</t>
    </r>
  </si>
  <si>
    <r>
      <t>K</t>
    </r>
    <r>
      <rPr>
        <vertAlign val="subscript"/>
        <sz val="11"/>
        <color rgb="FF000000"/>
        <rFont val="Calibri"/>
        <family val="2"/>
        <scheme val="minor"/>
      </rPr>
      <t>O2,ALGAE</t>
    </r>
  </si>
  <si>
    <r>
      <t>Half-saturation of O</t>
    </r>
    <r>
      <rPr>
        <vertAlign val="subscript"/>
        <sz val="11"/>
        <color rgb="FF000000"/>
        <rFont val="Calibri"/>
        <family val="2"/>
        <scheme val="minor"/>
      </rPr>
      <t>2</t>
    </r>
    <r>
      <rPr>
        <sz val="11"/>
        <color indexed="8"/>
        <rFont val="Calibri"/>
        <family val="2"/>
        <scheme val="minor"/>
      </rPr>
      <t xml:space="preserve"> for ALGAE</t>
    </r>
  </si>
  <si>
    <r>
      <t>K</t>
    </r>
    <r>
      <rPr>
        <vertAlign val="subscript"/>
        <sz val="11"/>
        <rFont val="Calibri"/>
        <family val="2"/>
        <scheme val="minor"/>
      </rPr>
      <t>NHx,ALGAE</t>
    </r>
  </si>
  <si>
    <r>
      <t>Half-saturation of NH</t>
    </r>
    <r>
      <rPr>
        <vertAlign val="subscript"/>
        <sz val="11"/>
        <color rgb="FF000000"/>
        <rFont val="Calibri"/>
        <family val="2"/>
        <scheme val="minor"/>
      </rPr>
      <t>x</t>
    </r>
    <r>
      <rPr>
        <sz val="11"/>
        <color rgb="FF000000"/>
        <rFont val="Calibri"/>
        <family val="2"/>
        <charset val="238"/>
        <scheme val="minor"/>
      </rPr>
      <t xml:space="preserve"> for ALGAE</t>
    </r>
  </si>
  <si>
    <r>
      <t>K</t>
    </r>
    <r>
      <rPr>
        <sz val="11"/>
        <color rgb="FF000000"/>
        <rFont val="Calibri"/>
        <family val="2"/>
        <scheme val="minor"/>
      </rPr>
      <t>i</t>
    </r>
    <r>
      <rPr>
        <vertAlign val="subscript"/>
        <sz val="11"/>
        <color rgb="FF000000"/>
        <rFont val="Calibri"/>
        <family val="2"/>
        <scheme val="minor"/>
      </rPr>
      <t>NHx,ALGAE</t>
    </r>
  </si>
  <si>
    <r>
      <t>Half-inhibition of NH</t>
    </r>
    <r>
      <rPr>
        <vertAlign val="subscript"/>
        <sz val="11"/>
        <color rgb="FF000000"/>
        <rFont val="Calibri"/>
        <family val="2"/>
        <scheme val="minor"/>
      </rPr>
      <t>x</t>
    </r>
    <r>
      <rPr>
        <sz val="11"/>
        <color indexed="8"/>
        <rFont val="Calibri"/>
        <family val="2"/>
        <scheme val="minor"/>
      </rPr>
      <t xml:space="preserve"> for ALGAE</t>
    </r>
  </si>
  <si>
    <r>
      <t>θ</t>
    </r>
    <r>
      <rPr>
        <vertAlign val="subscript"/>
        <sz val="11"/>
        <color indexed="8"/>
        <rFont val="Calibri"/>
        <family val="2"/>
        <scheme val="minor"/>
      </rPr>
      <t>µ,ALGAE</t>
    </r>
  </si>
  <si>
    <t>Arrhenius coefficient for ALGAE growth</t>
  </si>
  <si>
    <r>
      <t>θ</t>
    </r>
    <r>
      <rPr>
        <vertAlign val="subscript"/>
        <sz val="11"/>
        <color indexed="8"/>
        <rFont val="Calibri"/>
        <family val="2"/>
        <scheme val="minor"/>
      </rPr>
      <t>b,ALGAE</t>
    </r>
  </si>
  <si>
    <t>Arrhenius coefficient for ALGAE decay</t>
  </si>
  <si>
    <r>
      <t>i</t>
    </r>
    <r>
      <rPr>
        <vertAlign val="subscript"/>
        <sz val="11"/>
        <rFont val="Calibri"/>
        <family val="2"/>
        <scheme val="minor"/>
      </rPr>
      <t>N,ALGAE</t>
    </r>
  </si>
  <si>
    <t>N content of algae</t>
  </si>
  <si>
    <t>g N.g COD-1</t>
  </si>
  <si>
    <r>
      <t>i</t>
    </r>
    <r>
      <rPr>
        <vertAlign val="subscript"/>
        <sz val="11"/>
        <rFont val="Calibri"/>
        <family val="2"/>
        <scheme val="minor"/>
      </rPr>
      <t>P,ALGAE</t>
    </r>
  </si>
  <si>
    <t>P content of algae</t>
  </si>
  <si>
    <t>g P.g COD-1</t>
  </si>
  <si>
    <r>
      <t>i</t>
    </r>
    <r>
      <rPr>
        <vertAlign val="subscript"/>
        <sz val="11"/>
        <rFont val="Calibri"/>
        <family val="2"/>
        <scheme val="minor"/>
      </rPr>
      <t>CIT,ALGAE</t>
    </r>
  </si>
  <si>
    <t>Inorganic carbon content of algae</t>
  </si>
  <si>
    <t>g TIC.g COD-1</t>
  </si>
  <si>
    <t>C5H7O2N: 32 g COD/mol C</t>
  </si>
  <si>
    <r>
      <t>k</t>
    </r>
    <r>
      <rPr>
        <vertAlign val="subscript"/>
        <sz val="11"/>
        <rFont val="Calibri"/>
        <family val="2"/>
      </rPr>
      <t>L,GO2,PondSurface</t>
    </r>
  </si>
  <si>
    <r>
      <t>Liquid-side mass transfer coefficient of O</t>
    </r>
    <r>
      <rPr>
        <vertAlign val="subscript"/>
        <sz val="11"/>
        <color rgb="FF000000"/>
        <rFont val="Calibri"/>
        <family val="2"/>
        <scheme val="minor"/>
      </rPr>
      <t>2</t>
    </r>
    <r>
      <rPr>
        <sz val="11"/>
        <rFont val="Calibri"/>
        <family val="2"/>
        <scheme val="minor"/>
      </rPr>
      <t xml:space="preserve"> at liquid surface of a pond</t>
    </r>
  </si>
  <si>
    <r>
      <t>X</t>
    </r>
    <r>
      <rPr>
        <b/>
        <vertAlign val="subscript"/>
        <sz val="11"/>
        <rFont val="Calibri"/>
        <family val="2"/>
        <scheme val="minor"/>
      </rPr>
      <t>ALGAE</t>
    </r>
  </si>
  <si>
    <t>ALGAE growth on Nitrate</t>
  </si>
  <si>
    <r>
      <t>-i</t>
    </r>
    <r>
      <rPr>
        <vertAlign val="subscript"/>
        <sz val="11"/>
        <color indexed="8"/>
        <rFont val="Calibri"/>
        <family val="2"/>
      </rPr>
      <t>N,ALGAE</t>
    </r>
    <r>
      <rPr>
        <sz val="11"/>
        <color indexed="8"/>
        <rFont val="Calibri"/>
        <family val="2"/>
      </rPr>
      <t>*S</t>
    </r>
    <r>
      <rPr>
        <vertAlign val="subscript"/>
        <sz val="11"/>
        <color rgb="FF000000"/>
        <rFont val="Calibri"/>
        <family val="2"/>
      </rPr>
      <t>NO2</t>
    </r>
    <r>
      <rPr>
        <sz val="11"/>
        <color indexed="8"/>
        <rFont val="Calibri"/>
        <family val="2"/>
      </rPr>
      <t>/S</t>
    </r>
    <r>
      <rPr>
        <vertAlign val="subscript"/>
        <sz val="11"/>
        <color rgb="FF000000"/>
        <rFont val="Calibri"/>
        <family val="2"/>
      </rPr>
      <t>NOx</t>
    </r>
  </si>
  <si>
    <r>
      <t>-i</t>
    </r>
    <r>
      <rPr>
        <vertAlign val="subscript"/>
        <sz val="11"/>
        <color indexed="8"/>
        <rFont val="Calibri"/>
        <family val="2"/>
      </rPr>
      <t>N,ALGAE</t>
    </r>
    <r>
      <rPr>
        <sz val="11"/>
        <color indexed="8"/>
        <rFont val="Calibri"/>
        <family val="2"/>
      </rPr>
      <t>*S</t>
    </r>
    <r>
      <rPr>
        <vertAlign val="subscript"/>
        <sz val="11"/>
        <color rgb="FF000000"/>
        <rFont val="Calibri"/>
        <family val="2"/>
      </rPr>
      <t>NO3</t>
    </r>
    <r>
      <rPr>
        <sz val="11"/>
        <color indexed="8"/>
        <rFont val="Calibri"/>
        <family val="2"/>
      </rPr>
      <t>/S</t>
    </r>
    <r>
      <rPr>
        <vertAlign val="subscript"/>
        <sz val="11"/>
        <color rgb="FF000000"/>
        <rFont val="Calibri"/>
        <family val="2"/>
      </rPr>
      <t>NOx</t>
    </r>
  </si>
  <si>
    <r>
      <t>-i</t>
    </r>
    <r>
      <rPr>
        <vertAlign val="subscript"/>
        <sz val="11"/>
        <color indexed="8"/>
        <rFont val="Calibri"/>
        <family val="2"/>
      </rPr>
      <t>P,ALGAE</t>
    </r>
  </si>
  <si>
    <r>
      <t>1 + i</t>
    </r>
    <r>
      <rPr>
        <vertAlign val="subscript"/>
        <sz val="11"/>
        <color rgb="FF000000"/>
        <rFont val="Calibri"/>
        <family val="2"/>
      </rPr>
      <t>N,ALGAE</t>
    </r>
    <r>
      <rPr>
        <sz val="11"/>
        <color indexed="8"/>
        <rFont val="Calibri"/>
        <family val="2"/>
      </rPr>
      <t>*(EEQ</t>
    </r>
    <r>
      <rPr>
        <vertAlign val="subscript"/>
        <sz val="11"/>
        <color rgb="FF000000"/>
        <rFont val="Calibri"/>
        <family val="2"/>
      </rPr>
      <t>NO3</t>
    </r>
    <r>
      <rPr>
        <sz val="11"/>
        <color indexed="8"/>
        <rFont val="Calibri"/>
        <family val="2"/>
      </rPr>
      <t>*S</t>
    </r>
    <r>
      <rPr>
        <vertAlign val="subscript"/>
        <sz val="11"/>
        <color rgb="FF000000"/>
        <rFont val="Calibri"/>
        <family val="2"/>
      </rPr>
      <t>NO3</t>
    </r>
    <r>
      <rPr>
        <sz val="11"/>
        <color indexed="8"/>
        <rFont val="Calibri"/>
        <family val="2"/>
      </rPr>
      <t>/S</t>
    </r>
    <r>
      <rPr>
        <vertAlign val="subscript"/>
        <sz val="11"/>
        <color rgb="FF000000"/>
        <rFont val="Calibri"/>
        <family val="2"/>
      </rPr>
      <t>NOx</t>
    </r>
    <r>
      <rPr>
        <sz val="11"/>
        <color indexed="8"/>
        <rFont val="Calibri"/>
        <family val="2"/>
      </rPr>
      <t>+EEQ</t>
    </r>
    <r>
      <rPr>
        <vertAlign val="subscript"/>
        <sz val="11"/>
        <color rgb="FF000000"/>
        <rFont val="Calibri"/>
        <family val="2"/>
      </rPr>
      <t>NO2</t>
    </r>
    <r>
      <rPr>
        <sz val="11"/>
        <color indexed="8"/>
        <rFont val="Calibri"/>
        <family val="2"/>
      </rPr>
      <t>*S</t>
    </r>
    <r>
      <rPr>
        <vertAlign val="subscript"/>
        <sz val="11"/>
        <color rgb="FF000000"/>
        <rFont val="Calibri"/>
        <family val="2"/>
      </rPr>
      <t>NO2</t>
    </r>
    <r>
      <rPr>
        <sz val="11"/>
        <color indexed="8"/>
        <rFont val="Calibri"/>
        <family val="2"/>
      </rPr>
      <t>/S</t>
    </r>
    <r>
      <rPr>
        <vertAlign val="subscript"/>
        <sz val="11"/>
        <color rgb="FF000000"/>
        <rFont val="Calibri"/>
        <family val="2"/>
      </rPr>
      <t>NOx</t>
    </r>
    <r>
      <rPr>
        <sz val="11"/>
        <color indexed="8"/>
        <rFont val="Calibri"/>
        <family val="2"/>
      </rPr>
      <t>)</t>
    </r>
  </si>
  <si>
    <r>
      <t>-i</t>
    </r>
    <r>
      <rPr>
        <vertAlign val="subscript"/>
        <sz val="11"/>
        <rFont val="Calibri"/>
        <family val="2"/>
        <scheme val="minor"/>
      </rPr>
      <t>CIT,ALGAE</t>
    </r>
  </si>
  <si>
    <r>
      <t>µ</t>
    </r>
    <r>
      <rPr>
        <vertAlign val="subscript"/>
        <sz val="11"/>
        <rFont val="Calibri"/>
        <family val="2"/>
      </rPr>
      <t>ALGAE,T</t>
    </r>
    <r>
      <rPr>
        <sz val="11"/>
        <rFont val="Calibri"/>
        <family val="2"/>
      </rPr>
      <t xml:space="preserve"> * X</t>
    </r>
    <r>
      <rPr>
        <vertAlign val="subscript"/>
        <sz val="11"/>
        <rFont val="Calibri"/>
        <family val="2"/>
      </rPr>
      <t>ALGAE</t>
    </r>
    <r>
      <rPr>
        <sz val="11"/>
        <rFont val="Calibri"/>
        <family val="2"/>
      </rPr>
      <t xml:space="preserve"> * Msat</t>
    </r>
    <r>
      <rPr>
        <vertAlign val="subscript"/>
        <sz val="11"/>
        <rFont val="Calibri"/>
        <family val="2"/>
      </rPr>
      <t xml:space="preserve">SPO4,KPO4,BIO </t>
    </r>
    <r>
      <rPr>
        <sz val="11"/>
        <rFont val="Calibri"/>
        <family val="2"/>
      </rPr>
      <t>* Msat</t>
    </r>
    <r>
      <rPr>
        <vertAlign val="subscript"/>
        <sz val="11"/>
        <rFont val="Calibri"/>
        <family val="2"/>
      </rPr>
      <t>SCO2,KCO2,ALGAE</t>
    </r>
    <r>
      <rPr>
        <sz val="11"/>
        <rFont val="Calibri"/>
        <family val="2"/>
      </rPr>
      <t xml:space="preserve"> * LightSwitch * Msat</t>
    </r>
    <r>
      <rPr>
        <vertAlign val="subscript"/>
        <sz val="11"/>
        <rFont val="Calibri"/>
        <family val="2"/>
      </rPr>
      <t>SNOx,KNOx,ALGAE</t>
    </r>
    <r>
      <rPr>
        <sz val="11"/>
        <rFont val="Calibri"/>
        <family val="2"/>
      </rPr>
      <t xml:space="preserve">  * Minh</t>
    </r>
    <r>
      <rPr>
        <vertAlign val="subscript"/>
        <sz val="11"/>
        <rFont val="Calibri"/>
        <family val="2"/>
      </rPr>
      <t>SNHx,KiNHx,ALGAE</t>
    </r>
  </si>
  <si>
    <t>GenThreePondModel</t>
  </si>
  <si>
    <t>ALGAE growth on Ammonia</t>
  </si>
  <si>
    <r>
      <t>-i</t>
    </r>
    <r>
      <rPr>
        <vertAlign val="subscript"/>
        <sz val="11"/>
        <color indexed="8"/>
        <rFont val="Calibri"/>
        <family val="2"/>
      </rPr>
      <t>N,ALGAE</t>
    </r>
  </si>
  <si>
    <r>
      <t>µ</t>
    </r>
    <r>
      <rPr>
        <vertAlign val="subscript"/>
        <sz val="11"/>
        <rFont val="Calibri"/>
        <family val="2"/>
      </rPr>
      <t>ALGAE,T</t>
    </r>
    <r>
      <rPr>
        <sz val="11"/>
        <rFont val="Calibri"/>
        <family val="2"/>
      </rPr>
      <t xml:space="preserve"> * X</t>
    </r>
    <r>
      <rPr>
        <vertAlign val="subscript"/>
        <sz val="11"/>
        <rFont val="Calibri"/>
        <family val="2"/>
      </rPr>
      <t>ALGAE</t>
    </r>
    <r>
      <rPr>
        <sz val="11"/>
        <rFont val="Calibri"/>
        <family val="2"/>
      </rPr>
      <t xml:space="preserve"> *Msat</t>
    </r>
    <r>
      <rPr>
        <vertAlign val="subscript"/>
        <sz val="11"/>
        <rFont val="Calibri"/>
        <family val="2"/>
      </rPr>
      <t>SNHx,KNHx,ALGAE</t>
    </r>
    <r>
      <rPr>
        <sz val="11"/>
        <rFont val="Calibri"/>
        <family val="2"/>
      </rPr>
      <t>* Msat</t>
    </r>
    <r>
      <rPr>
        <vertAlign val="subscript"/>
        <sz val="11"/>
        <rFont val="Calibri"/>
        <family val="2"/>
      </rPr>
      <t xml:space="preserve">SPO4,KPO4,BIO </t>
    </r>
    <r>
      <rPr>
        <sz val="11"/>
        <rFont val="Calibri"/>
        <family val="2"/>
      </rPr>
      <t>* Msat</t>
    </r>
    <r>
      <rPr>
        <vertAlign val="subscript"/>
        <sz val="11"/>
        <rFont val="Calibri"/>
        <family val="2"/>
      </rPr>
      <t>SCO2,KCO2,ALGAE</t>
    </r>
    <r>
      <rPr>
        <sz val="11"/>
        <rFont val="Calibri"/>
        <family val="2"/>
      </rPr>
      <t xml:space="preserve"> * LightSwitch </t>
    </r>
  </si>
  <si>
    <t>ALGAE respiration</t>
  </si>
  <si>
    <r>
      <t>i</t>
    </r>
    <r>
      <rPr>
        <vertAlign val="subscript"/>
        <sz val="11"/>
        <color indexed="8"/>
        <rFont val="Calibri"/>
        <family val="2"/>
      </rPr>
      <t>N,ALGAE</t>
    </r>
  </si>
  <si>
    <r>
      <t>i</t>
    </r>
    <r>
      <rPr>
        <vertAlign val="subscript"/>
        <sz val="11"/>
        <color indexed="8"/>
        <rFont val="Calibri"/>
        <family val="2"/>
      </rPr>
      <t>P,ALGAE</t>
    </r>
  </si>
  <si>
    <r>
      <t>b</t>
    </r>
    <r>
      <rPr>
        <vertAlign val="subscript"/>
        <sz val="11"/>
        <color rgb="FF000000"/>
        <rFont val="Calibri"/>
        <family val="2"/>
      </rPr>
      <t xml:space="preserve">ALGAE,T </t>
    </r>
    <r>
      <rPr>
        <sz val="11"/>
        <color indexed="8"/>
        <rFont val="Calibri"/>
        <family val="2"/>
      </rPr>
      <t>* X</t>
    </r>
    <r>
      <rPr>
        <vertAlign val="subscript"/>
        <sz val="11"/>
        <color rgb="FF000000"/>
        <rFont val="Calibri"/>
        <family val="2"/>
      </rPr>
      <t>ALGAE</t>
    </r>
    <r>
      <rPr>
        <sz val="11"/>
        <color indexed="8"/>
        <rFont val="Calibri"/>
        <family val="2"/>
      </rPr>
      <t xml:space="preserve"> * Msat</t>
    </r>
    <r>
      <rPr>
        <vertAlign val="subscript"/>
        <sz val="11"/>
        <color rgb="FF000000"/>
        <rFont val="Calibri"/>
        <family val="2"/>
      </rPr>
      <t>SO2,KO2,ALGAE</t>
    </r>
  </si>
  <si>
    <t>ALGAE decay</t>
  </si>
  <si>
    <r>
      <t>1-f</t>
    </r>
    <r>
      <rPr>
        <vertAlign val="subscript"/>
        <sz val="11"/>
        <rFont val="Calibri"/>
        <family val="2"/>
      </rPr>
      <t>E</t>
    </r>
  </si>
  <si>
    <r>
      <t>f</t>
    </r>
    <r>
      <rPr>
        <vertAlign val="subscript"/>
        <sz val="11"/>
        <rFont val="Calibri"/>
        <family val="2"/>
      </rPr>
      <t>E</t>
    </r>
  </si>
  <si>
    <r>
      <t>-f</t>
    </r>
    <r>
      <rPr>
        <vertAlign val="subscript"/>
        <sz val="11"/>
        <rFont val="Calibri"/>
        <family val="2"/>
      </rPr>
      <t>E</t>
    </r>
    <r>
      <rPr>
        <sz val="11"/>
        <rFont val="Calibri"/>
        <family val="2"/>
      </rPr>
      <t>*(i</t>
    </r>
    <r>
      <rPr>
        <vertAlign val="subscript"/>
        <sz val="11"/>
        <rFont val="Calibri"/>
        <family val="2"/>
      </rPr>
      <t>N,XE</t>
    </r>
    <r>
      <rPr>
        <sz val="11"/>
        <rFont val="Calibri"/>
        <family val="2"/>
      </rPr>
      <t>-i</t>
    </r>
    <r>
      <rPr>
        <vertAlign val="subscript"/>
        <sz val="11"/>
        <rFont val="Calibri"/>
        <family val="2"/>
      </rPr>
      <t>N,BIO</t>
    </r>
    <r>
      <rPr>
        <sz val="11"/>
        <rFont val="Calibri"/>
        <family val="2"/>
      </rPr>
      <t>)</t>
    </r>
  </si>
  <si>
    <r>
      <t>(1-f</t>
    </r>
    <r>
      <rPr>
        <vertAlign val="subscript"/>
        <sz val="11"/>
        <rFont val="Calibri"/>
        <family val="2"/>
      </rPr>
      <t>E</t>
    </r>
    <r>
      <rPr>
        <sz val="11"/>
        <rFont val="Calibri"/>
        <family val="2"/>
      </rPr>
      <t>)*i</t>
    </r>
    <r>
      <rPr>
        <vertAlign val="subscript"/>
        <sz val="11"/>
        <rFont val="Calibri"/>
        <family val="2"/>
      </rPr>
      <t>N,BIO</t>
    </r>
  </si>
  <si>
    <r>
      <t>i</t>
    </r>
    <r>
      <rPr>
        <vertAlign val="subscript"/>
        <sz val="11"/>
        <color indexed="8"/>
        <rFont val="Calibri"/>
        <family val="2"/>
      </rPr>
      <t>P,ALGAE</t>
    </r>
    <r>
      <rPr>
        <sz val="11"/>
        <color rgb="FF000000"/>
        <rFont val="Calibri"/>
        <family val="2"/>
      </rPr>
      <t>-i</t>
    </r>
    <r>
      <rPr>
        <vertAlign val="subscript"/>
        <sz val="11"/>
        <color indexed="8"/>
        <rFont val="Calibri"/>
        <family val="2"/>
      </rPr>
      <t>P,BIO</t>
    </r>
  </si>
  <si>
    <r>
      <t>(1-f</t>
    </r>
    <r>
      <rPr>
        <vertAlign val="subscript"/>
        <sz val="11"/>
        <rFont val="Calibri"/>
        <family val="2"/>
      </rPr>
      <t>E</t>
    </r>
    <r>
      <rPr>
        <sz val="11"/>
        <rFont val="Calibri"/>
        <family val="2"/>
      </rPr>
      <t>)*i</t>
    </r>
    <r>
      <rPr>
        <vertAlign val="subscript"/>
        <sz val="11"/>
        <rFont val="Calibri"/>
        <family val="2"/>
      </rPr>
      <t>P,BIO</t>
    </r>
  </si>
  <si>
    <r>
      <t>b</t>
    </r>
    <r>
      <rPr>
        <vertAlign val="subscript"/>
        <sz val="11"/>
        <color rgb="FF000000"/>
        <rFont val="Calibri"/>
        <family val="2"/>
      </rPr>
      <t xml:space="preserve">ALGAE,T </t>
    </r>
    <r>
      <rPr>
        <sz val="11"/>
        <color indexed="8"/>
        <rFont val="Calibri"/>
        <family val="2"/>
      </rPr>
      <t>* X</t>
    </r>
    <r>
      <rPr>
        <vertAlign val="subscript"/>
        <sz val="11"/>
        <color rgb="FF000000"/>
        <rFont val="Calibri"/>
        <family val="2"/>
      </rPr>
      <t>ALGAE</t>
    </r>
    <r>
      <rPr>
        <sz val="11"/>
        <color indexed="8"/>
        <rFont val="Calibri"/>
        <family val="2"/>
      </rPr>
      <t xml:space="preserve"> * Minh</t>
    </r>
    <r>
      <rPr>
        <vertAlign val="subscript"/>
        <sz val="11"/>
        <color rgb="FF000000"/>
        <rFont val="Calibri"/>
        <family val="2"/>
      </rPr>
      <t>SO2,KO2,ALGAE</t>
    </r>
  </si>
  <si>
    <t>r105</t>
  </si>
  <si>
    <t>r106</t>
  </si>
  <si>
    <t>r107</t>
  </si>
  <si>
    <t>r108</t>
  </si>
  <si>
    <r>
      <t>i</t>
    </r>
    <r>
      <rPr>
        <vertAlign val="subscript"/>
        <sz val="11"/>
        <rFont val="Calibri"/>
        <family val="2"/>
      </rPr>
      <t>N,ALGAE</t>
    </r>
  </si>
  <si>
    <r>
      <t>i</t>
    </r>
    <r>
      <rPr>
        <vertAlign val="subscript"/>
        <sz val="11"/>
        <rFont val="Calibri"/>
        <family val="2"/>
      </rPr>
      <t>P,ALGAE</t>
    </r>
  </si>
  <si>
    <r>
      <t>X</t>
    </r>
    <r>
      <rPr>
        <b/>
        <vertAlign val="subscript"/>
        <sz val="11"/>
        <rFont val="Calibri"/>
        <family val="2"/>
        <charset val="238"/>
        <scheme val="minor"/>
      </rPr>
      <t>ALGAE</t>
    </r>
  </si>
  <si>
    <t>Photosynthetic organisms (ALGAE)</t>
  </si>
  <si>
    <r>
      <t>Msat</t>
    </r>
    <r>
      <rPr>
        <vertAlign val="subscript"/>
        <sz val="11"/>
        <rFont val="Calibri"/>
        <family val="2"/>
        <scheme val="minor"/>
      </rPr>
      <t>SCO2,KCO2,ALGAE</t>
    </r>
  </si>
  <si>
    <t>Saturation term for CO2 (ALGAE)</t>
  </si>
  <si>
    <r>
      <t>Msat(S</t>
    </r>
    <r>
      <rPr>
        <vertAlign val="subscript"/>
        <sz val="11"/>
        <rFont val="Calibri"/>
        <family val="2"/>
        <scheme val="minor"/>
      </rPr>
      <t>CO2</t>
    </r>
    <r>
      <rPr>
        <sz val="11"/>
        <rFont val="Calibri"/>
        <family val="2"/>
        <scheme val="minor"/>
      </rPr>
      <t>;K</t>
    </r>
    <r>
      <rPr>
        <vertAlign val="subscript"/>
        <sz val="11"/>
        <rFont val="Calibri"/>
        <family val="2"/>
        <scheme val="minor"/>
      </rPr>
      <t>CO2,ALGAE</t>
    </r>
    <r>
      <rPr>
        <sz val="11"/>
        <rFont val="Calibri"/>
        <family val="2"/>
        <scheme val="minor"/>
      </rPr>
      <t>)</t>
    </r>
  </si>
  <si>
    <r>
      <t>Msat</t>
    </r>
    <r>
      <rPr>
        <vertAlign val="subscript"/>
        <sz val="11"/>
        <rFont val="Calibri"/>
        <family val="2"/>
        <scheme val="minor"/>
      </rPr>
      <t>SNOx,KNOx,ALGAE</t>
    </r>
  </si>
  <si>
    <t>Saturation term for NOx (ALGAE)</t>
  </si>
  <si>
    <r>
      <t>Msat(S</t>
    </r>
    <r>
      <rPr>
        <vertAlign val="subscript"/>
        <sz val="11"/>
        <rFont val="Calibri"/>
        <family val="2"/>
        <scheme val="minor"/>
      </rPr>
      <t>NOx</t>
    </r>
    <r>
      <rPr>
        <sz val="11"/>
        <rFont val="Calibri"/>
        <family val="2"/>
        <scheme val="minor"/>
      </rPr>
      <t>;K</t>
    </r>
    <r>
      <rPr>
        <vertAlign val="subscript"/>
        <sz val="11"/>
        <rFont val="Calibri"/>
        <family val="2"/>
        <scheme val="minor"/>
      </rPr>
      <t>NOx,ALGAE</t>
    </r>
    <r>
      <rPr>
        <sz val="11"/>
        <rFont val="Calibri"/>
        <family val="2"/>
        <scheme val="minor"/>
      </rPr>
      <t>)</t>
    </r>
  </si>
  <si>
    <r>
      <t>Msat</t>
    </r>
    <r>
      <rPr>
        <vertAlign val="subscript"/>
        <sz val="11"/>
        <rFont val="Calibri"/>
        <family val="2"/>
        <scheme val="minor"/>
      </rPr>
      <t>SNHx,KNHx,ALGAE</t>
    </r>
  </si>
  <si>
    <t>Saturation term for NHx (ALGAE)</t>
  </si>
  <si>
    <r>
      <t>Msat(S</t>
    </r>
    <r>
      <rPr>
        <vertAlign val="subscript"/>
        <sz val="11"/>
        <rFont val="Calibri"/>
        <family val="2"/>
        <scheme val="minor"/>
      </rPr>
      <t>NHx</t>
    </r>
    <r>
      <rPr>
        <sz val="11"/>
        <rFont val="Calibri"/>
        <family val="2"/>
        <scheme val="minor"/>
      </rPr>
      <t>;K</t>
    </r>
    <r>
      <rPr>
        <vertAlign val="subscript"/>
        <sz val="11"/>
        <rFont val="Calibri"/>
        <family val="2"/>
        <scheme val="minor"/>
      </rPr>
      <t>NHx,ALGAE</t>
    </r>
    <r>
      <rPr>
        <sz val="11"/>
        <rFont val="Calibri"/>
        <family val="2"/>
        <scheme val="minor"/>
      </rPr>
      <t>)</t>
    </r>
  </si>
  <si>
    <r>
      <t>Msat</t>
    </r>
    <r>
      <rPr>
        <vertAlign val="subscript"/>
        <sz val="11"/>
        <rFont val="Calibri"/>
        <family val="2"/>
        <scheme val="minor"/>
      </rPr>
      <t>SO2,KO2,ALGAE</t>
    </r>
  </si>
  <si>
    <t>Saturation term for O2 (ALGAE)</t>
  </si>
  <si>
    <r>
      <t>Msat(S</t>
    </r>
    <r>
      <rPr>
        <vertAlign val="subscript"/>
        <sz val="11"/>
        <rFont val="Calibri"/>
        <family val="2"/>
        <scheme val="minor"/>
      </rPr>
      <t>O2</t>
    </r>
    <r>
      <rPr>
        <sz val="11"/>
        <rFont val="Calibri"/>
        <family val="2"/>
        <scheme val="minor"/>
      </rPr>
      <t>;K</t>
    </r>
    <r>
      <rPr>
        <vertAlign val="subscript"/>
        <sz val="11"/>
        <rFont val="Calibri"/>
        <family val="2"/>
        <scheme val="minor"/>
      </rPr>
      <t>O2,ALGAE</t>
    </r>
    <r>
      <rPr>
        <sz val="11"/>
        <rFont val="Calibri"/>
        <family val="2"/>
        <scheme val="minor"/>
      </rPr>
      <t>)</t>
    </r>
  </si>
  <si>
    <r>
      <t>Minh</t>
    </r>
    <r>
      <rPr>
        <vertAlign val="subscript"/>
        <sz val="11"/>
        <rFont val="Calibri"/>
        <family val="2"/>
        <scheme val="minor"/>
      </rPr>
      <t>SO2,KO2,ALGAE</t>
    </r>
  </si>
  <si>
    <t>Inhibition term for O2 (ALGAE)</t>
  </si>
  <si>
    <r>
      <t>Minh(S</t>
    </r>
    <r>
      <rPr>
        <vertAlign val="subscript"/>
        <sz val="11"/>
        <rFont val="Calibri"/>
        <family val="2"/>
        <scheme val="minor"/>
      </rPr>
      <t>O2</t>
    </r>
    <r>
      <rPr>
        <sz val="11"/>
        <rFont val="Calibri"/>
        <family val="2"/>
        <scheme val="minor"/>
      </rPr>
      <t>;K</t>
    </r>
    <r>
      <rPr>
        <vertAlign val="subscript"/>
        <sz val="11"/>
        <rFont val="Calibri"/>
        <family val="2"/>
        <scheme val="minor"/>
      </rPr>
      <t>O2,ALGAE</t>
    </r>
    <r>
      <rPr>
        <sz val="11"/>
        <rFont val="Calibri"/>
        <family val="2"/>
        <scheme val="minor"/>
      </rPr>
      <t>)</t>
    </r>
  </si>
  <si>
    <r>
      <t>Minh</t>
    </r>
    <r>
      <rPr>
        <vertAlign val="subscript"/>
        <sz val="11"/>
        <rFont val="Calibri"/>
        <family val="2"/>
        <scheme val="minor"/>
      </rPr>
      <t>SNHx,KiNHx,ALGAE</t>
    </r>
  </si>
  <si>
    <t>Inhibition term for NHx (ALGAE)</t>
  </si>
  <si>
    <r>
      <t>Minh(S</t>
    </r>
    <r>
      <rPr>
        <vertAlign val="subscript"/>
        <sz val="11"/>
        <rFont val="Calibri"/>
        <family val="2"/>
        <scheme val="minor"/>
      </rPr>
      <t>NHx</t>
    </r>
    <r>
      <rPr>
        <sz val="11"/>
        <rFont val="Calibri"/>
        <family val="2"/>
        <scheme val="minor"/>
      </rPr>
      <t>;Ki</t>
    </r>
    <r>
      <rPr>
        <vertAlign val="subscript"/>
        <sz val="11"/>
        <rFont val="Calibri"/>
        <family val="2"/>
        <scheme val="minor"/>
      </rPr>
      <t>NHx,ALGAE</t>
    </r>
    <r>
      <rPr>
        <sz val="11"/>
        <rFont val="Calibri"/>
        <family val="2"/>
        <scheme val="minor"/>
      </rPr>
      <t>)</t>
    </r>
  </si>
  <si>
    <t>Pond calculated variables</t>
  </si>
  <si>
    <t>LightSwitch</t>
  </si>
  <si>
    <t>Light switch to account for solar irradiation and TSS shading</t>
  </si>
  <si>
    <r>
      <t>µ</t>
    </r>
    <r>
      <rPr>
        <vertAlign val="subscript"/>
        <sz val="11"/>
        <color indexed="8"/>
        <rFont val="Calibri"/>
        <family val="2"/>
      </rPr>
      <t>ALGAE,T</t>
    </r>
  </si>
  <si>
    <t>Maximum specific growth rate of ALGAE (temperature corrected)</t>
  </si>
  <si>
    <r>
      <t>µ</t>
    </r>
    <r>
      <rPr>
        <vertAlign val="subscript"/>
        <sz val="11"/>
        <color indexed="8"/>
        <rFont val="Calibri"/>
        <family val="2"/>
      </rPr>
      <t>ALGAE</t>
    </r>
    <r>
      <rPr>
        <sz val="11"/>
        <color indexed="8"/>
        <rFont val="Calibri"/>
        <family val="2"/>
      </rPr>
      <t>*Arrh(θ</t>
    </r>
    <r>
      <rPr>
        <vertAlign val="subscript"/>
        <sz val="11"/>
        <color indexed="8"/>
        <rFont val="Calibri"/>
        <family val="2"/>
      </rPr>
      <t>µ,ALGAE</t>
    </r>
    <r>
      <rPr>
        <sz val="11"/>
        <color indexed="8"/>
        <rFont val="Calibri"/>
        <family val="2"/>
      </rPr>
      <t>; T; T</t>
    </r>
    <r>
      <rPr>
        <vertAlign val="subscript"/>
        <sz val="11"/>
        <color indexed="8"/>
        <rFont val="Calibri"/>
        <family val="2"/>
      </rPr>
      <t>base</t>
    </r>
    <r>
      <rPr>
        <sz val="11"/>
        <color indexed="8"/>
        <rFont val="Calibri"/>
        <family val="2"/>
      </rPr>
      <t>)</t>
    </r>
  </si>
  <si>
    <r>
      <t>b</t>
    </r>
    <r>
      <rPr>
        <vertAlign val="subscript"/>
        <sz val="11"/>
        <color indexed="8"/>
        <rFont val="Calibri"/>
        <family val="2"/>
      </rPr>
      <t>ALGAE,T</t>
    </r>
  </si>
  <si>
    <t>Respiration rate of ALGAE (temperature corrected)</t>
  </si>
  <si>
    <r>
      <t>b</t>
    </r>
    <r>
      <rPr>
        <vertAlign val="subscript"/>
        <sz val="11"/>
        <color indexed="8"/>
        <rFont val="Calibri"/>
        <family val="2"/>
      </rPr>
      <t>ALGAE</t>
    </r>
    <r>
      <rPr>
        <sz val="11"/>
        <color indexed="8"/>
        <rFont val="Calibri"/>
        <family val="2"/>
      </rPr>
      <t>*Arrh(θ</t>
    </r>
    <r>
      <rPr>
        <vertAlign val="subscript"/>
        <sz val="11"/>
        <color indexed="8"/>
        <rFont val="Calibri"/>
        <family val="2"/>
      </rPr>
      <t>b,ALGAE</t>
    </r>
    <r>
      <rPr>
        <sz val="11"/>
        <color indexed="8"/>
        <rFont val="Calibri"/>
        <family val="2"/>
      </rPr>
      <t>;T;T</t>
    </r>
    <r>
      <rPr>
        <vertAlign val="subscript"/>
        <sz val="11"/>
        <color indexed="8"/>
        <rFont val="Calibri"/>
        <family val="2"/>
      </rPr>
      <t>base</t>
    </r>
    <r>
      <rPr>
        <sz val="11"/>
        <color indexed="8"/>
        <rFont val="Calibri"/>
        <family val="2"/>
      </rPr>
      <t>)</t>
    </r>
  </si>
  <si>
    <t>Environmental Variables</t>
  </si>
  <si>
    <t>Solar Irradiation</t>
  </si>
  <si>
    <t>W.m-2</t>
  </si>
  <si>
    <t>Optimal irradiation for photosynthesis</t>
  </si>
  <si>
    <t>TSS concentration for calculating light extinction switching factor</t>
  </si>
  <si>
    <t>g.m-3</t>
  </si>
  <si>
    <r>
      <t>X</t>
    </r>
    <r>
      <rPr>
        <vertAlign val="subscript"/>
        <sz val="11"/>
        <rFont val="Calibri"/>
        <family val="2"/>
        <scheme val="minor"/>
      </rPr>
      <t>HET</t>
    </r>
  </si>
  <si>
    <r>
      <t>MRsat</t>
    </r>
    <r>
      <rPr>
        <vertAlign val="subscript"/>
        <sz val="11"/>
        <rFont val="Calibri"/>
        <family val="2"/>
        <scheme val="minor"/>
      </rPr>
      <t>XB,XHET,KHYD</t>
    </r>
  </si>
  <si>
    <r>
      <rPr>
        <sz val="11"/>
        <rFont val="Calibri"/>
        <family val="2"/>
        <scheme val="minor"/>
      </rPr>
      <t>MRsat</t>
    </r>
    <r>
      <rPr>
        <vertAlign val="subscript"/>
        <sz val="11"/>
        <rFont val="Calibri"/>
        <family val="2"/>
        <scheme val="minor"/>
      </rPr>
      <t>XEana,XHET,KHYD</t>
    </r>
  </si>
  <si>
    <r>
      <t>MRsat(X</t>
    </r>
    <r>
      <rPr>
        <vertAlign val="subscript"/>
        <sz val="11"/>
        <rFont val="Calibri"/>
        <family val="2"/>
        <scheme val="minor"/>
      </rPr>
      <t>B</t>
    </r>
    <r>
      <rPr>
        <sz val="11"/>
        <rFont val="Calibri"/>
        <family val="2"/>
        <scheme val="minor"/>
      </rPr>
      <t>;X</t>
    </r>
    <r>
      <rPr>
        <vertAlign val="subscript"/>
        <sz val="11"/>
        <rFont val="Calibri"/>
        <family val="2"/>
        <scheme val="minor"/>
      </rPr>
      <t>HET</t>
    </r>
    <r>
      <rPr>
        <sz val="11"/>
        <rFont val="Calibri"/>
        <family val="2"/>
        <scheme val="minor"/>
      </rPr>
      <t>;K</t>
    </r>
    <r>
      <rPr>
        <vertAlign val="subscript"/>
        <sz val="11"/>
        <rFont val="Calibri"/>
        <family val="2"/>
        <scheme val="minor"/>
      </rPr>
      <t>HYD</t>
    </r>
    <r>
      <rPr>
        <sz val="11"/>
        <rFont val="Calibri"/>
        <family val="2"/>
        <scheme val="minor"/>
      </rPr>
      <t>)</t>
    </r>
  </si>
  <si>
    <r>
      <t>MRsat(X</t>
    </r>
    <r>
      <rPr>
        <vertAlign val="subscript"/>
        <sz val="11"/>
        <rFont val="Calibri"/>
        <family val="2"/>
        <scheme val="minor"/>
      </rPr>
      <t>E,ana</t>
    </r>
    <r>
      <rPr>
        <sz val="11"/>
        <rFont val="Calibri"/>
        <family val="2"/>
        <scheme val="minor"/>
      </rPr>
      <t>;X</t>
    </r>
    <r>
      <rPr>
        <vertAlign val="subscript"/>
        <sz val="11"/>
        <rFont val="Calibri"/>
        <family val="2"/>
        <scheme val="minor"/>
      </rPr>
      <t>HET</t>
    </r>
    <r>
      <rPr>
        <sz val="11"/>
        <rFont val="Calibri"/>
        <family val="2"/>
        <scheme val="minor"/>
      </rPr>
      <t>;K</t>
    </r>
    <r>
      <rPr>
        <vertAlign val="subscript"/>
        <sz val="11"/>
        <rFont val="Calibri"/>
        <family val="2"/>
        <scheme val="minor"/>
      </rPr>
      <t>HYD</t>
    </r>
    <r>
      <rPr>
        <sz val="11"/>
        <rFont val="Calibri"/>
        <family val="2"/>
        <scheme val="minor"/>
      </rPr>
      <t>)</t>
    </r>
  </si>
  <si>
    <r>
      <t>q</t>
    </r>
    <r>
      <rPr>
        <vertAlign val="subscript"/>
        <sz val="11"/>
        <rFont val="Calibri"/>
        <family val="2"/>
      </rPr>
      <t>AMMON,T</t>
    </r>
    <r>
      <rPr>
        <sz val="11"/>
        <rFont val="Calibri"/>
        <family val="2"/>
      </rPr>
      <t>*S</t>
    </r>
    <r>
      <rPr>
        <vertAlign val="subscript"/>
        <sz val="11"/>
        <rFont val="Calibri"/>
        <family val="2"/>
      </rPr>
      <t>N,B</t>
    </r>
    <r>
      <rPr>
        <sz val="11"/>
        <rFont val="Calibri"/>
        <family val="2"/>
      </rPr>
      <t>*X</t>
    </r>
    <r>
      <rPr>
        <vertAlign val="subscript"/>
        <sz val="11"/>
        <rFont val="Calibri"/>
        <family val="2"/>
      </rPr>
      <t>HET</t>
    </r>
  </si>
  <si>
    <r>
      <t>q</t>
    </r>
    <r>
      <rPr>
        <vertAlign val="subscript"/>
        <sz val="11"/>
        <rFont val="Calibri"/>
        <family val="2"/>
      </rPr>
      <t>SPB,T</t>
    </r>
    <r>
      <rPr>
        <sz val="11"/>
        <rFont val="Calibri"/>
        <family val="2"/>
      </rPr>
      <t>*S</t>
    </r>
    <r>
      <rPr>
        <vertAlign val="subscript"/>
        <sz val="11"/>
        <rFont val="Calibri"/>
        <family val="2"/>
      </rPr>
      <t>P,B</t>
    </r>
    <r>
      <rPr>
        <sz val="11"/>
        <rFont val="Calibri"/>
        <family val="2"/>
      </rPr>
      <t>*X</t>
    </r>
    <r>
      <rPr>
        <vertAlign val="subscript"/>
        <sz val="11"/>
        <rFont val="Calibri"/>
        <family val="2"/>
      </rPr>
      <t>HET</t>
    </r>
  </si>
  <si>
    <r>
      <t>X</t>
    </r>
    <r>
      <rPr>
        <vertAlign val="subscript"/>
        <sz val="11"/>
        <rFont val="Calibri"/>
        <family val="2"/>
        <scheme val="minor"/>
      </rPr>
      <t>OHO</t>
    </r>
    <r>
      <rPr>
        <sz val="11"/>
        <rFont val="Calibri"/>
        <family val="2"/>
        <scheme val="minor"/>
      </rPr>
      <t xml:space="preserve"> + X</t>
    </r>
    <r>
      <rPr>
        <vertAlign val="subscript"/>
        <sz val="11"/>
        <rFont val="Calibri"/>
        <family val="2"/>
        <scheme val="minor"/>
      </rPr>
      <t>CASTO</t>
    </r>
    <r>
      <rPr>
        <sz val="11"/>
        <rFont val="Calibri"/>
        <family val="2"/>
        <scheme val="minor"/>
      </rPr>
      <t xml:space="preserve"> + X</t>
    </r>
    <r>
      <rPr>
        <vertAlign val="subscript"/>
        <sz val="11"/>
        <rFont val="Calibri"/>
        <family val="2"/>
        <scheme val="minor"/>
      </rPr>
      <t>AMETO</t>
    </r>
  </si>
  <si>
    <r>
      <t>-EEQ</t>
    </r>
    <r>
      <rPr>
        <vertAlign val="subscript"/>
        <sz val="11"/>
        <rFont val="Calibri"/>
        <family val="2"/>
      </rPr>
      <t>NO2</t>
    </r>
    <r>
      <rPr>
        <sz val="11"/>
        <rFont val="Calibri"/>
        <family val="2"/>
      </rPr>
      <t>*X</t>
    </r>
    <r>
      <rPr>
        <vertAlign val="subscript"/>
        <sz val="11"/>
        <rFont val="Calibri"/>
        <family val="2"/>
      </rPr>
      <t>OHO</t>
    </r>
    <r>
      <rPr>
        <sz val="11"/>
        <rFont val="Calibri"/>
        <family val="2"/>
      </rPr>
      <t>/X</t>
    </r>
    <r>
      <rPr>
        <vertAlign val="subscript"/>
        <sz val="11"/>
        <rFont val="Calibri"/>
        <family val="2"/>
      </rPr>
      <t>BIO</t>
    </r>
  </si>
  <si>
    <r>
      <t>-EEQ</t>
    </r>
    <r>
      <rPr>
        <vertAlign val="subscript"/>
        <sz val="11"/>
        <rFont val="Calibri"/>
        <family val="2"/>
      </rPr>
      <t>NO2</t>
    </r>
    <r>
      <rPr>
        <sz val="11"/>
        <rFont val="Calibri"/>
        <family val="2"/>
      </rPr>
      <t>*X</t>
    </r>
    <r>
      <rPr>
        <vertAlign val="subscript"/>
        <sz val="11"/>
        <rFont val="Calibri"/>
        <family val="2"/>
      </rPr>
      <t>CASTO</t>
    </r>
    <r>
      <rPr>
        <sz val="11"/>
        <rFont val="Calibri"/>
        <family val="2"/>
      </rPr>
      <t>/X</t>
    </r>
    <r>
      <rPr>
        <vertAlign val="subscript"/>
        <sz val="11"/>
        <rFont val="Calibri"/>
        <family val="2"/>
      </rPr>
      <t>BIO</t>
    </r>
  </si>
  <si>
    <r>
      <t>-EEQ</t>
    </r>
    <r>
      <rPr>
        <vertAlign val="subscript"/>
        <sz val="11"/>
        <rFont val="Calibri"/>
        <family val="2"/>
      </rPr>
      <t>NO2</t>
    </r>
    <r>
      <rPr>
        <sz val="11"/>
        <rFont val="Calibri"/>
        <family val="2"/>
      </rPr>
      <t>*X</t>
    </r>
    <r>
      <rPr>
        <vertAlign val="subscript"/>
        <sz val="11"/>
        <rFont val="Calibri"/>
        <family val="2"/>
      </rPr>
      <t>MEOLO</t>
    </r>
    <r>
      <rPr>
        <sz val="11"/>
        <rFont val="Calibri"/>
        <family val="2"/>
      </rPr>
      <t>/X</t>
    </r>
    <r>
      <rPr>
        <vertAlign val="subscript"/>
        <sz val="11"/>
        <rFont val="Calibri"/>
        <family val="2"/>
      </rPr>
      <t>BIO</t>
    </r>
  </si>
  <si>
    <r>
      <t>-EEQ</t>
    </r>
    <r>
      <rPr>
        <vertAlign val="subscript"/>
        <sz val="11"/>
        <rFont val="Calibri"/>
        <family val="2"/>
      </rPr>
      <t>NO2</t>
    </r>
    <r>
      <rPr>
        <sz val="11"/>
        <rFont val="Calibri"/>
        <family val="2"/>
      </rPr>
      <t>*X</t>
    </r>
    <r>
      <rPr>
        <vertAlign val="subscript"/>
        <sz val="11"/>
        <rFont val="Calibri"/>
        <family val="2"/>
      </rPr>
      <t>AOB</t>
    </r>
    <r>
      <rPr>
        <sz val="11"/>
        <rFont val="Calibri"/>
        <family val="2"/>
      </rPr>
      <t>/X</t>
    </r>
    <r>
      <rPr>
        <vertAlign val="subscript"/>
        <sz val="11"/>
        <rFont val="Calibri"/>
        <family val="2"/>
      </rPr>
      <t>BIO</t>
    </r>
  </si>
  <si>
    <r>
      <t>-EEQ</t>
    </r>
    <r>
      <rPr>
        <vertAlign val="subscript"/>
        <sz val="11"/>
        <rFont val="Calibri"/>
        <family val="2"/>
      </rPr>
      <t>NO2</t>
    </r>
    <r>
      <rPr>
        <sz val="11"/>
        <rFont val="Calibri"/>
        <family val="2"/>
      </rPr>
      <t>*X</t>
    </r>
    <r>
      <rPr>
        <vertAlign val="subscript"/>
        <sz val="11"/>
        <rFont val="Calibri"/>
        <family val="2"/>
      </rPr>
      <t>NOB</t>
    </r>
    <r>
      <rPr>
        <sz val="11"/>
        <rFont val="Calibri"/>
        <family val="2"/>
      </rPr>
      <t>/X</t>
    </r>
    <r>
      <rPr>
        <vertAlign val="subscript"/>
        <sz val="11"/>
        <rFont val="Calibri"/>
        <family val="2"/>
      </rPr>
      <t>BIO</t>
    </r>
  </si>
  <si>
    <r>
      <t>-EEQ</t>
    </r>
    <r>
      <rPr>
        <vertAlign val="subscript"/>
        <sz val="11"/>
        <rFont val="Calibri"/>
        <family val="2"/>
      </rPr>
      <t>NO2</t>
    </r>
    <r>
      <rPr>
        <sz val="11"/>
        <rFont val="Calibri"/>
        <family val="2"/>
      </rPr>
      <t>*X</t>
    </r>
    <r>
      <rPr>
        <vertAlign val="subscript"/>
        <sz val="11"/>
        <rFont val="Calibri"/>
        <family val="2"/>
      </rPr>
      <t>AMX</t>
    </r>
    <r>
      <rPr>
        <sz val="11"/>
        <rFont val="Calibri"/>
        <family val="2"/>
      </rPr>
      <t>/X</t>
    </r>
    <r>
      <rPr>
        <vertAlign val="subscript"/>
        <sz val="11"/>
        <rFont val="Calibri"/>
        <family val="2"/>
      </rPr>
      <t>BIO</t>
    </r>
  </si>
  <si>
    <r>
      <t>-EEQ</t>
    </r>
    <r>
      <rPr>
        <vertAlign val="subscript"/>
        <sz val="11"/>
        <rFont val="Calibri"/>
        <family val="2"/>
      </rPr>
      <t>NO2</t>
    </r>
    <r>
      <rPr>
        <sz val="11"/>
        <rFont val="Calibri"/>
        <family val="2"/>
      </rPr>
      <t>*X</t>
    </r>
    <r>
      <rPr>
        <vertAlign val="subscript"/>
        <sz val="11"/>
        <rFont val="Calibri"/>
        <family val="2"/>
      </rPr>
      <t>AMETO</t>
    </r>
    <r>
      <rPr>
        <sz val="11"/>
        <rFont val="Calibri"/>
        <family val="2"/>
      </rPr>
      <t>/X</t>
    </r>
    <r>
      <rPr>
        <vertAlign val="subscript"/>
        <sz val="11"/>
        <rFont val="Calibri"/>
        <family val="2"/>
      </rPr>
      <t>BIO</t>
    </r>
  </si>
  <si>
    <r>
      <t>-EEQ</t>
    </r>
    <r>
      <rPr>
        <vertAlign val="subscript"/>
        <sz val="11"/>
        <rFont val="Calibri"/>
        <family val="2"/>
      </rPr>
      <t>NO2</t>
    </r>
    <r>
      <rPr>
        <sz val="11"/>
        <rFont val="Calibri"/>
        <family val="2"/>
      </rPr>
      <t>*X</t>
    </r>
    <r>
      <rPr>
        <vertAlign val="subscript"/>
        <sz val="11"/>
        <rFont val="Calibri"/>
        <family val="2"/>
      </rPr>
      <t>HMETO</t>
    </r>
    <r>
      <rPr>
        <sz val="11"/>
        <rFont val="Calibri"/>
        <family val="2"/>
      </rPr>
      <t>/X</t>
    </r>
    <r>
      <rPr>
        <vertAlign val="subscript"/>
        <sz val="11"/>
        <rFont val="Calibri"/>
        <family val="2"/>
      </rPr>
      <t>BIO</t>
    </r>
  </si>
  <si>
    <r>
      <t>-EEQ</t>
    </r>
    <r>
      <rPr>
        <vertAlign val="subscript"/>
        <sz val="11"/>
        <rFont val="Calibri"/>
        <family val="2"/>
      </rPr>
      <t>NO2</t>
    </r>
    <r>
      <rPr>
        <sz val="11"/>
        <rFont val="Calibri"/>
        <family val="2"/>
      </rPr>
      <t>*X</t>
    </r>
    <r>
      <rPr>
        <vertAlign val="subscript"/>
        <sz val="11"/>
        <rFont val="Calibri"/>
        <family val="2"/>
      </rPr>
      <t>ALGAE</t>
    </r>
    <r>
      <rPr>
        <sz val="11"/>
        <rFont val="Calibri"/>
        <family val="2"/>
      </rPr>
      <t>/X</t>
    </r>
    <r>
      <rPr>
        <vertAlign val="subscript"/>
        <sz val="11"/>
        <rFont val="Calibri"/>
        <family val="2"/>
      </rPr>
      <t>BIO</t>
    </r>
  </si>
  <si>
    <r>
      <t>-EEQ</t>
    </r>
    <r>
      <rPr>
        <vertAlign val="subscript"/>
        <sz val="11"/>
        <rFont val="Calibri"/>
        <family val="2"/>
      </rPr>
      <t>NO3</t>
    </r>
    <r>
      <rPr>
        <sz val="11"/>
        <rFont val="Calibri"/>
        <family val="2"/>
      </rPr>
      <t>*X</t>
    </r>
    <r>
      <rPr>
        <vertAlign val="subscript"/>
        <sz val="11"/>
        <rFont val="Calibri"/>
        <family val="2"/>
      </rPr>
      <t>OHO</t>
    </r>
    <r>
      <rPr>
        <sz val="11"/>
        <rFont val="Calibri"/>
        <family val="2"/>
      </rPr>
      <t>/X</t>
    </r>
    <r>
      <rPr>
        <vertAlign val="subscript"/>
        <sz val="11"/>
        <rFont val="Calibri"/>
        <family val="2"/>
      </rPr>
      <t>BIO</t>
    </r>
  </si>
  <si>
    <r>
      <t>-EEQ</t>
    </r>
    <r>
      <rPr>
        <vertAlign val="subscript"/>
        <sz val="11"/>
        <rFont val="Calibri"/>
        <family val="2"/>
      </rPr>
      <t>NO3</t>
    </r>
    <r>
      <rPr>
        <sz val="11"/>
        <rFont val="Calibri"/>
        <family val="2"/>
      </rPr>
      <t>*X</t>
    </r>
    <r>
      <rPr>
        <vertAlign val="subscript"/>
        <sz val="11"/>
        <rFont val="Calibri"/>
        <family val="2"/>
      </rPr>
      <t>CASTO</t>
    </r>
    <r>
      <rPr>
        <sz val="11"/>
        <rFont val="Calibri"/>
        <family val="2"/>
      </rPr>
      <t>/X</t>
    </r>
    <r>
      <rPr>
        <vertAlign val="subscript"/>
        <sz val="11"/>
        <rFont val="Calibri"/>
        <family val="2"/>
      </rPr>
      <t>BIO</t>
    </r>
  </si>
  <si>
    <r>
      <t>-EEQ</t>
    </r>
    <r>
      <rPr>
        <vertAlign val="subscript"/>
        <sz val="11"/>
        <rFont val="Calibri"/>
        <family val="2"/>
      </rPr>
      <t>NO3</t>
    </r>
    <r>
      <rPr>
        <sz val="11"/>
        <rFont val="Calibri"/>
        <family val="2"/>
      </rPr>
      <t>*X</t>
    </r>
    <r>
      <rPr>
        <vertAlign val="subscript"/>
        <sz val="11"/>
        <rFont val="Calibri"/>
        <family val="2"/>
      </rPr>
      <t>MEOLO</t>
    </r>
    <r>
      <rPr>
        <sz val="11"/>
        <rFont val="Calibri"/>
        <family val="2"/>
      </rPr>
      <t>/X</t>
    </r>
    <r>
      <rPr>
        <vertAlign val="subscript"/>
        <sz val="11"/>
        <rFont val="Calibri"/>
        <family val="2"/>
      </rPr>
      <t>BIO</t>
    </r>
  </si>
  <si>
    <r>
      <t>-EEQ</t>
    </r>
    <r>
      <rPr>
        <vertAlign val="subscript"/>
        <sz val="11"/>
        <rFont val="Calibri"/>
        <family val="2"/>
      </rPr>
      <t>NO3</t>
    </r>
    <r>
      <rPr>
        <sz val="11"/>
        <rFont val="Calibri"/>
        <family val="2"/>
      </rPr>
      <t>*X</t>
    </r>
    <r>
      <rPr>
        <vertAlign val="subscript"/>
        <sz val="11"/>
        <rFont val="Calibri"/>
        <family val="2"/>
      </rPr>
      <t>AOB</t>
    </r>
    <r>
      <rPr>
        <sz val="11"/>
        <rFont val="Calibri"/>
        <family val="2"/>
      </rPr>
      <t>/X</t>
    </r>
    <r>
      <rPr>
        <vertAlign val="subscript"/>
        <sz val="11"/>
        <rFont val="Calibri"/>
        <family val="2"/>
      </rPr>
      <t>BIO</t>
    </r>
  </si>
  <si>
    <r>
      <t>-EEQ</t>
    </r>
    <r>
      <rPr>
        <vertAlign val="subscript"/>
        <sz val="11"/>
        <rFont val="Calibri"/>
        <family val="2"/>
      </rPr>
      <t>NO3</t>
    </r>
    <r>
      <rPr>
        <sz val="11"/>
        <rFont val="Calibri"/>
        <family val="2"/>
      </rPr>
      <t>*X</t>
    </r>
    <r>
      <rPr>
        <vertAlign val="subscript"/>
        <sz val="11"/>
        <rFont val="Calibri"/>
        <family val="2"/>
      </rPr>
      <t>NOB</t>
    </r>
    <r>
      <rPr>
        <sz val="11"/>
        <rFont val="Calibri"/>
        <family val="2"/>
      </rPr>
      <t>/X</t>
    </r>
    <r>
      <rPr>
        <vertAlign val="subscript"/>
        <sz val="11"/>
        <rFont val="Calibri"/>
        <family val="2"/>
      </rPr>
      <t>BIO</t>
    </r>
  </si>
  <si>
    <r>
      <t>-EEQ</t>
    </r>
    <r>
      <rPr>
        <vertAlign val="subscript"/>
        <sz val="11"/>
        <rFont val="Calibri"/>
        <family val="2"/>
      </rPr>
      <t>NO3</t>
    </r>
    <r>
      <rPr>
        <sz val="11"/>
        <rFont val="Calibri"/>
        <family val="2"/>
      </rPr>
      <t>*X</t>
    </r>
    <r>
      <rPr>
        <vertAlign val="subscript"/>
        <sz val="11"/>
        <rFont val="Calibri"/>
        <family val="2"/>
      </rPr>
      <t>AMX</t>
    </r>
    <r>
      <rPr>
        <sz val="11"/>
        <rFont val="Calibri"/>
        <family val="2"/>
      </rPr>
      <t>/X</t>
    </r>
    <r>
      <rPr>
        <vertAlign val="subscript"/>
        <sz val="11"/>
        <rFont val="Calibri"/>
        <family val="2"/>
      </rPr>
      <t>BIO</t>
    </r>
  </si>
  <si>
    <r>
      <t>-EEQ</t>
    </r>
    <r>
      <rPr>
        <vertAlign val="subscript"/>
        <sz val="11"/>
        <rFont val="Calibri"/>
        <family val="2"/>
      </rPr>
      <t>NO3</t>
    </r>
    <r>
      <rPr>
        <sz val="11"/>
        <rFont val="Calibri"/>
        <family val="2"/>
      </rPr>
      <t>*X</t>
    </r>
    <r>
      <rPr>
        <vertAlign val="subscript"/>
        <sz val="11"/>
        <rFont val="Calibri"/>
        <family val="2"/>
      </rPr>
      <t>AMETO</t>
    </r>
    <r>
      <rPr>
        <sz val="11"/>
        <rFont val="Calibri"/>
        <family val="2"/>
      </rPr>
      <t>/X</t>
    </r>
    <r>
      <rPr>
        <vertAlign val="subscript"/>
        <sz val="11"/>
        <rFont val="Calibri"/>
        <family val="2"/>
      </rPr>
      <t>BIO</t>
    </r>
  </si>
  <si>
    <r>
      <t>-EEQ</t>
    </r>
    <r>
      <rPr>
        <vertAlign val="subscript"/>
        <sz val="11"/>
        <rFont val="Calibri"/>
        <family val="2"/>
      </rPr>
      <t>NO3</t>
    </r>
    <r>
      <rPr>
        <sz val="11"/>
        <rFont val="Calibri"/>
        <family val="2"/>
      </rPr>
      <t>*X</t>
    </r>
    <r>
      <rPr>
        <vertAlign val="subscript"/>
        <sz val="11"/>
        <rFont val="Calibri"/>
        <family val="2"/>
      </rPr>
      <t>HMETO</t>
    </r>
    <r>
      <rPr>
        <sz val="11"/>
        <rFont val="Calibri"/>
        <family val="2"/>
      </rPr>
      <t>/X</t>
    </r>
    <r>
      <rPr>
        <vertAlign val="subscript"/>
        <sz val="11"/>
        <rFont val="Calibri"/>
        <family val="2"/>
      </rPr>
      <t>BIO</t>
    </r>
  </si>
  <si>
    <r>
      <t>-EEQ</t>
    </r>
    <r>
      <rPr>
        <vertAlign val="subscript"/>
        <sz val="11"/>
        <rFont val="Calibri"/>
        <family val="2"/>
      </rPr>
      <t>NO3</t>
    </r>
    <r>
      <rPr>
        <sz val="11"/>
        <rFont val="Calibri"/>
        <family val="2"/>
      </rPr>
      <t>*X</t>
    </r>
    <r>
      <rPr>
        <vertAlign val="subscript"/>
        <sz val="11"/>
        <rFont val="Calibri"/>
        <family val="2"/>
      </rPr>
      <t>ALGAE</t>
    </r>
    <r>
      <rPr>
        <sz val="11"/>
        <rFont val="Calibri"/>
        <family val="2"/>
      </rPr>
      <t>/X</t>
    </r>
    <r>
      <rPr>
        <vertAlign val="subscript"/>
        <sz val="11"/>
        <rFont val="Calibri"/>
        <family val="2"/>
      </rPr>
      <t>BIO</t>
    </r>
  </si>
  <si>
    <r>
      <t>-EEQ</t>
    </r>
    <r>
      <rPr>
        <vertAlign val="subscript"/>
        <sz val="11"/>
        <rFont val="Calibri"/>
        <family val="2"/>
      </rPr>
      <t>NO2</t>
    </r>
    <r>
      <rPr>
        <sz val="11"/>
        <rFont val="Calibri"/>
        <family val="2"/>
      </rPr>
      <t>*X</t>
    </r>
    <r>
      <rPr>
        <vertAlign val="subscript"/>
        <sz val="11"/>
        <rFont val="Calibri"/>
        <family val="2"/>
      </rPr>
      <t>AHO</t>
    </r>
    <r>
      <rPr>
        <sz val="11"/>
        <rFont val="Calibri"/>
        <family val="2"/>
      </rPr>
      <t>/X</t>
    </r>
    <r>
      <rPr>
        <vertAlign val="subscript"/>
        <sz val="11"/>
        <rFont val="Calibri"/>
        <family val="2"/>
      </rPr>
      <t>BIO</t>
    </r>
  </si>
  <si>
    <r>
      <t>-EEQ</t>
    </r>
    <r>
      <rPr>
        <vertAlign val="subscript"/>
        <sz val="11"/>
        <rFont val="Calibri"/>
        <family val="2"/>
      </rPr>
      <t>NO3</t>
    </r>
    <r>
      <rPr>
        <sz val="11"/>
        <rFont val="Calibri"/>
        <family val="2"/>
      </rPr>
      <t>*X</t>
    </r>
    <r>
      <rPr>
        <vertAlign val="subscript"/>
        <sz val="11"/>
        <rFont val="Calibri"/>
        <family val="2"/>
      </rPr>
      <t>AHO</t>
    </r>
    <r>
      <rPr>
        <sz val="11"/>
        <rFont val="Calibri"/>
        <family val="2"/>
      </rPr>
      <t>/X</t>
    </r>
    <r>
      <rPr>
        <vertAlign val="subscript"/>
        <sz val="11"/>
        <rFont val="Calibri"/>
        <family val="2"/>
      </rPr>
      <t>BIO</t>
    </r>
  </si>
  <si>
    <r>
      <t>(i</t>
    </r>
    <r>
      <rPr>
        <vertAlign val="subscript"/>
        <sz val="11"/>
        <rFont val="Calibri"/>
        <family val="2"/>
      </rPr>
      <t>CIT,BIO</t>
    </r>
    <r>
      <rPr>
        <sz val="11"/>
        <rFont val="Calibri"/>
        <family val="2"/>
      </rPr>
      <t>*EEQ</t>
    </r>
    <r>
      <rPr>
        <vertAlign val="subscript"/>
        <sz val="11"/>
        <rFont val="Calibri"/>
        <family val="2"/>
      </rPr>
      <t>NO2</t>
    </r>
    <r>
      <rPr>
        <sz val="11"/>
        <rFont val="Calibri"/>
        <family val="2"/>
      </rPr>
      <t>*(X</t>
    </r>
    <r>
      <rPr>
        <vertAlign val="subscript"/>
        <sz val="11"/>
        <rFont val="Calibri"/>
        <family val="2"/>
      </rPr>
      <t>BIO</t>
    </r>
    <r>
      <rPr>
        <sz val="11"/>
        <rFont val="Calibri"/>
        <family val="2"/>
      </rPr>
      <t>-X</t>
    </r>
    <r>
      <rPr>
        <vertAlign val="subscript"/>
        <sz val="11"/>
        <rFont val="Calibri"/>
        <family val="2"/>
      </rPr>
      <t>ALGAE</t>
    </r>
    <r>
      <rPr>
        <sz val="11"/>
        <rFont val="Calibri"/>
        <family val="2"/>
      </rPr>
      <t>)+i</t>
    </r>
    <r>
      <rPr>
        <vertAlign val="subscript"/>
        <sz val="11"/>
        <rFont val="Calibri"/>
        <family val="2"/>
      </rPr>
      <t>CIT,ALGAE</t>
    </r>
    <r>
      <rPr>
        <sz val="11"/>
        <rFont val="Calibri"/>
        <family val="2"/>
      </rPr>
      <t>*EEQ</t>
    </r>
    <r>
      <rPr>
        <vertAlign val="subscript"/>
        <sz val="11"/>
        <rFont val="Calibri"/>
        <family val="2"/>
      </rPr>
      <t>NO2</t>
    </r>
    <r>
      <rPr>
        <sz val="11"/>
        <rFont val="Calibri"/>
        <family val="2"/>
      </rPr>
      <t>*X</t>
    </r>
    <r>
      <rPr>
        <vertAlign val="subscript"/>
        <sz val="11"/>
        <rFont val="Calibri"/>
        <family val="2"/>
      </rPr>
      <t>ALGAE</t>
    </r>
    <r>
      <rPr>
        <sz val="11"/>
        <rFont val="Calibri"/>
        <family val="2"/>
      </rPr>
      <t>)/X</t>
    </r>
    <r>
      <rPr>
        <vertAlign val="subscript"/>
        <sz val="11"/>
        <rFont val="Calibri"/>
        <family val="2"/>
      </rPr>
      <t>BIO</t>
    </r>
  </si>
  <si>
    <r>
      <t>(i</t>
    </r>
    <r>
      <rPr>
        <vertAlign val="subscript"/>
        <sz val="11"/>
        <rFont val="Calibri"/>
        <family val="2"/>
      </rPr>
      <t>CIT,BIO</t>
    </r>
    <r>
      <rPr>
        <sz val="11"/>
        <rFont val="Calibri"/>
        <family val="2"/>
      </rPr>
      <t>*EEQ</t>
    </r>
    <r>
      <rPr>
        <vertAlign val="subscript"/>
        <sz val="11"/>
        <rFont val="Calibri"/>
        <family val="2"/>
      </rPr>
      <t>NO3</t>
    </r>
    <r>
      <rPr>
        <sz val="11"/>
        <rFont val="Calibri"/>
        <family val="2"/>
      </rPr>
      <t>*(X</t>
    </r>
    <r>
      <rPr>
        <vertAlign val="subscript"/>
        <sz val="11"/>
        <rFont val="Calibri"/>
        <family val="2"/>
      </rPr>
      <t>BIO</t>
    </r>
    <r>
      <rPr>
        <sz val="11"/>
        <rFont val="Calibri"/>
        <family val="2"/>
      </rPr>
      <t>-X</t>
    </r>
    <r>
      <rPr>
        <vertAlign val="subscript"/>
        <sz val="11"/>
        <rFont val="Calibri"/>
        <family val="2"/>
      </rPr>
      <t>ALGAE</t>
    </r>
    <r>
      <rPr>
        <sz val="11"/>
        <rFont val="Calibri"/>
        <family val="2"/>
      </rPr>
      <t>)+i</t>
    </r>
    <r>
      <rPr>
        <vertAlign val="subscript"/>
        <sz val="11"/>
        <rFont val="Calibri"/>
        <family val="2"/>
      </rPr>
      <t>CIT,ALGAE</t>
    </r>
    <r>
      <rPr>
        <sz val="11"/>
        <rFont val="Calibri"/>
        <family val="2"/>
      </rPr>
      <t>*EEQ</t>
    </r>
    <r>
      <rPr>
        <vertAlign val="subscript"/>
        <sz val="11"/>
        <rFont val="Calibri"/>
        <family val="2"/>
      </rPr>
      <t>NO3</t>
    </r>
    <r>
      <rPr>
        <sz val="11"/>
        <rFont val="Calibri"/>
        <family val="2"/>
      </rPr>
      <t>*X</t>
    </r>
    <r>
      <rPr>
        <vertAlign val="subscript"/>
        <sz val="11"/>
        <rFont val="Calibri"/>
        <family val="2"/>
      </rPr>
      <t>ALGAE</t>
    </r>
    <r>
      <rPr>
        <sz val="11"/>
        <rFont val="Calibri"/>
        <family val="2"/>
      </rPr>
      <t>)/X</t>
    </r>
    <r>
      <rPr>
        <vertAlign val="subscript"/>
        <sz val="11"/>
        <rFont val="Calibri"/>
        <family val="2"/>
      </rPr>
      <t>BIO</t>
    </r>
  </si>
  <si>
    <r>
      <t>q</t>
    </r>
    <r>
      <rPr>
        <vertAlign val="subscript"/>
        <sz val="11"/>
        <rFont val="Calibri"/>
        <family val="2"/>
      </rPr>
      <t>ASSIM,T</t>
    </r>
    <r>
      <rPr>
        <sz val="11"/>
        <rFont val="Calibri"/>
        <family val="2"/>
      </rPr>
      <t>*X</t>
    </r>
    <r>
      <rPr>
        <vertAlign val="subscript"/>
        <sz val="11"/>
        <rFont val="Calibri"/>
        <family val="2"/>
      </rPr>
      <t>BIO</t>
    </r>
    <r>
      <rPr>
        <sz val="11"/>
        <rFont val="Calibri"/>
        <family val="2"/>
      </rPr>
      <t>*Msat</t>
    </r>
    <r>
      <rPr>
        <vertAlign val="subscript"/>
        <sz val="11"/>
        <rFont val="Calibri"/>
        <family val="2"/>
      </rPr>
      <t>SNO2,KNO2,ASSIM</t>
    </r>
    <r>
      <rPr>
        <sz val="11"/>
        <rFont val="Calibri"/>
        <family val="2"/>
      </rPr>
      <t>*Minh</t>
    </r>
    <r>
      <rPr>
        <vertAlign val="subscript"/>
        <sz val="11"/>
        <rFont val="Calibri"/>
        <family val="2"/>
      </rPr>
      <t>SNHx,KiNHx,ASSIM</t>
    </r>
  </si>
  <si>
    <r>
      <t>q</t>
    </r>
    <r>
      <rPr>
        <vertAlign val="subscript"/>
        <sz val="11"/>
        <rFont val="Calibri"/>
        <family val="2"/>
      </rPr>
      <t>ASSIM,T</t>
    </r>
    <r>
      <rPr>
        <sz val="11"/>
        <rFont val="Calibri"/>
        <family val="2"/>
      </rPr>
      <t>*X</t>
    </r>
    <r>
      <rPr>
        <vertAlign val="subscript"/>
        <sz val="11"/>
        <rFont val="Calibri"/>
        <family val="2"/>
      </rPr>
      <t>BIO</t>
    </r>
    <r>
      <rPr>
        <sz val="11"/>
        <rFont val="Calibri"/>
        <family val="2"/>
      </rPr>
      <t>*Msat</t>
    </r>
    <r>
      <rPr>
        <vertAlign val="subscript"/>
        <sz val="11"/>
        <rFont val="Calibri"/>
        <family val="2"/>
      </rPr>
      <t>SNO3,KNO3,ASSIM</t>
    </r>
    <r>
      <rPr>
        <sz val="11"/>
        <rFont val="Calibri"/>
        <family val="2"/>
      </rPr>
      <t>*Minh</t>
    </r>
    <r>
      <rPr>
        <vertAlign val="subscript"/>
        <sz val="11"/>
        <rFont val="Calibri"/>
        <family val="2"/>
      </rPr>
      <t>SNO2,KNO2,ASSIM</t>
    </r>
    <r>
      <rPr>
        <sz val="11"/>
        <rFont val="Calibri"/>
        <family val="2"/>
      </rPr>
      <t>*Minh</t>
    </r>
    <r>
      <rPr>
        <vertAlign val="subscript"/>
        <sz val="11"/>
        <rFont val="Calibri"/>
        <family val="2"/>
      </rPr>
      <t>SNHx,KiNHx,ASSIM</t>
    </r>
  </si>
  <si>
    <r>
      <t>1+(i</t>
    </r>
    <r>
      <rPr>
        <vertAlign val="subscript"/>
        <sz val="11"/>
        <rFont val="Calibri"/>
        <family val="2"/>
      </rPr>
      <t>N,BIO</t>
    </r>
    <r>
      <rPr>
        <sz val="11"/>
        <rFont val="Calibri"/>
        <family val="2"/>
      </rPr>
      <t>*(X</t>
    </r>
    <r>
      <rPr>
        <vertAlign val="subscript"/>
        <sz val="11"/>
        <rFont val="Calibri"/>
        <family val="2"/>
      </rPr>
      <t>BIO</t>
    </r>
    <r>
      <rPr>
        <sz val="11"/>
        <rFont val="Calibri"/>
        <family val="2"/>
      </rPr>
      <t>-X</t>
    </r>
    <r>
      <rPr>
        <vertAlign val="subscript"/>
        <sz val="11"/>
        <rFont val="Calibri"/>
        <family val="2"/>
      </rPr>
      <t>ALGAE</t>
    </r>
    <r>
      <rPr>
        <sz val="11"/>
        <rFont val="Calibri"/>
        <family val="2"/>
      </rPr>
      <t>-X</t>
    </r>
    <r>
      <rPr>
        <vertAlign val="subscript"/>
        <sz val="11"/>
        <rFont val="Calibri"/>
        <family val="2"/>
      </rPr>
      <t>AHO</t>
    </r>
    <r>
      <rPr>
        <sz val="11"/>
        <rFont val="Calibri"/>
        <family val="2"/>
      </rPr>
      <t>)+i</t>
    </r>
    <r>
      <rPr>
        <vertAlign val="subscript"/>
        <sz val="11"/>
        <rFont val="Calibri"/>
        <family val="2"/>
      </rPr>
      <t>N,AHO</t>
    </r>
    <r>
      <rPr>
        <sz val="11"/>
        <rFont val="Calibri"/>
        <family val="2"/>
      </rPr>
      <t>*X</t>
    </r>
    <r>
      <rPr>
        <vertAlign val="subscript"/>
        <sz val="11"/>
        <rFont val="Calibri"/>
        <family val="2"/>
      </rPr>
      <t>AHO</t>
    </r>
    <r>
      <rPr>
        <sz val="11"/>
        <rFont val="Calibri"/>
        <family val="2"/>
      </rPr>
      <t>+i</t>
    </r>
    <r>
      <rPr>
        <vertAlign val="subscript"/>
        <sz val="11"/>
        <rFont val="Calibri"/>
        <family val="2"/>
      </rPr>
      <t>N,ALGAE</t>
    </r>
    <r>
      <rPr>
        <sz val="11"/>
        <rFont val="Calibri"/>
        <family val="2"/>
      </rPr>
      <t>*X</t>
    </r>
    <r>
      <rPr>
        <vertAlign val="subscript"/>
        <sz val="11"/>
        <rFont val="Calibri"/>
        <family val="2"/>
      </rPr>
      <t>ALGAE</t>
    </r>
    <r>
      <rPr>
        <sz val="11"/>
        <rFont val="Calibri"/>
        <family val="2"/>
      </rPr>
      <t>)*EEQ</t>
    </r>
    <r>
      <rPr>
        <vertAlign val="subscript"/>
        <sz val="11"/>
        <rFont val="Calibri"/>
        <family val="2"/>
      </rPr>
      <t>NO2</t>
    </r>
    <r>
      <rPr>
        <sz val="11"/>
        <rFont val="Calibri"/>
        <family val="2"/>
      </rPr>
      <t>/X</t>
    </r>
    <r>
      <rPr>
        <vertAlign val="subscript"/>
        <sz val="11"/>
        <rFont val="Calibri"/>
        <family val="2"/>
      </rPr>
      <t>BIO</t>
    </r>
  </si>
  <si>
    <r>
      <t>1+(i</t>
    </r>
    <r>
      <rPr>
        <vertAlign val="subscript"/>
        <sz val="11"/>
        <rFont val="Calibri"/>
        <family val="2"/>
      </rPr>
      <t>N,BIO</t>
    </r>
    <r>
      <rPr>
        <sz val="11"/>
        <rFont val="Calibri"/>
        <family val="2"/>
      </rPr>
      <t>*(X</t>
    </r>
    <r>
      <rPr>
        <vertAlign val="subscript"/>
        <sz val="11"/>
        <rFont val="Calibri"/>
        <family val="2"/>
      </rPr>
      <t>BIO</t>
    </r>
    <r>
      <rPr>
        <sz val="11"/>
        <rFont val="Calibri"/>
        <family val="2"/>
      </rPr>
      <t>-X</t>
    </r>
    <r>
      <rPr>
        <vertAlign val="subscript"/>
        <sz val="11"/>
        <rFont val="Calibri"/>
        <family val="2"/>
      </rPr>
      <t>ALGAE</t>
    </r>
    <r>
      <rPr>
        <sz val="11"/>
        <rFont val="Calibri"/>
        <family val="2"/>
      </rPr>
      <t>-X</t>
    </r>
    <r>
      <rPr>
        <vertAlign val="subscript"/>
        <sz val="11"/>
        <rFont val="Calibri"/>
        <family val="2"/>
      </rPr>
      <t>AHO</t>
    </r>
    <r>
      <rPr>
        <sz val="11"/>
        <rFont val="Calibri"/>
        <family val="2"/>
      </rPr>
      <t>)+i</t>
    </r>
    <r>
      <rPr>
        <vertAlign val="subscript"/>
        <sz val="11"/>
        <rFont val="Calibri"/>
        <family val="2"/>
      </rPr>
      <t>N,AHO</t>
    </r>
    <r>
      <rPr>
        <sz val="11"/>
        <rFont val="Calibri"/>
        <family val="2"/>
      </rPr>
      <t>*X</t>
    </r>
    <r>
      <rPr>
        <vertAlign val="subscript"/>
        <sz val="11"/>
        <rFont val="Calibri"/>
        <family val="2"/>
      </rPr>
      <t>AHO</t>
    </r>
    <r>
      <rPr>
        <sz val="11"/>
        <rFont val="Calibri"/>
        <family val="2"/>
      </rPr>
      <t>+i</t>
    </r>
    <r>
      <rPr>
        <vertAlign val="subscript"/>
        <sz val="11"/>
        <rFont val="Calibri"/>
        <family val="2"/>
      </rPr>
      <t>N,ALGAE</t>
    </r>
    <r>
      <rPr>
        <sz val="11"/>
        <rFont val="Calibri"/>
        <family val="2"/>
      </rPr>
      <t>*X</t>
    </r>
    <r>
      <rPr>
        <vertAlign val="subscript"/>
        <sz val="11"/>
        <rFont val="Calibri"/>
        <family val="2"/>
      </rPr>
      <t>ALGAE</t>
    </r>
    <r>
      <rPr>
        <sz val="11"/>
        <rFont val="Calibri"/>
        <family val="2"/>
      </rPr>
      <t>)*EEQ</t>
    </r>
    <r>
      <rPr>
        <vertAlign val="subscript"/>
        <sz val="11"/>
        <rFont val="Calibri"/>
        <family val="2"/>
      </rPr>
      <t>NO3</t>
    </r>
    <r>
      <rPr>
        <sz val="11"/>
        <rFont val="Calibri"/>
        <family val="2"/>
      </rPr>
      <t>/X</t>
    </r>
    <r>
      <rPr>
        <vertAlign val="subscript"/>
        <sz val="11"/>
        <rFont val="Calibri"/>
        <family val="2"/>
      </rPr>
      <t>BIO</t>
    </r>
  </si>
  <si>
    <r>
      <t>(i</t>
    </r>
    <r>
      <rPr>
        <vertAlign val="subscript"/>
        <sz val="11"/>
        <rFont val="Calibri"/>
        <family val="2"/>
      </rPr>
      <t>P,BIO</t>
    </r>
    <r>
      <rPr>
        <sz val="11"/>
        <rFont val="Calibri"/>
        <family val="2"/>
      </rPr>
      <t>*(X</t>
    </r>
    <r>
      <rPr>
        <vertAlign val="subscript"/>
        <sz val="11"/>
        <rFont val="Calibri"/>
        <family val="2"/>
      </rPr>
      <t>BIO</t>
    </r>
    <r>
      <rPr>
        <sz val="11"/>
        <rFont val="Calibri"/>
        <family val="2"/>
      </rPr>
      <t>-X</t>
    </r>
    <r>
      <rPr>
        <vertAlign val="subscript"/>
        <sz val="11"/>
        <rFont val="Calibri"/>
        <family val="2"/>
      </rPr>
      <t>ALGAE</t>
    </r>
    <r>
      <rPr>
        <sz val="11"/>
        <rFont val="Calibri"/>
        <family val="2"/>
      </rPr>
      <t>-X</t>
    </r>
    <r>
      <rPr>
        <vertAlign val="subscript"/>
        <sz val="11"/>
        <rFont val="Calibri"/>
        <family val="2"/>
      </rPr>
      <t>AHO</t>
    </r>
    <r>
      <rPr>
        <sz val="11"/>
        <rFont val="Calibri"/>
        <family val="2"/>
      </rPr>
      <t>)+i</t>
    </r>
    <r>
      <rPr>
        <vertAlign val="subscript"/>
        <sz val="11"/>
        <rFont val="Calibri"/>
        <family val="2"/>
      </rPr>
      <t>P,AHO</t>
    </r>
    <r>
      <rPr>
        <sz val="11"/>
        <rFont val="Calibri"/>
        <family val="2"/>
      </rPr>
      <t>*X</t>
    </r>
    <r>
      <rPr>
        <vertAlign val="subscript"/>
        <sz val="11"/>
        <rFont val="Calibri"/>
        <family val="2"/>
      </rPr>
      <t>AHO</t>
    </r>
    <r>
      <rPr>
        <sz val="11"/>
        <rFont val="Calibri"/>
        <family val="2"/>
      </rPr>
      <t>+i</t>
    </r>
    <r>
      <rPr>
        <vertAlign val="subscript"/>
        <sz val="11"/>
        <rFont val="Calibri"/>
        <family val="2"/>
      </rPr>
      <t>P,ALGAE</t>
    </r>
    <r>
      <rPr>
        <sz val="11"/>
        <rFont val="Calibri"/>
        <family val="2"/>
      </rPr>
      <t>*X</t>
    </r>
    <r>
      <rPr>
        <vertAlign val="subscript"/>
        <sz val="11"/>
        <rFont val="Calibri"/>
        <family val="2"/>
      </rPr>
      <t>ALGAE</t>
    </r>
    <r>
      <rPr>
        <sz val="11"/>
        <rFont val="Calibri"/>
        <family val="2"/>
      </rPr>
      <t>)*EEQ</t>
    </r>
    <r>
      <rPr>
        <vertAlign val="subscript"/>
        <sz val="11"/>
        <rFont val="Calibri"/>
        <family val="2"/>
      </rPr>
      <t>NO2</t>
    </r>
    <r>
      <rPr>
        <sz val="11"/>
        <rFont val="Calibri"/>
        <family val="2"/>
      </rPr>
      <t>/X</t>
    </r>
    <r>
      <rPr>
        <vertAlign val="subscript"/>
        <sz val="11"/>
        <rFont val="Calibri"/>
        <family val="2"/>
      </rPr>
      <t>BIO</t>
    </r>
  </si>
  <si>
    <r>
      <t>(i</t>
    </r>
    <r>
      <rPr>
        <vertAlign val="subscript"/>
        <sz val="11"/>
        <rFont val="Calibri"/>
        <family val="2"/>
      </rPr>
      <t>P,BIO</t>
    </r>
    <r>
      <rPr>
        <sz val="11"/>
        <rFont val="Calibri"/>
        <family val="2"/>
      </rPr>
      <t>*(X</t>
    </r>
    <r>
      <rPr>
        <vertAlign val="subscript"/>
        <sz val="11"/>
        <rFont val="Calibri"/>
        <family val="2"/>
      </rPr>
      <t>BIO</t>
    </r>
    <r>
      <rPr>
        <sz val="11"/>
        <rFont val="Calibri"/>
        <family val="2"/>
      </rPr>
      <t>-X</t>
    </r>
    <r>
      <rPr>
        <vertAlign val="subscript"/>
        <sz val="11"/>
        <rFont val="Calibri"/>
        <family val="2"/>
      </rPr>
      <t>ALGAE</t>
    </r>
    <r>
      <rPr>
        <sz val="11"/>
        <rFont val="Calibri"/>
        <family val="2"/>
      </rPr>
      <t>-X</t>
    </r>
    <r>
      <rPr>
        <vertAlign val="subscript"/>
        <sz val="11"/>
        <rFont val="Calibri"/>
        <family val="2"/>
      </rPr>
      <t>AHO</t>
    </r>
    <r>
      <rPr>
        <sz val="11"/>
        <rFont val="Calibri"/>
        <family val="2"/>
      </rPr>
      <t>)+i</t>
    </r>
    <r>
      <rPr>
        <vertAlign val="subscript"/>
        <sz val="11"/>
        <rFont val="Calibri"/>
        <family val="2"/>
      </rPr>
      <t>P,AHO</t>
    </r>
    <r>
      <rPr>
        <sz val="11"/>
        <rFont val="Calibri"/>
        <family val="2"/>
      </rPr>
      <t>*X</t>
    </r>
    <r>
      <rPr>
        <vertAlign val="subscript"/>
        <sz val="11"/>
        <rFont val="Calibri"/>
        <family val="2"/>
      </rPr>
      <t>AHO</t>
    </r>
    <r>
      <rPr>
        <sz val="11"/>
        <rFont val="Calibri"/>
        <family val="2"/>
      </rPr>
      <t>+i</t>
    </r>
    <r>
      <rPr>
        <vertAlign val="subscript"/>
        <sz val="11"/>
        <rFont val="Calibri"/>
        <family val="2"/>
      </rPr>
      <t>P,ALGAE</t>
    </r>
    <r>
      <rPr>
        <sz val="11"/>
        <rFont val="Calibri"/>
        <family val="2"/>
      </rPr>
      <t>*X</t>
    </r>
    <r>
      <rPr>
        <vertAlign val="subscript"/>
        <sz val="11"/>
        <rFont val="Calibri"/>
        <family val="2"/>
      </rPr>
      <t>ALGAE</t>
    </r>
    <r>
      <rPr>
        <sz val="11"/>
        <rFont val="Calibri"/>
        <family val="2"/>
      </rPr>
      <t>)*EEQ</t>
    </r>
    <r>
      <rPr>
        <vertAlign val="subscript"/>
        <sz val="11"/>
        <rFont val="Calibri"/>
        <family val="2"/>
      </rPr>
      <t>NO3</t>
    </r>
    <r>
      <rPr>
        <sz val="11"/>
        <rFont val="Calibri"/>
        <family val="2"/>
      </rPr>
      <t>/X</t>
    </r>
    <r>
      <rPr>
        <vertAlign val="subscript"/>
        <sz val="11"/>
        <rFont val="Calibri"/>
        <family val="2"/>
      </rPr>
      <t>BIO</t>
    </r>
  </si>
  <si>
    <r>
      <t>J</t>
    </r>
    <r>
      <rPr>
        <vertAlign val="subscript"/>
        <sz val="11"/>
        <rFont val="Calibri"/>
        <family val="2"/>
        <scheme val="minor"/>
      </rPr>
      <t>photosynt,solar</t>
    </r>
  </si>
  <si>
    <r>
      <t>J</t>
    </r>
    <r>
      <rPr>
        <vertAlign val="subscript"/>
        <sz val="11"/>
        <rFont val="Calibri"/>
        <family val="2"/>
        <scheme val="minor"/>
      </rPr>
      <t>photosynt,solar,opt</t>
    </r>
  </si>
  <si>
    <r>
      <t>K</t>
    </r>
    <r>
      <rPr>
        <vertAlign val="subscript"/>
        <sz val="11"/>
        <rFont val="Calibri"/>
        <family val="2"/>
        <scheme val="minor"/>
      </rPr>
      <t>XTSS,lightextinction</t>
    </r>
  </si>
  <si>
    <r>
      <t>Loginhswitch(X</t>
    </r>
    <r>
      <rPr>
        <vertAlign val="subscript"/>
        <sz val="11"/>
        <color rgb="FF000000"/>
        <rFont val="Calibri"/>
        <family val="2"/>
      </rPr>
      <t>TSS</t>
    </r>
    <r>
      <rPr>
        <sz val="11"/>
        <color indexed="8"/>
        <rFont val="Calibri"/>
        <family val="2"/>
      </rPr>
      <t>/K</t>
    </r>
    <r>
      <rPr>
        <vertAlign val="subscript"/>
        <sz val="11"/>
        <color rgb="FF000000"/>
        <rFont val="Calibri"/>
        <family val="2"/>
      </rPr>
      <t>XTSS,lightextinction</t>
    </r>
    <r>
      <rPr>
        <sz val="11"/>
        <color indexed="8"/>
        <rFont val="Calibri"/>
        <family val="2"/>
      </rPr>
      <t>; 1; 100) * Logsatswitch(J</t>
    </r>
    <r>
      <rPr>
        <vertAlign val="subscript"/>
        <sz val="11"/>
        <color rgb="FF000000"/>
        <rFont val="Calibri"/>
        <family val="2"/>
      </rPr>
      <t>photosynt,solar</t>
    </r>
    <r>
      <rPr>
        <sz val="11"/>
        <color indexed="8"/>
        <rFont val="Calibri"/>
        <family val="2"/>
      </rPr>
      <t>/J</t>
    </r>
    <r>
      <rPr>
        <vertAlign val="subscript"/>
        <sz val="11"/>
        <color rgb="FF000000"/>
        <rFont val="Calibri"/>
        <family val="2"/>
      </rPr>
      <t>photosynt,solar,opt</t>
    </r>
    <r>
      <rPr>
        <sz val="11"/>
        <color indexed="8"/>
        <rFont val="Calibri"/>
        <family val="2"/>
      </rPr>
      <t>;1;100)</t>
    </r>
  </si>
  <si>
    <r>
      <t>Ki</t>
    </r>
    <r>
      <rPr>
        <vertAlign val="subscript"/>
        <sz val="11"/>
        <rFont val="Calibri"/>
        <family val="2"/>
        <scheme val="minor"/>
      </rPr>
      <t>P,HFO,DESORP</t>
    </r>
  </si>
  <si>
    <r>
      <t>K</t>
    </r>
    <r>
      <rPr>
        <vertAlign val="subscript"/>
        <sz val="11"/>
        <rFont val="Calibri"/>
        <family val="2"/>
        <scheme val="minor"/>
      </rPr>
      <t>P,HFO,BIND</t>
    </r>
  </si>
  <si>
    <r>
      <t>q</t>
    </r>
    <r>
      <rPr>
        <vertAlign val="subscript"/>
        <sz val="11"/>
        <rFont val="Calibri"/>
        <family val="2"/>
        <scheme val="minor"/>
      </rPr>
      <t>P,HFO,BIND</t>
    </r>
  </si>
  <si>
    <r>
      <t>q</t>
    </r>
    <r>
      <rPr>
        <vertAlign val="subscript"/>
        <sz val="11"/>
        <rFont val="Calibri"/>
        <family val="2"/>
        <scheme val="minor"/>
      </rPr>
      <t>P,HFO,COPREC</t>
    </r>
  </si>
  <si>
    <r>
      <t>Msat(S</t>
    </r>
    <r>
      <rPr>
        <vertAlign val="subscript"/>
        <sz val="11"/>
        <rFont val="Calibri"/>
        <family val="2"/>
        <scheme val="minor"/>
      </rPr>
      <t>PO4</t>
    </r>
    <r>
      <rPr>
        <sz val="11"/>
        <rFont val="Calibri"/>
        <family val="2"/>
        <scheme val="minor"/>
      </rPr>
      <t>;K</t>
    </r>
    <r>
      <rPr>
        <vertAlign val="subscript"/>
        <sz val="11"/>
        <rFont val="Calibri"/>
        <family val="2"/>
        <scheme val="minor"/>
      </rPr>
      <t>P,HFO,BIND</t>
    </r>
    <r>
      <rPr>
        <sz val="11"/>
        <rFont val="Calibri"/>
        <family val="2"/>
        <scheme val="minor"/>
      </rPr>
      <t>)</t>
    </r>
  </si>
  <si>
    <r>
      <t>Minh(S</t>
    </r>
    <r>
      <rPr>
        <vertAlign val="subscript"/>
        <sz val="11"/>
        <rFont val="Calibri"/>
        <family val="2"/>
        <scheme val="minor"/>
      </rPr>
      <t>PO4</t>
    </r>
    <r>
      <rPr>
        <sz val="11"/>
        <rFont val="Calibri"/>
        <family val="2"/>
        <scheme val="minor"/>
      </rPr>
      <t>;Ki</t>
    </r>
    <r>
      <rPr>
        <vertAlign val="subscript"/>
        <sz val="11"/>
        <rFont val="Calibri"/>
        <family val="2"/>
        <scheme val="minor"/>
      </rPr>
      <t>P,HFO,DESORP</t>
    </r>
    <r>
      <rPr>
        <sz val="11"/>
        <rFont val="Calibri"/>
        <family val="2"/>
        <scheme val="minor"/>
      </rPr>
      <t>)</t>
    </r>
  </si>
  <si>
    <r>
      <t>Minh</t>
    </r>
    <r>
      <rPr>
        <vertAlign val="subscript"/>
        <sz val="11"/>
        <rFont val="Calibri"/>
        <family val="2"/>
        <scheme val="minor"/>
      </rPr>
      <t>SPO4,KiP,HFO,DESORP</t>
    </r>
  </si>
  <si>
    <r>
      <t>Msat</t>
    </r>
    <r>
      <rPr>
        <vertAlign val="subscript"/>
        <sz val="11"/>
        <rFont val="Calibri"/>
        <family val="2"/>
        <scheme val="minor"/>
      </rPr>
      <t>SPO4,KP,HFO,BIND</t>
    </r>
  </si>
  <si>
    <r>
      <t>q</t>
    </r>
    <r>
      <rPr>
        <vertAlign val="subscript"/>
        <sz val="11"/>
        <rFont val="Calibri"/>
        <family val="2"/>
      </rPr>
      <t>P,HFO,COPREC</t>
    </r>
    <r>
      <rPr>
        <sz val="11"/>
        <rFont val="Calibri"/>
        <family val="2"/>
      </rPr>
      <t>*X</t>
    </r>
    <r>
      <rPr>
        <vertAlign val="subscript"/>
        <sz val="11"/>
        <rFont val="Calibri"/>
        <family val="2"/>
      </rPr>
      <t>HFO,H</t>
    </r>
    <r>
      <rPr>
        <sz val="11"/>
        <rFont val="Calibri"/>
        <family val="2"/>
      </rPr>
      <t>*Msat</t>
    </r>
    <r>
      <rPr>
        <vertAlign val="subscript"/>
        <sz val="11"/>
        <rFont val="Calibri"/>
        <family val="2"/>
      </rPr>
      <t>SPO4,KP,HFO,BIND</t>
    </r>
  </si>
  <si>
    <r>
      <t>q</t>
    </r>
    <r>
      <rPr>
        <vertAlign val="subscript"/>
        <sz val="11"/>
        <rFont val="Calibri"/>
        <family val="2"/>
      </rPr>
      <t>P,HFO,BIND</t>
    </r>
    <r>
      <rPr>
        <sz val="11"/>
        <rFont val="Calibri"/>
        <family val="2"/>
      </rPr>
      <t>*X</t>
    </r>
    <r>
      <rPr>
        <vertAlign val="subscript"/>
        <sz val="11"/>
        <rFont val="Calibri"/>
        <family val="2"/>
      </rPr>
      <t>HFO,L</t>
    </r>
    <r>
      <rPr>
        <sz val="11"/>
        <rFont val="Calibri"/>
        <family val="2"/>
      </rPr>
      <t>*Msat</t>
    </r>
    <r>
      <rPr>
        <vertAlign val="subscript"/>
        <sz val="11"/>
        <rFont val="Calibri"/>
        <family val="2"/>
      </rPr>
      <t>SPO4,KP,HFO,BIND</t>
    </r>
  </si>
  <si>
    <r>
      <t>q</t>
    </r>
    <r>
      <rPr>
        <vertAlign val="subscript"/>
        <sz val="11"/>
        <rFont val="Calibri"/>
        <family val="2"/>
      </rPr>
      <t>HFOH,DESORP</t>
    </r>
    <r>
      <rPr>
        <sz val="11"/>
        <rFont val="Calibri"/>
        <family val="2"/>
      </rPr>
      <t>*X</t>
    </r>
    <r>
      <rPr>
        <vertAlign val="subscript"/>
        <sz val="11"/>
        <rFont val="Calibri"/>
        <family val="2"/>
      </rPr>
      <t>HFO,H,P</t>
    </r>
    <r>
      <rPr>
        <sz val="11"/>
        <rFont val="Calibri"/>
        <family val="2"/>
      </rPr>
      <t>*Minh</t>
    </r>
    <r>
      <rPr>
        <vertAlign val="subscript"/>
        <sz val="11"/>
        <rFont val="Calibri"/>
        <family val="2"/>
      </rPr>
      <t>SPO4,KiP,HFO,DESORP</t>
    </r>
  </si>
  <si>
    <r>
      <t>q</t>
    </r>
    <r>
      <rPr>
        <vertAlign val="subscript"/>
        <sz val="11"/>
        <rFont val="Calibri"/>
        <family val="2"/>
      </rPr>
      <t>HFOL,DESORP</t>
    </r>
    <r>
      <rPr>
        <sz val="11"/>
        <rFont val="Calibri"/>
        <family val="2"/>
      </rPr>
      <t>*X</t>
    </r>
    <r>
      <rPr>
        <vertAlign val="subscript"/>
        <sz val="11"/>
        <rFont val="Calibri"/>
        <family val="2"/>
      </rPr>
      <t>HFO,L,P</t>
    </r>
    <r>
      <rPr>
        <sz val="11"/>
        <rFont val="Calibri"/>
        <family val="2"/>
      </rPr>
      <t>*Minh</t>
    </r>
    <r>
      <rPr>
        <vertAlign val="subscript"/>
        <sz val="11"/>
        <rFont val="Calibri"/>
        <family val="2"/>
      </rPr>
      <t>SPO4,KiP,HFO,DESORP</t>
    </r>
  </si>
  <si>
    <r>
      <t>pH</t>
    </r>
    <r>
      <rPr>
        <vertAlign val="subscript"/>
        <sz val="11"/>
        <rFont val="Calibri"/>
        <family val="2"/>
        <scheme val="minor"/>
      </rPr>
      <t>low,AOB</t>
    </r>
  </si>
  <si>
    <t>pH inhibition low value for AOBs</t>
  </si>
  <si>
    <r>
      <t>pH</t>
    </r>
    <r>
      <rPr>
        <vertAlign val="subscript"/>
        <sz val="11"/>
        <rFont val="Calibri"/>
        <family val="2"/>
        <scheme val="minor"/>
      </rPr>
      <t>high,AOB</t>
    </r>
  </si>
  <si>
    <t>pH inhibition high value for AOBs</t>
  </si>
  <si>
    <r>
      <t>pH</t>
    </r>
    <r>
      <rPr>
        <vertAlign val="subscript"/>
        <sz val="11"/>
        <rFont val="Calibri"/>
        <family val="2"/>
        <scheme val="minor"/>
      </rPr>
      <t>low,NOB</t>
    </r>
  </si>
  <si>
    <t>pH inhibition low value for NOBs</t>
  </si>
  <si>
    <r>
      <t>pH</t>
    </r>
    <r>
      <rPr>
        <vertAlign val="subscript"/>
        <sz val="11"/>
        <rFont val="Calibri"/>
        <family val="2"/>
        <scheme val="minor"/>
      </rPr>
      <t>high,NOB</t>
    </r>
  </si>
  <si>
    <t>pH inhibition high value for NOBs</t>
  </si>
  <si>
    <r>
      <t>Bellinh</t>
    </r>
    <r>
      <rPr>
        <vertAlign val="subscript"/>
        <sz val="11"/>
        <rFont val="Calibri"/>
        <family val="2"/>
        <scheme val="minor"/>
      </rPr>
      <t>pH,AOB</t>
    </r>
  </si>
  <si>
    <t>pH inhibition (Bell shaped) (AOB)</t>
  </si>
  <si>
    <r>
      <t>Bellinh(pH;pH</t>
    </r>
    <r>
      <rPr>
        <vertAlign val="subscript"/>
        <sz val="11"/>
        <rFont val="Calibri"/>
        <family val="2"/>
        <scheme val="minor"/>
      </rPr>
      <t>low,AOB</t>
    </r>
    <r>
      <rPr>
        <sz val="11"/>
        <rFont val="Calibri"/>
        <family val="2"/>
        <scheme val="minor"/>
      </rPr>
      <t>;pH</t>
    </r>
    <r>
      <rPr>
        <vertAlign val="subscript"/>
        <sz val="11"/>
        <rFont val="Calibri"/>
        <family val="2"/>
        <scheme val="minor"/>
      </rPr>
      <t>high,AOB</t>
    </r>
    <r>
      <rPr>
        <sz val="11"/>
        <rFont val="Calibri"/>
        <family val="2"/>
        <scheme val="minor"/>
      </rPr>
      <t>)</t>
    </r>
  </si>
  <si>
    <r>
      <t>Bellinh</t>
    </r>
    <r>
      <rPr>
        <vertAlign val="subscript"/>
        <sz val="11"/>
        <rFont val="Calibri"/>
        <family val="2"/>
        <scheme val="minor"/>
      </rPr>
      <t>pH,NOB</t>
    </r>
  </si>
  <si>
    <t>pH inhibition (Bell shaped) (NOB)</t>
  </si>
  <si>
    <r>
      <t>Bellinh(pH;pH</t>
    </r>
    <r>
      <rPr>
        <vertAlign val="subscript"/>
        <sz val="11"/>
        <rFont val="Calibri"/>
        <family val="2"/>
        <scheme val="minor"/>
      </rPr>
      <t>low,NOB</t>
    </r>
    <r>
      <rPr>
        <sz val="11"/>
        <rFont val="Calibri"/>
        <family val="2"/>
        <scheme val="minor"/>
      </rPr>
      <t>;pH</t>
    </r>
    <r>
      <rPr>
        <vertAlign val="subscript"/>
        <sz val="11"/>
        <rFont val="Calibri"/>
        <family val="2"/>
        <scheme val="minor"/>
      </rPr>
      <t>high,NOB</t>
    </r>
    <r>
      <rPr>
        <sz val="11"/>
        <rFont val="Calibri"/>
        <family val="2"/>
        <scheme val="minor"/>
      </rPr>
      <t>)</t>
    </r>
  </si>
  <si>
    <r>
      <t>µ</t>
    </r>
    <r>
      <rPr>
        <vertAlign val="subscript"/>
        <sz val="11"/>
        <rFont val="Calibri"/>
        <family val="2"/>
      </rPr>
      <t>AOB,T</t>
    </r>
    <r>
      <rPr>
        <sz val="11"/>
        <rFont val="Calibri"/>
        <family val="2"/>
      </rPr>
      <t>*X</t>
    </r>
    <r>
      <rPr>
        <vertAlign val="subscript"/>
        <sz val="11"/>
        <rFont val="Calibri"/>
        <family val="2"/>
      </rPr>
      <t>AOB</t>
    </r>
    <r>
      <rPr>
        <sz val="11"/>
        <rFont val="Calibri"/>
        <family val="2"/>
      </rPr>
      <t>*Msat</t>
    </r>
    <r>
      <rPr>
        <vertAlign val="subscript"/>
        <sz val="11"/>
        <rFont val="Calibri"/>
        <family val="2"/>
      </rPr>
      <t>SNHx,KNHx,AOB</t>
    </r>
    <r>
      <rPr>
        <sz val="11"/>
        <rFont val="Calibri"/>
        <family val="2"/>
      </rPr>
      <t>*LogsatpH</t>
    </r>
    <r>
      <rPr>
        <vertAlign val="subscript"/>
        <sz val="11"/>
        <rFont val="Calibri"/>
        <family val="2"/>
      </rPr>
      <t>CO2,AOB</t>
    </r>
    <r>
      <rPr>
        <sz val="11"/>
        <rFont val="Calibri"/>
        <family val="2"/>
      </rPr>
      <t>*Msat</t>
    </r>
    <r>
      <rPr>
        <vertAlign val="subscript"/>
        <sz val="11"/>
        <rFont val="Calibri"/>
        <family val="2"/>
      </rPr>
      <t>SO2,KO2,AOB</t>
    </r>
    <r>
      <rPr>
        <sz val="11"/>
        <rFont val="Calibri"/>
        <family val="2"/>
      </rPr>
      <t>*Msat</t>
    </r>
    <r>
      <rPr>
        <vertAlign val="subscript"/>
        <sz val="11"/>
        <rFont val="Calibri"/>
        <family val="2"/>
      </rPr>
      <t>SPO4,KPO4,BIO</t>
    </r>
    <r>
      <rPr>
        <sz val="11"/>
        <rFont val="Calibri"/>
        <family val="2"/>
      </rPr>
      <t>*Msat</t>
    </r>
    <r>
      <rPr>
        <vertAlign val="subscript"/>
        <sz val="11"/>
        <rFont val="Calibri"/>
        <family val="2"/>
      </rPr>
      <t>SCAT,KCAT</t>
    </r>
    <r>
      <rPr>
        <sz val="11"/>
        <rFont val="Calibri"/>
        <family val="2"/>
      </rPr>
      <t>*Msat</t>
    </r>
    <r>
      <rPr>
        <vertAlign val="subscript"/>
        <sz val="11"/>
        <rFont val="Calibri"/>
        <family val="2"/>
      </rPr>
      <t>SAN,KAN</t>
    </r>
    <r>
      <rPr>
        <sz val="11"/>
        <rFont val="Calibri"/>
        <family val="2"/>
      </rPr>
      <t>*Msat</t>
    </r>
    <r>
      <rPr>
        <vertAlign val="subscript"/>
        <sz val="11"/>
        <rFont val="Calibri"/>
        <family val="2"/>
      </rPr>
      <t>SCa,KCa</t>
    </r>
    <r>
      <rPr>
        <sz val="11"/>
        <rFont val="Calibri"/>
        <family val="2"/>
      </rPr>
      <t>*Msat</t>
    </r>
    <r>
      <rPr>
        <vertAlign val="subscript"/>
        <sz val="11"/>
        <rFont val="Calibri"/>
        <family val="2"/>
      </rPr>
      <t>SMg,KMg</t>
    </r>
    <r>
      <rPr>
        <sz val="11"/>
        <rFont val="Calibri"/>
        <family val="2"/>
      </rPr>
      <t>*MinhpH</t>
    </r>
    <r>
      <rPr>
        <vertAlign val="subscript"/>
        <sz val="11"/>
        <rFont val="Calibri"/>
        <family val="2"/>
      </rPr>
      <t>HNO2,AOB</t>
    </r>
    <r>
      <rPr>
        <sz val="11"/>
        <rFont val="Calibri"/>
        <family val="2"/>
      </rPr>
      <t>*Bellinh</t>
    </r>
    <r>
      <rPr>
        <vertAlign val="subscript"/>
        <sz val="11"/>
        <rFont val="Calibri"/>
        <family val="2"/>
      </rPr>
      <t>pH,AOB</t>
    </r>
  </si>
  <si>
    <r>
      <t>µ</t>
    </r>
    <r>
      <rPr>
        <vertAlign val="subscript"/>
        <sz val="11"/>
        <rFont val="Calibri"/>
        <family val="2"/>
      </rPr>
      <t>NOB,T</t>
    </r>
    <r>
      <rPr>
        <sz val="11"/>
        <rFont val="Calibri"/>
        <family val="2"/>
      </rPr>
      <t>*X</t>
    </r>
    <r>
      <rPr>
        <vertAlign val="subscript"/>
        <sz val="11"/>
        <rFont val="Calibri"/>
        <family val="2"/>
      </rPr>
      <t>NOB</t>
    </r>
    <r>
      <rPr>
        <sz val="11"/>
        <rFont val="Calibri"/>
        <family val="2"/>
      </rPr>
      <t>*Msat</t>
    </r>
    <r>
      <rPr>
        <vertAlign val="subscript"/>
        <sz val="11"/>
        <rFont val="Calibri"/>
        <family val="2"/>
      </rPr>
      <t>SNO2,KNO2,NOB</t>
    </r>
    <r>
      <rPr>
        <sz val="11"/>
        <rFont val="Calibri"/>
        <family val="2"/>
      </rPr>
      <t>*LogsatpH</t>
    </r>
    <r>
      <rPr>
        <vertAlign val="subscript"/>
        <sz val="11"/>
        <rFont val="Calibri"/>
        <family val="2"/>
      </rPr>
      <t>CO2,NOB</t>
    </r>
    <r>
      <rPr>
        <sz val="11"/>
        <rFont val="Calibri"/>
        <family val="2"/>
      </rPr>
      <t>*Msat</t>
    </r>
    <r>
      <rPr>
        <vertAlign val="subscript"/>
        <sz val="11"/>
        <rFont val="Calibri"/>
        <family val="2"/>
      </rPr>
      <t>SO2,KO2,NOB</t>
    </r>
    <r>
      <rPr>
        <sz val="11"/>
        <rFont val="Calibri"/>
        <family val="2"/>
      </rPr>
      <t>*Msat</t>
    </r>
    <r>
      <rPr>
        <vertAlign val="subscript"/>
        <sz val="11"/>
        <rFont val="Calibri"/>
        <family val="2"/>
      </rPr>
      <t>SNHx,KNHx,BIO</t>
    </r>
    <r>
      <rPr>
        <sz val="11"/>
        <rFont val="Calibri"/>
        <family val="2"/>
      </rPr>
      <t>*Msat</t>
    </r>
    <r>
      <rPr>
        <vertAlign val="subscript"/>
        <sz val="11"/>
        <rFont val="Calibri"/>
        <family val="2"/>
      </rPr>
      <t>SPO4,KPO4,BIO</t>
    </r>
    <r>
      <rPr>
        <sz val="11"/>
        <rFont val="Calibri"/>
        <family val="2"/>
      </rPr>
      <t>*Msat</t>
    </r>
    <r>
      <rPr>
        <vertAlign val="subscript"/>
        <sz val="11"/>
        <rFont val="Calibri"/>
        <family val="2"/>
      </rPr>
      <t>SCAT,KCAT</t>
    </r>
    <r>
      <rPr>
        <sz val="11"/>
        <rFont val="Calibri"/>
        <family val="2"/>
      </rPr>
      <t>*Msat</t>
    </r>
    <r>
      <rPr>
        <vertAlign val="subscript"/>
        <sz val="11"/>
        <rFont val="Calibri"/>
        <family val="2"/>
      </rPr>
      <t>SAN,KAN</t>
    </r>
    <r>
      <rPr>
        <sz val="11"/>
        <rFont val="Calibri"/>
        <family val="2"/>
      </rPr>
      <t>*Msat</t>
    </r>
    <r>
      <rPr>
        <vertAlign val="subscript"/>
        <sz val="11"/>
        <rFont val="Calibri"/>
        <family val="2"/>
      </rPr>
      <t>SCa,KCa</t>
    </r>
    <r>
      <rPr>
        <sz val="11"/>
        <rFont val="Calibri"/>
        <family val="2"/>
      </rPr>
      <t>*Msat</t>
    </r>
    <r>
      <rPr>
        <vertAlign val="subscript"/>
        <sz val="11"/>
        <rFont val="Calibri"/>
        <family val="2"/>
      </rPr>
      <t>SMg,KMg</t>
    </r>
    <r>
      <rPr>
        <sz val="11"/>
        <rFont val="Calibri"/>
        <family val="2"/>
      </rPr>
      <t>*MinhpH</t>
    </r>
    <r>
      <rPr>
        <vertAlign val="subscript"/>
        <sz val="11"/>
        <rFont val="Calibri"/>
        <family val="2"/>
      </rPr>
      <t>NH3,NOB</t>
    </r>
    <r>
      <rPr>
        <sz val="11"/>
        <rFont val="Calibri"/>
        <family val="2"/>
      </rPr>
      <t>*Bellinh</t>
    </r>
    <r>
      <rPr>
        <vertAlign val="subscript"/>
        <sz val="11"/>
        <rFont val="Calibri"/>
        <family val="2"/>
      </rPr>
      <t>pH,NOB</t>
    </r>
  </si>
  <si>
    <r>
      <t>(S</t>
    </r>
    <r>
      <rPr>
        <vertAlign val="subscript"/>
        <sz val="11"/>
        <rFont val="Calibri"/>
        <family val="2"/>
        <charset val="238"/>
        <scheme val="minor"/>
      </rPr>
      <t>H</t>
    </r>
    <r>
      <rPr>
        <sz val="11"/>
        <rFont val="Calibri"/>
        <family val="2"/>
        <scheme val="minor"/>
      </rPr>
      <t>-H</t>
    </r>
    <r>
      <rPr>
        <vertAlign val="subscript"/>
        <sz val="11"/>
        <rFont val="Calibri"/>
        <family val="2"/>
        <scheme val="minor"/>
      </rPr>
      <t>STP</t>
    </r>
    <r>
      <rPr>
        <sz val="11"/>
        <rFont val="Calibri"/>
        <family val="2"/>
        <scheme val="minor"/>
      </rPr>
      <t>)/c</t>
    </r>
    <r>
      <rPr>
        <vertAlign val="subscript"/>
        <sz val="11"/>
        <rFont val="Calibri"/>
        <family val="2"/>
        <scheme val="minor"/>
      </rPr>
      <t>p,water</t>
    </r>
  </si>
  <si>
    <r>
      <t>S</t>
    </r>
    <r>
      <rPr>
        <b/>
        <vertAlign val="subscript"/>
        <sz val="11"/>
        <rFont val="Calibri"/>
        <family val="2"/>
        <charset val="238"/>
        <scheme val="minor"/>
      </rPr>
      <t>H</t>
    </r>
  </si>
  <si>
    <r>
      <t>S</t>
    </r>
    <r>
      <rPr>
        <b/>
        <vertAlign val="subscript"/>
        <sz val="12"/>
        <rFont val="Calibri"/>
        <family val="2"/>
        <charset val="238"/>
        <scheme val="minor"/>
      </rPr>
      <t>H</t>
    </r>
  </si>
  <si>
    <t>Non-Input; pHSet; IS</t>
  </si>
  <si>
    <t>Energy</t>
  </si>
  <si>
    <r>
      <t>X</t>
    </r>
    <r>
      <rPr>
        <vertAlign val="subscript"/>
        <sz val="11"/>
        <rFont val="Calibri"/>
        <family val="2"/>
        <scheme val="minor"/>
      </rPr>
      <t>VSS</t>
    </r>
    <r>
      <rPr>
        <sz val="11"/>
        <rFont val="Calibri"/>
        <family val="2"/>
        <scheme val="minor"/>
      </rPr>
      <t>+S</t>
    </r>
    <r>
      <rPr>
        <vertAlign val="subscript"/>
        <sz val="11"/>
        <rFont val="Calibri"/>
        <family val="2"/>
        <scheme val="minor"/>
      </rPr>
      <t>U</t>
    </r>
    <r>
      <rPr>
        <sz val="11"/>
        <rFont val="Calibri"/>
        <family val="2"/>
        <scheme val="minor"/>
      </rPr>
      <t>/i</t>
    </r>
    <r>
      <rPr>
        <vertAlign val="subscript"/>
        <sz val="11"/>
        <rFont val="Calibri"/>
        <family val="2"/>
        <scheme val="minor"/>
      </rPr>
      <t>CV,SU</t>
    </r>
    <r>
      <rPr>
        <sz val="11"/>
        <rFont val="Calibri"/>
        <family val="2"/>
        <scheme val="minor"/>
      </rPr>
      <t>+(S</t>
    </r>
    <r>
      <rPr>
        <vertAlign val="subscript"/>
        <sz val="11"/>
        <rFont val="Calibri"/>
        <family val="2"/>
        <scheme val="minor"/>
      </rPr>
      <t>B,mono</t>
    </r>
    <r>
      <rPr>
        <sz val="11"/>
        <rFont val="Calibri"/>
        <family val="2"/>
        <scheme val="minor"/>
      </rPr>
      <t>+S</t>
    </r>
    <r>
      <rPr>
        <vertAlign val="subscript"/>
        <sz val="11"/>
        <rFont val="Calibri"/>
        <family val="2"/>
        <scheme val="minor"/>
      </rPr>
      <t>B,poly</t>
    </r>
    <r>
      <rPr>
        <sz val="11"/>
        <rFont val="Calibri"/>
        <family val="2"/>
        <scheme val="minor"/>
      </rPr>
      <t>)/i</t>
    </r>
    <r>
      <rPr>
        <vertAlign val="subscript"/>
        <sz val="11"/>
        <rFont val="Calibri"/>
        <family val="2"/>
        <scheme val="minor"/>
      </rPr>
      <t>CV,SB</t>
    </r>
    <r>
      <rPr>
        <sz val="11"/>
        <rFont val="Calibri"/>
        <family val="2"/>
        <scheme val="minor"/>
      </rPr>
      <t>+f</t>
    </r>
    <r>
      <rPr>
        <vertAlign val="subscript"/>
        <sz val="11"/>
        <rFont val="Calibri"/>
        <family val="2"/>
        <scheme val="minor"/>
      </rPr>
      <t>VFA,DM</t>
    </r>
    <r>
      <rPr>
        <sz val="11"/>
        <rFont val="Calibri"/>
        <family val="2"/>
        <scheme val="minor"/>
      </rPr>
      <t>*S</t>
    </r>
    <r>
      <rPr>
        <vertAlign val="subscript"/>
        <sz val="11"/>
        <rFont val="Calibri"/>
        <family val="2"/>
        <scheme val="minor"/>
      </rPr>
      <t>VFA</t>
    </r>
    <r>
      <rPr>
        <sz val="11"/>
        <rFont val="Calibri"/>
        <family val="2"/>
        <scheme val="minor"/>
      </rPr>
      <t>/i</t>
    </r>
    <r>
      <rPr>
        <vertAlign val="subscript"/>
        <sz val="11"/>
        <rFont val="Calibri"/>
        <family val="2"/>
        <scheme val="minor"/>
      </rPr>
      <t>CV,VFA</t>
    </r>
    <r>
      <rPr>
        <sz val="11"/>
        <rFont val="Calibri"/>
        <family val="2"/>
        <scheme val="minor"/>
      </rPr>
      <t>+C</t>
    </r>
    <r>
      <rPr>
        <vertAlign val="subscript"/>
        <sz val="11"/>
        <rFont val="Calibri"/>
        <family val="2"/>
        <scheme val="minor"/>
      </rPr>
      <t>B</t>
    </r>
    <r>
      <rPr>
        <sz val="11"/>
        <rFont val="Calibri"/>
        <family val="2"/>
        <scheme val="minor"/>
      </rPr>
      <t>/i</t>
    </r>
    <r>
      <rPr>
        <vertAlign val="subscript"/>
        <sz val="11"/>
        <rFont val="Calibri"/>
        <family val="2"/>
        <scheme val="minor"/>
      </rPr>
      <t>CV,CB</t>
    </r>
    <r>
      <rPr>
        <sz val="11"/>
        <rFont val="Calibri"/>
        <family val="2"/>
        <scheme val="minor"/>
      </rPr>
      <t>+C</t>
    </r>
    <r>
      <rPr>
        <vertAlign val="subscript"/>
        <sz val="11"/>
        <rFont val="Calibri"/>
        <family val="2"/>
        <scheme val="minor"/>
      </rPr>
      <t>U</t>
    </r>
    <r>
      <rPr>
        <sz val="11"/>
        <rFont val="Calibri"/>
        <family val="2"/>
        <scheme val="minor"/>
      </rPr>
      <t>/i</t>
    </r>
    <r>
      <rPr>
        <vertAlign val="subscript"/>
        <sz val="11"/>
        <rFont val="Calibri"/>
        <family val="2"/>
        <scheme val="minor"/>
      </rPr>
      <t>CV,CU</t>
    </r>
  </si>
  <si>
    <t>Particulate total nitrogen</t>
  </si>
  <si>
    <r>
      <t>T</t>
    </r>
    <r>
      <rPr>
        <vertAlign val="subscript"/>
        <sz val="11"/>
        <rFont val="Calibri"/>
        <family val="2"/>
        <scheme val="minor"/>
      </rPr>
      <t>KN</t>
    </r>
    <r>
      <rPr>
        <sz val="11"/>
        <rFont val="Calibri"/>
        <family val="2"/>
        <scheme val="minor"/>
      </rPr>
      <t>-S</t>
    </r>
    <r>
      <rPr>
        <vertAlign val="subscript"/>
        <sz val="11"/>
        <rFont val="Calibri"/>
        <family val="2"/>
        <scheme val="minor"/>
      </rPr>
      <t>KN</t>
    </r>
  </si>
  <si>
    <r>
      <t>X</t>
    </r>
    <r>
      <rPr>
        <vertAlign val="subscript"/>
        <sz val="11"/>
        <rFont val="Calibri"/>
        <family val="2"/>
        <scheme val="minor"/>
      </rPr>
      <t>P</t>
    </r>
  </si>
  <si>
    <t>Particulate phosphorus</t>
  </si>
  <si>
    <r>
      <t>T</t>
    </r>
    <r>
      <rPr>
        <vertAlign val="subscript"/>
        <sz val="11"/>
        <rFont val="Calibri"/>
        <family val="2"/>
        <scheme val="minor"/>
      </rPr>
      <t>P</t>
    </r>
    <r>
      <rPr>
        <sz val="11"/>
        <rFont val="Calibri"/>
        <family val="2"/>
        <scheme val="minor"/>
      </rPr>
      <t>-S</t>
    </r>
    <r>
      <rPr>
        <vertAlign val="subscript"/>
        <sz val="11"/>
        <rFont val="Calibri"/>
        <family val="2"/>
        <scheme val="minor"/>
      </rPr>
      <t>P</t>
    </r>
  </si>
  <si>
    <r>
      <t>X</t>
    </r>
    <r>
      <rPr>
        <vertAlign val="subscript"/>
        <sz val="11"/>
        <rFont val="Calibri"/>
        <family val="2"/>
        <scheme val="minor"/>
      </rPr>
      <t>KN</t>
    </r>
  </si>
  <si>
    <t>define range in percentage of XBIO limit</t>
  </si>
  <si>
    <r>
      <t>X</t>
    </r>
    <r>
      <rPr>
        <vertAlign val="subscript"/>
        <sz val="11"/>
        <color rgb="FF000000"/>
        <rFont val="Calibri"/>
        <family val="2"/>
        <scheme val="minor"/>
      </rPr>
      <t>HET,HYD,lim</t>
    </r>
  </si>
  <si>
    <r>
      <t>X</t>
    </r>
    <r>
      <rPr>
        <vertAlign val="subscript"/>
        <sz val="11"/>
        <color rgb="FF000000"/>
        <rFont val="Calibri"/>
        <family val="2"/>
        <scheme val="minor"/>
      </rPr>
      <t>HET</t>
    </r>
    <r>
      <rPr>
        <sz val="11"/>
        <color indexed="8"/>
        <rFont val="Calibri"/>
        <family val="2"/>
        <scheme val="minor"/>
      </rPr>
      <t xml:space="preserve"> limit concentration for hydrolysis</t>
    </r>
  </si>
  <si>
    <r>
      <t>Logrange</t>
    </r>
    <r>
      <rPr>
        <vertAlign val="subscript"/>
        <sz val="11"/>
        <rFont val="Calibri"/>
        <family val="2"/>
        <charset val="238"/>
        <scheme val="minor"/>
      </rPr>
      <t>XHET,HYD,lim</t>
    </r>
  </si>
  <si>
    <t>Effective range of logistic switch for XHET limit</t>
  </si>
  <si>
    <r>
      <t>K</t>
    </r>
    <r>
      <rPr>
        <vertAlign val="subscript"/>
        <sz val="11"/>
        <color indexed="8"/>
        <rFont val="Calibri"/>
        <family val="2"/>
        <scheme val="minor"/>
      </rPr>
      <t>CB,FLOC</t>
    </r>
  </si>
  <si>
    <r>
      <t>K</t>
    </r>
    <r>
      <rPr>
        <vertAlign val="subscript"/>
        <sz val="11"/>
        <color indexed="8"/>
        <rFont val="Calibri"/>
        <family val="2"/>
        <scheme val="minor"/>
      </rPr>
      <t>CU,FLOC</t>
    </r>
  </si>
  <si>
    <r>
      <t>K</t>
    </r>
    <r>
      <rPr>
        <vertAlign val="subscript"/>
        <sz val="11"/>
        <color indexed="8"/>
        <rFont val="Calibri"/>
        <family val="2"/>
        <scheme val="minor"/>
      </rPr>
      <t>XB,HYD</t>
    </r>
  </si>
  <si>
    <t>Half-saturation of slowly biodegradable substrate in low biomass condition hydrolysis</t>
  </si>
  <si>
    <t>Goel et al, 1998</t>
  </si>
  <si>
    <r>
      <t>K</t>
    </r>
    <r>
      <rPr>
        <vertAlign val="subscript"/>
        <sz val="11"/>
        <color indexed="8"/>
        <rFont val="Calibri"/>
        <family val="2"/>
        <scheme val="minor"/>
      </rPr>
      <t>XEana,HYD</t>
    </r>
  </si>
  <si>
    <t>Half-saturation of anaerobic endogenous decay products in low biomass condition hydrolysis</t>
  </si>
  <si>
    <t xml:space="preserve">pH and IS parameters </t>
  </si>
  <si>
    <t>set pH when not calculated</t>
  </si>
  <si>
    <t>set IS when not calculated</t>
  </si>
  <si>
    <r>
      <t>Msat</t>
    </r>
    <r>
      <rPr>
        <vertAlign val="subscript"/>
        <sz val="11"/>
        <rFont val="Calibri"/>
        <family val="2"/>
        <scheme val="minor"/>
      </rPr>
      <t>CB,KCB,FLOC</t>
    </r>
  </si>
  <si>
    <t>Saturation term for colloidal biodegradable substrate in low biomass condition (flocculation)</t>
  </si>
  <si>
    <r>
      <t>Msat(C</t>
    </r>
    <r>
      <rPr>
        <vertAlign val="subscript"/>
        <sz val="11"/>
        <rFont val="Calibri"/>
        <family val="2"/>
        <scheme val="minor"/>
      </rPr>
      <t>B</t>
    </r>
    <r>
      <rPr>
        <sz val="11"/>
        <rFont val="Calibri"/>
        <family val="2"/>
        <scheme val="minor"/>
      </rPr>
      <t>;K</t>
    </r>
    <r>
      <rPr>
        <vertAlign val="subscript"/>
        <sz val="11"/>
        <rFont val="Calibri"/>
        <family val="2"/>
        <scheme val="minor"/>
      </rPr>
      <t>CB,FLOC</t>
    </r>
    <r>
      <rPr>
        <sz val="11"/>
        <rFont val="Calibri"/>
        <family val="2"/>
        <scheme val="minor"/>
      </rPr>
      <t>)</t>
    </r>
  </si>
  <si>
    <r>
      <t>Msat</t>
    </r>
    <r>
      <rPr>
        <vertAlign val="subscript"/>
        <sz val="11"/>
        <rFont val="Calibri"/>
        <family val="2"/>
        <scheme val="minor"/>
      </rPr>
      <t>CU,KCU,FLOC</t>
    </r>
  </si>
  <si>
    <t>Saturation term for colloidal unbiodegradable organics in low biomass condition  (floculation)</t>
  </si>
  <si>
    <r>
      <t>Msat(C</t>
    </r>
    <r>
      <rPr>
        <vertAlign val="subscript"/>
        <sz val="11"/>
        <rFont val="Calibri"/>
        <family val="2"/>
        <scheme val="minor"/>
      </rPr>
      <t>U</t>
    </r>
    <r>
      <rPr>
        <sz val="11"/>
        <rFont val="Calibri"/>
        <family val="2"/>
        <scheme val="minor"/>
      </rPr>
      <t>;K</t>
    </r>
    <r>
      <rPr>
        <vertAlign val="subscript"/>
        <sz val="11"/>
        <rFont val="Calibri"/>
        <family val="2"/>
        <scheme val="minor"/>
      </rPr>
      <t>CU,FLOC</t>
    </r>
    <r>
      <rPr>
        <sz val="11"/>
        <rFont val="Calibri"/>
        <family val="2"/>
        <scheme val="minor"/>
      </rPr>
      <t>)</t>
    </r>
  </si>
  <si>
    <r>
      <t>Msat</t>
    </r>
    <r>
      <rPr>
        <vertAlign val="subscript"/>
        <sz val="11"/>
        <rFont val="Calibri"/>
        <family val="2"/>
        <scheme val="minor"/>
      </rPr>
      <t>XB,KXB,HYD</t>
    </r>
  </si>
  <si>
    <t>Saturation term for slowly biodegradable substrate in low biomass condition (hydrolysis)</t>
  </si>
  <si>
    <r>
      <t>Msat(X</t>
    </r>
    <r>
      <rPr>
        <vertAlign val="subscript"/>
        <sz val="11"/>
        <rFont val="Calibri"/>
        <family val="2"/>
        <scheme val="minor"/>
      </rPr>
      <t>B</t>
    </r>
    <r>
      <rPr>
        <sz val="11"/>
        <rFont val="Calibri"/>
        <family val="2"/>
        <scheme val="minor"/>
      </rPr>
      <t>;K</t>
    </r>
    <r>
      <rPr>
        <vertAlign val="subscript"/>
        <sz val="11"/>
        <rFont val="Calibri"/>
        <family val="2"/>
        <scheme val="minor"/>
      </rPr>
      <t>XB,HYD</t>
    </r>
    <r>
      <rPr>
        <sz val="11"/>
        <rFont val="Calibri"/>
        <family val="2"/>
        <scheme val="minor"/>
      </rPr>
      <t>)</t>
    </r>
  </si>
  <si>
    <r>
      <t>Msat</t>
    </r>
    <r>
      <rPr>
        <vertAlign val="subscript"/>
        <sz val="11"/>
        <rFont val="Calibri"/>
        <family val="2"/>
        <scheme val="minor"/>
      </rPr>
      <t>XEana,KXEana,HYD</t>
    </r>
  </si>
  <si>
    <t>Saturation term for anaerobic endogenous decay products in low biomass condition (hydrolysis)</t>
  </si>
  <si>
    <r>
      <t>Msat(X</t>
    </r>
    <r>
      <rPr>
        <vertAlign val="subscript"/>
        <sz val="11"/>
        <rFont val="Calibri"/>
        <family val="2"/>
        <scheme val="minor"/>
      </rPr>
      <t>E,ana</t>
    </r>
    <r>
      <rPr>
        <sz val="11"/>
        <rFont val="Calibri"/>
        <family val="2"/>
        <scheme val="minor"/>
      </rPr>
      <t>;K</t>
    </r>
    <r>
      <rPr>
        <vertAlign val="subscript"/>
        <sz val="11"/>
        <rFont val="Calibri"/>
        <family val="2"/>
        <scheme val="minor"/>
      </rPr>
      <t>XEana,HYD</t>
    </r>
    <r>
      <rPr>
        <sz val="11"/>
        <rFont val="Calibri"/>
        <family val="2"/>
        <scheme val="minor"/>
      </rPr>
      <t>)</t>
    </r>
  </si>
  <si>
    <r>
      <t>Logslope</t>
    </r>
    <r>
      <rPr>
        <vertAlign val="subscript"/>
        <sz val="11"/>
        <rFont val="Calibri"/>
        <family val="2"/>
        <charset val="238"/>
        <scheme val="minor"/>
      </rPr>
      <t>XHET,HYD,lim</t>
    </r>
  </si>
  <si>
    <r>
      <t>Logisticslope(X</t>
    </r>
    <r>
      <rPr>
        <vertAlign val="subscript"/>
        <sz val="11"/>
        <rFont val="Calibri"/>
        <family val="2"/>
        <scheme val="minor"/>
      </rPr>
      <t>HET,HYD,lim</t>
    </r>
    <r>
      <rPr>
        <sz val="11"/>
        <rFont val="Calibri"/>
        <family val="2"/>
        <scheme val="minor"/>
      </rPr>
      <t>; Logrange</t>
    </r>
    <r>
      <rPr>
        <vertAlign val="subscript"/>
        <sz val="11"/>
        <rFont val="Calibri"/>
        <family val="2"/>
        <charset val="238"/>
        <scheme val="minor"/>
      </rPr>
      <t>XHET,HYD,lim</t>
    </r>
    <r>
      <rPr>
        <sz val="11"/>
        <rFont val="Calibri"/>
        <family val="2"/>
        <scheme val="minor"/>
      </rPr>
      <t>)</t>
    </r>
  </si>
  <si>
    <r>
      <t>Logsat</t>
    </r>
    <r>
      <rPr>
        <vertAlign val="subscript"/>
        <sz val="11"/>
        <rFont val="Calibri"/>
        <family val="2"/>
        <scheme val="minor"/>
      </rPr>
      <t>XHET,HYD,lim</t>
    </r>
  </si>
  <si>
    <t>Logistic saturation term for XHET in hydrolysis process</t>
  </si>
  <si>
    <r>
      <t>Logsat(X</t>
    </r>
    <r>
      <rPr>
        <vertAlign val="subscript"/>
        <sz val="11"/>
        <rFont val="Calibri"/>
        <family val="2"/>
        <scheme val="minor"/>
      </rPr>
      <t>HET</t>
    </r>
    <r>
      <rPr>
        <sz val="11"/>
        <rFont val="Calibri"/>
        <family val="2"/>
        <scheme val="minor"/>
      </rPr>
      <t>;X</t>
    </r>
    <r>
      <rPr>
        <vertAlign val="subscript"/>
        <sz val="11"/>
        <rFont val="Calibri"/>
        <family val="2"/>
        <scheme val="minor"/>
      </rPr>
      <t>HET,HYD,lim</t>
    </r>
    <r>
      <rPr>
        <sz val="11"/>
        <rFont val="Calibri"/>
        <family val="2"/>
        <scheme val="minor"/>
      </rPr>
      <t>;Logslope</t>
    </r>
    <r>
      <rPr>
        <vertAlign val="subscript"/>
        <sz val="11"/>
        <rFont val="Calibri"/>
        <family val="2"/>
        <charset val="238"/>
        <scheme val="minor"/>
      </rPr>
      <t>XHET,HYD,lim</t>
    </r>
    <r>
      <rPr>
        <sz val="11"/>
        <rFont val="Calibri"/>
        <family val="2"/>
        <scheme val="minor"/>
      </rPr>
      <t>)</t>
    </r>
  </si>
  <si>
    <r>
      <t>Loginh</t>
    </r>
    <r>
      <rPr>
        <vertAlign val="subscript"/>
        <sz val="11"/>
        <rFont val="Calibri"/>
        <family val="2"/>
        <scheme val="minor"/>
      </rPr>
      <t>XHET,HYD,lim</t>
    </r>
  </si>
  <si>
    <t>Logistic inhibition term for XHET in hydrolysis process</t>
  </si>
  <si>
    <r>
      <t>Loginh(X</t>
    </r>
    <r>
      <rPr>
        <vertAlign val="subscript"/>
        <sz val="11"/>
        <rFont val="Calibri"/>
        <family val="2"/>
        <scheme val="minor"/>
      </rPr>
      <t>HET</t>
    </r>
    <r>
      <rPr>
        <sz val="11"/>
        <rFont val="Calibri"/>
        <family val="2"/>
        <scheme val="minor"/>
      </rPr>
      <t>;X</t>
    </r>
    <r>
      <rPr>
        <vertAlign val="subscript"/>
        <sz val="11"/>
        <rFont val="Calibri"/>
        <family val="2"/>
        <scheme val="minor"/>
      </rPr>
      <t>HET,HYD,lim</t>
    </r>
    <r>
      <rPr>
        <sz val="11"/>
        <rFont val="Calibri"/>
        <family val="2"/>
        <scheme val="minor"/>
      </rPr>
      <t>;Logslope</t>
    </r>
    <r>
      <rPr>
        <vertAlign val="subscript"/>
        <sz val="11"/>
        <rFont val="Calibri"/>
        <family val="2"/>
        <charset val="238"/>
        <scheme val="minor"/>
      </rPr>
      <t>XHET,HYD,lim</t>
    </r>
    <r>
      <rPr>
        <sz val="11"/>
        <rFont val="Calibri"/>
        <family val="2"/>
        <scheme val="minor"/>
      </rPr>
      <t>)</t>
    </r>
  </si>
  <si>
    <t>Unitless</t>
  </si>
  <si>
    <r>
      <t>f</t>
    </r>
    <r>
      <rPr>
        <vertAlign val="subscript"/>
        <sz val="11"/>
        <rFont val="Calibri"/>
        <family val="2"/>
        <scheme val="minor"/>
      </rPr>
      <t>tri,field</t>
    </r>
  </si>
  <si>
    <r>
      <t>10^(-A</t>
    </r>
    <r>
      <rPr>
        <vertAlign val="subscript"/>
        <sz val="11"/>
        <rFont val="Calibri"/>
        <family val="2"/>
        <scheme val="minor"/>
      </rPr>
      <t>Davies</t>
    </r>
    <r>
      <rPr>
        <sz val="11"/>
        <rFont val="Calibri"/>
        <family val="2"/>
        <scheme val="minor"/>
      </rPr>
      <t>*3^(2)*(IS</t>
    </r>
    <r>
      <rPr>
        <vertAlign val="subscript"/>
        <sz val="11"/>
        <rFont val="Calibri"/>
        <family val="2"/>
        <scheme val="minor"/>
      </rPr>
      <t>field</t>
    </r>
    <r>
      <rPr>
        <sz val="11"/>
        <rFont val="Calibri"/>
        <family val="2"/>
        <scheme val="minor"/>
      </rPr>
      <t>^(0.5)/(1+1.5*IS</t>
    </r>
    <r>
      <rPr>
        <vertAlign val="subscript"/>
        <sz val="11"/>
        <rFont val="Calibri"/>
        <family val="2"/>
        <scheme val="minor"/>
      </rPr>
      <t>field</t>
    </r>
    <r>
      <rPr>
        <sz val="11"/>
        <rFont val="Calibri"/>
        <family val="2"/>
        <scheme val="minor"/>
      </rPr>
      <t>^(0.5))-0.3*IS</t>
    </r>
    <r>
      <rPr>
        <vertAlign val="subscript"/>
        <sz val="11"/>
        <rFont val="Calibri"/>
        <family val="2"/>
        <scheme val="minor"/>
      </rPr>
      <t>field</t>
    </r>
    <r>
      <rPr>
        <sz val="11"/>
        <rFont val="Calibri"/>
        <family val="2"/>
        <scheme val="minor"/>
      </rPr>
      <t>))</t>
    </r>
  </si>
  <si>
    <r>
      <t>K</t>
    </r>
    <r>
      <rPr>
        <vertAlign val="subscript"/>
        <sz val="11"/>
        <rFont val="Calibri"/>
        <family val="2"/>
        <scheme val="minor"/>
      </rPr>
      <t>W,T</t>
    </r>
    <r>
      <rPr>
        <sz val="11"/>
        <rFont val="Calibri"/>
        <family val="2"/>
        <scheme val="minor"/>
      </rPr>
      <t>/f</t>
    </r>
    <r>
      <rPr>
        <vertAlign val="subscript"/>
        <sz val="11"/>
        <rFont val="Calibri"/>
        <family val="2"/>
        <scheme val="minor"/>
      </rPr>
      <t>mono,field</t>
    </r>
    <r>
      <rPr>
        <sz val="11"/>
        <rFont val="Calibri"/>
        <family val="2"/>
        <scheme val="minor"/>
      </rPr>
      <t>^2</t>
    </r>
  </si>
  <si>
    <r>
      <t>K</t>
    </r>
    <r>
      <rPr>
        <vertAlign val="subscript"/>
        <sz val="11"/>
        <rFont val="Calibri"/>
        <family val="2"/>
        <scheme val="minor"/>
      </rPr>
      <t>P1,T</t>
    </r>
    <r>
      <rPr>
        <sz val="11"/>
        <rFont val="Calibri"/>
        <family val="2"/>
        <scheme val="minor"/>
      </rPr>
      <t>/f</t>
    </r>
    <r>
      <rPr>
        <vertAlign val="subscript"/>
        <sz val="11"/>
        <rFont val="Calibri"/>
        <family val="2"/>
        <scheme val="minor"/>
      </rPr>
      <t>mono,field</t>
    </r>
    <r>
      <rPr>
        <sz val="11"/>
        <rFont val="Calibri"/>
        <family val="2"/>
        <scheme val="minor"/>
      </rPr>
      <t>^2</t>
    </r>
  </si>
  <si>
    <r>
      <t>K</t>
    </r>
    <r>
      <rPr>
        <vertAlign val="subscript"/>
        <sz val="11"/>
        <rFont val="Calibri"/>
        <family val="2"/>
        <scheme val="minor"/>
      </rPr>
      <t>P2,T</t>
    </r>
    <r>
      <rPr>
        <sz val="11"/>
        <rFont val="Calibri"/>
        <family val="2"/>
        <scheme val="minor"/>
      </rPr>
      <t>/f</t>
    </r>
    <r>
      <rPr>
        <vertAlign val="subscript"/>
        <sz val="11"/>
        <rFont val="Calibri"/>
        <family val="2"/>
        <scheme val="minor"/>
      </rPr>
      <t>di,field</t>
    </r>
  </si>
  <si>
    <r>
      <t>K</t>
    </r>
    <r>
      <rPr>
        <vertAlign val="subscript"/>
        <sz val="11"/>
        <rFont val="Calibri"/>
        <family val="2"/>
        <scheme val="minor"/>
      </rPr>
      <t>P3,T</t>
    </r>
    <r>
      <rPr>
        <sz val="11"/>
        <rFont val="Calibri"/>
        <family val="2"/>
        <scheme val="minor"/>
      </rPr>
      <t>/(f</t>
    </r>
    <r>
      <rPr>
        <vertAlign val="subscript"/>
        <sz val="11"/>
        <rFont val="Calibri"/>
        <family val="2"/>
        <scheme val="minor"/>
      </rPr>
      <t>mono,field</t>
    </r>
    <r>
      <rPr>
        <sz val="11"/>
        <rFont val="Calibri"/>
        <family val="2"/>
        <scheme val="minor"/>
      </rPr>
      <t>*f</t>
    </r>
    <r>
      <rPr>
        <vertAlign val="subscript"/>
        <sz val="11"/>
        <rFont val="Calibri"/>
        <family val="2"/>
        <scheme val="minor"/>
      </rPr>
      <t>tri,field</t>
    </r>
    <r>
      <rPr>
        <sz val="11"/>
        <rFont val="Calibri"/>
        <family val="2"/>
        <scheme val="minor"/>
      </rPr>
      <t>)*f</t>
    </r>
    <r>
      <rPr>
        <vertAlign val="subscript"/>
        <sz val="11"/>
        <rFont val="Calibri"/>
        <family val="2"/>
        <scheme val="minor"/>
      </rPr>
      <t>di,field</t>
    </r>
  </si>
  <si>
    <r>
      <t>K</t>
    </r>
    <r>
      <rPr>
        <vertAlign val="subscript"/>
        <sz val="11"/>
        <rFont val="Calibri"/>
        <family val="2"/>
        <scheme val="minor"/>
      </rPr>
      <t>Ac,T</t>
    </r>
    <r>
      <rPr>
        <sz val="11"/>
        <rFont val="Calibri"/>
        <family val="2"/>
        <scheme val="minor"/>
      </rPr>
      <t>/f</t>
    </r>
    <r>
      <rPr>
        <vertAlign val="subscript"/>
        <sz val="11"/>
        <rFont val="Calibri"/>
        <family val="2"/>
        <scheme val="minor"/>
      </rPr>
      <t>mono,field</t>
    </r>
    <r>
      <rPr>
        <sz val="11"/>
        <rFont val="Calibri"/>
        <family val="2"/>
        <scheme val="minor"/>
      </rPr>
      <t>^2</t>
    </r>
  </si>
  <si>
    <r>
      <t>K</t>
    </r>
    <r>
      <rPr>
        <vertAlign val="subscript"/>
        <sz val="11"/>
        <rFont val="Calibri"/>
        <family val="2"/>
        <scheme val="minor"/>
      </rPr>
      <t>NO2,T</t>
    </r>
    <r>
      <rPr>
        <sz val="11"/>
        <rFont val="Calibri"/>
        <family val="2"/>
        <scheme val="minor"/>
      </rPr>
      <t>/f</t>
    </r>
    <r>
      <rPr>
        <vertAlign val="subscript"/>
        <sz val="11"/>
        <rFont val="Calibri"/>
        <family val="2"/>
        <scheme val="minor"/>
      </rPr>
      <t>mono,field</t>
    </r>
    <r>
      <rPr>
        <sz val="11"/>
        <rFont val="Calibri"/>
        <family val="2"/>
        <scheme val="minor"/>
      </rPr>
      <t>^2</t>
    </r>
  </si>
  <si>
    <r>
      <t>K</t>
    </r>
    <r>
      <rPr>
        <vertAlign val="subscript"/>
        <sz val="11"/>
        <rFont val="Calibri"/>
        <family val="2"/>
        <scheme val="minor"/>
      </rPr>
      <t>sp,CaCO3,param</t>
    </r>
    <r>
      <rPr>
        <sz val="11"/>
        <rFont val="Calibri"/>
        <family val="2"/>
        <scheme val="minor"/>
      </rPr>
      <t>/f</t>
    </r>
    <r>
      <rPr>
        <vertAlign val="subscript"/>
        <sz val="11"/>
        <rFont val="Calibri"/>
        <family val="2"/>
        <scheme val="minor"/>
      </rPr>
      <t>di,field</t>
    </r>
  </si>
  <si>
    <r>
      <t>K</t>
    </r>
    <r>
      <rPr>
        <vertAlign val="subscript"/>
        <sz val="11"/>
        <rFont val="Calibri"/>
        <family val="2"/>
        <scheme val="minor"/>
      </rPr>
      <t>sp,STR,param</t>
    </r>
    <r>
      <rPr>
        <sz val="11"/>
        <rFont val="Calibri"/>
        <family val="2"/>
        <scheme val="minor"/>
      </rPr>
      <t>/(f</t>
    </r>
    <r>
      <rPr>
        <vertAlign val="subscript"/>
        <sz val="11"/>
        <rFont val="Calibri"/>
        <family val="2"/>
        <scheme val="minor"/>
      </rPr>
      <t>di,field</t>
    </r>
    <r>
      <rPr>
        <sz val="11"/>
        <rFont val="Calibri"/>
        <family val="2"/>
        <scheme val="minor"/>
      </rPr>
      <t>^</t>
    </r>
    <r>
      <rPr>
        <vertAlign val="superscript"/>
        <sz val="11"/>
        <rFont val="Calibri"/>
        <family val="2"/>
        <scheme val="minor"/>
      </rPr>
      <t>(1/3)</t>
    </r>
    <r>
      <rPr>
        <sz val="11"/>
        <rFont val="Calibri"/>
        <family val="2"/>
        <scheme val="minor"/>
      </rPr>
      <t>*f</t>
    </r>
    <r>
      <rPr>
        <vertAlign val="subscript"/>
        <sz val="11"/>
        <rFont val="Calibri"/>
        <family val="2"/>
        <scheme val="minor"/>
      </rPr>
      <t>mono,field</t>
    </r>
    <r>
      <rPr>
        <sz val="11"/>
        <rFont val="Calibri"/>
        <family val="2"/>
        <scheme val="minor"/>
      </rPr>
      <t>^</t>
    </r>
    <r>
      <rPr>
        <vertAlign val="superscript"/>
        <sz val="11"/>
        <rFont val="Calibri"/>
        <family val="2"/>
        <scheme val="minor"/>
      </rPr>
      <t>(1/3)</t>
    </r>
    <r>
      <rPr>
        <sz val="11"/>
        <rFont val="Calibri"/>
        <family val="2"/>
        <scheme val="minor"/>
      </rPr>
      <t>*f</t>
    </r>
    <r>
      <rPr>
        <vertAlign val="subscript"/>
        <sz val="11"/>
        <rFont val="Calibri"/>
        <family val="2"/>
        <scheme val="minor"/>
      </rPr>
      <t>tri,field</t>
    </r>
    <r>
      <rPr>
        <sz val="11"/>
        <rFont val="Calibri"/>
        <family val="2"/>
        <scheme val="minor"/>
      </rPr>
      <t>^</t>
    </r>
    <r>
      <rPr>
        <vertAlign val="superscript"/>
        <sz val="11"/>
        <rFont val="Calibri"/>
        <family val="2"/>
        <scheme val="minor"/>
      </rPr>
      <t>(1/3)</t>
    </r>
    <r>
      <rPr>
        <sz val="11"/>
        <rFont val="Calibri"/>
        <family val="2"/>
        <charset val="238"/>
        <scheme val="minor"/>
      </rPr>
      <t>)</t>
    </r>
  </si>
  <si>
    <r>
      <t>K</t>
    </r>
    <r>
      <rPr>
        <vertAlign val="subscript"/>
        <sz val="11"/>
        <rFont val="Calibri"/>
        <family val="2"/>
        <scheme val="minor"/>
      </rPr>
      <t>sp,Vivi,param</t>
    </r>
    <r>
      <rPr>
        <sz val="11"/>
        <rFont val="Calibri"/>
        <family val="2"/>
        <scheme val="minor"/>
      </rPr>
      <t>/(f</t>
    </r>
    <r>
      <rPr>
        <vertAlign val="subscript"/>
        <sz val="11"/>
        <rFont val="Calibri"/>
        <family val="2"/>
        <scheme val="minor"/>
      </rPr>
      <t>di,field</t>
    </r>
    <r>
      <rPr>
        <vertAlign val="superscript"/>
        <sz val="11"/>
        <rFont val="Calibri"/>
        <family val="2"/>
        <scheme val="minor"/>
      </rPr>
      <t>^(3/5)</t>
    </r>
    <r>
      <rPr>
        <sz val="11"/>
        <rFont val="Calibri"/>
        <family val="2"/>
        <scheme val="minor"/>
      </rPr>
      <t>*f</t>
    </r>
    <r>
      <rPr>
        <vertAlign val="subscript"/>
        <sz val="11"/>
        <rFont val="Calibri"/>
        <family val="2"/>
        <scheme val="minor"/>
      </rPr>
      <t>tri,field</t>
    </r>
    <r>
      <rPr>
        <vertAlign val="superscript"/>
        <sz val="11"/>
        <rFont val="Calibri"/>
        <family val="2"/>
        <scheme val="minor"/>
      </rPr>
      <t>^(2/5)</t>
    </r>
    <r>
      <rPr>
        <sz val="11"/>
        <rFont val="Calibri"/>
        <family val="2"/>
        <scheme val="minor"/>
      </rPr>
      <t>)</t>
    </r>
  </si>
  <si>
    <r>
      <t>K</t>
    </r>
    <r>
      <rPr>
        <vertAlign val="subscript"/>
        <sz val="11"/>
        <rFont val="Calibri"/>
        <family val="2"/>
        <scheme val="minor"/>
      </rPr>
      <t>sp,ACP,param</t>
    </r>
    <r>
      <rPr>
        <sz val="11"/>
        <rFont val="Calibri"/>
        <family val="2"/>
        <scheme val="minor"/>
      </rPr>
      <t>/(f</t>
    </r>
    <r>
      <rPr>
        <vertAlign val="subscript"/>
        <sz val="11"/>
        <rFont val="Calibri"/>
        <family val="2"/>
        <scheme val="minor"/>
      </rPr>
      <t>di,field</t>
    </r>
    <r>
      <rPr>
        <vertAlign val="superscript"/>
        <sz val="11"/>
        <rFont val="Calibri"/>
        <family val="2"/>
        <scheme val="minor"/>
      </rPr>
      <t>^(3/5)</t>
    </r>
    <r>
      <rPr>
        <sz val="11"/>
        <rFont val="Calibri"/>
        <family val="2"/>
        <scheme val="minor"/>
      </rPr>
      <t>*f</t>
    </r>
    <r>
      <rPr>
        <vertAlign val="subscript"/>
        <sz val="11"/>
        <rFont val="Calibri"/>
        <family val="2"/>
        <scheme val="minor"/>
      </rPr>
      <t>tri,field</t>
    </r>
    <r>
      <rPr>
        <vertAlign val="superscript"/>
        <sz val="11"/>
        <rFont val="Calibri"/>
        <family val="2"/>
        <scheme val="minor"/>
      </rPr>
      <t>^(2/5)</t>
    </r>
    <r>
      <rPr>
        <sz val="11"/>
        <rFont val="Calibri"/>
        <family val="2"/>
        <scheme val="minor"/>
      </rPr>
      <t>)</t>
    </r>
  </si>
  <si>
    <r>
      <t>K</t>
    </r>
    <r>
      <rPr>
        <vertAlign val="subscript"/>
        <sz val="11"/>
        <rFont val="Calibri"/>
        <family val="2"/>
        <scheme val="minor"/>
      </rPr>
      <t>sp,BSH,param</t>
    </r>
    <r>
      <rPr>
        <sz val="11"/>
        <rFont val="Calibri"/>
        <family val="2"/>
        <scheme val="minor"/>
      </rPr>
      <t>/(f</t>
    </r>
    <r>
      <rPr>
        <vertAlign val="subscript"/>
        <sz val="11"/>
        <rFont val="Calibri"/>
        <family val="2"/>
        <scheme val="minor"/>
      </rPr>
      <t>di,field</t>
    </r>
    <r>
      <rPr>
        <vertAlign val="superscript"/>
        <sz val="11"/>
        <rFont val="Calibri"/>
        <family val="2"/>
        <scheme val="minor"/>
      </rPr>
      <t>^(1/2)</t>
    </r>
    <r>
      <rPr>
        <sz val="11"/>
        <rFont val="Calibri"/>
        <family val="2"/>
        <scheme val="minor"/>
      </rPr>
      <t>*f</t>
    </r>
    <r>
      <rPr>
        <vertAlign val="subscript"/>
        <sz val="11"/>
        <rFont val="Calibri"/>
        <family val="2"/>
        <scheme val="minor"/>
      </rPr>
      <t>di,field</t>
    </r>
    <r>
      <rPr>
        <vertAlign val="superscript"/>
        <sz val="11"/>
        <rFont val="Calibri"/>
        <family val="2"/>
        <scheme val="minor"/>
      </rPr>
      <t>^(1/2)</t>
    </r>
    <r>
      <rPr>
        <sz val="11"/>
        <rFont val="Calibri"/>
        <family val="2"/>
        <scheme val="minor"/>
      </rPr>
      <t>)</t>
    </r>
  </si>
  <si>
    <r>
      <t>[H</t>
    </r>
    <r>
      <rPr>
        <vertAlign val="superscript"/>
        <sz val="11"/>
        <rFont val="Calibri"/>
        <family val="2"/>
      </rPr>
      <t>+</t>
    </r>
    <r>
      <rPr>
        <sz val="11"/>
        <rFont val="Calibri"/>
        <family val="2"/>
      </rPr>
      <t>]</t>
    </r>
  </si>
  <si>
    <r>
      <t>10^(-pH</t>
    </r>
    <r>
      <rPr>
        <vertAlign val="subscript"/>
        <sz val="11"/>
        <rFont val="Calibri"/>
        <family val="2"/>
        <scheme val="minor"/>
      </rPr>
      <t>field</t>
    </r>
    <r>
      <rPr>
        <sz val="11"/>
        <rFont val="Calibri"/>
        <family val="2"/>
        <scheme val="minor"/>
      </rPr>
      <t>)</t>
    </r>
  </si>
  <si>
    <r>
      <t>[H</t>
    </r>
    <r>
      <rPr>
        <b/>
        <vertAlign val="superscript"/>
        <sz val="11"/>
        <rFont val="Calibri"/>
        <family val="2"/>
      </rPr>
      <t>+</t>
    </r>
    <r>
      <rPr>
        <b/>
        <sz val="11"/>
        <rFont val="Calibri"/>
        <family val="2"/>
      </rPr>
      <t>]</t>
    </r>
    <r>
      <rPr>
        <b/>
        <vertAlign val="subscript"/>
        <sz val="11"/>
        <rFont val="Calibri"/>
        <family val="2"/>
      </rPr>
      <t>field</t>
    </r>
  </si>
  <si>
    <r>
      <t>[OH</t>
    </r>
    <r>
      <rPr>
        <vertAlign val="superscript"/>
        <sz val="11"/>
        <rFont val="Calibri"/>
        <family val="2"/>
      </rPr>
      <t>-</t>
    </r>
    <r>
      <rPr>
        <sz val="11"/>
        <rFont val="Calibri"/>
        <family val="2"/>
      </rPr>
      <t>]</t>
    </r>
  </si>
  <si>
    <t>KW/[H+]</t>
  </si>
  <si>
    <r>
      <t>[OH</t>
    </r>
    <r>
      <rPr>
        <b/>
        <vertAlign val="superscript"/>
        <sz val="11"/>
        <rFont val="Calibri"/>
        <family val="2"/>
      </rPr>
      <t>-</t>
    </r>
    <r>
      <rPr>
        <b/>
        <sz val="11"/>
        <rFont val="Calibri"/>
        <family val="2"/>
      </rPr>
      <t>]</t>
    </r>
    <r>
      <rPr>
        <b/>
        <vertAlign val="subscript"/>
        <sz val="11"/>
        <rFont val="Calibri"/>
        <family val="2"/>
      </rPr>
      <t>field</t>
    </r>
  </si>
  <si>
    <r>
      <t>[NH</t>
    </r>
    <r>
      <rPr>
        <vertAlign val="subscript"/>
        <sz val="11"/>
        <rFont val="Calibri"/>
        <family val="2"/>
      </rPr>
      <t>3</t>
    </r>
    <r>
      <rPr>
        <sz val="11"/>
        <rFont val="Calibri"/>
        <family val="2"/>
      </rPr>
      <t>]</t>
    </r>
  </si>
  <si>
    <r>
      <t>(S</t>
    </r>
    <r>
      <rPr>
        <vertAlign val="subscript"/>
        <sz val="11"/>
        <rFont val="Calibri"/>
        <family val="2"/>
      </rPr>
      <t>NHx</t>
    </r>
    <r>
      <rPr>
        <sz val="11"/>
        <rFont val="Calibri"/>
        <family val="2"/>
      </rPr>
      <t>/(AM</t>
    </r>
    <r>
      <rPr>
        <vertAlign val="subscript"/>
        <sz val="11"/>
        <rFont val="Calibri"/>
        <family val="2"/>
      </rPr>
      <t>N</t>
    </r>
    <r>
      <rPr>
        <sz val="11"/>
        <rFont val="Calibri"/>
        <family val="2"/>
      </rPr>
      <t>*1000))*K</t>
    </r>
    <r>
      <rPr>
        <vertAlign val="subscript"/>
        <sz val="11"/>
        <rFont val="Calibri"/>
        <family val="2"/>
      </rPr>
      <t>NH3</t>
    </r>
    <r>
      <rPr>
        <sz val="11"/>
        <rFont val="Calibri"/>
        <family val="2"/>
      </rPr>
      <t>/([H+]+K</t>
    </r>
    <r>
      <rPr>
        <vertAlign val="subscript"/>
        <sz val="11"/>
        <rFont val="Calibri"/>
        <family val="2"/>
      </rPr>
      <t>NH3</t>
    </r>
    <r>
      <rPr>
        <sz val="11"/>
        <rFont val="Calibri"/>
        <family val="2"/>
      </rPr>
      <t>)</t>
    </r>
  </si>
  <si>
    <r>
      <t>[NH</t>
    </r>
    <r>
      <rPr>
        <b/>
        <vertAlign val="subscript"/>
        <sz val="11"/>
        <rFont val="Calibri"/>
        <family val="2"/>
      </rPr>
      <t>3</t>
    </r>
    <r>
      <rPr>
        <b/>
        <sz val="11"/>
        <rFont val="Calibri"/>
        <family val="2"/>
      </rPr>
      <t>]</t>
    </r>
    <r>
      <rPr>
        <b/>
        <vertAlign val="subscript"/>
        <sz val="11"/>
        <rFont val="Calibri"/>
        <family val="2"/>
      </rPr>
      <t>field</t>
    </r>
  </si>
  <si>
    <r>
      <t>[NH</t>
    </r>
    <r>
      <rPr>
        <vertAlign val="subscript"/>
        <sz val="11"/>
        <rFont val="Calibri"/>
        <family val="2"/>
      </rPr>
      <t>4</t>
    </r>
    <r>
      <rPr>
        <vertAlign val="superscript"/>
        <sz val="11"/>
        <rFont val="Calibri"/>
        <family val="2"/>
      </rPr>
      <t>+</t>
    </r>
    <r>
      <rPr>
        <sz val="11"/>
        <rFont val="Calibri"/>
        <family val="2"/>
      </rPr>
      <t>]</t>
    </r>
  </si>
  <si>
    <t>(SNHx/(AMN*1000))*[H+]/([H+]+KNH3)</t>
  </si>
  <si>
    <r>
      <t>[NH</t>
    </r>
    <r>
      <rPr>
        <b/>
        <vertAlign val="subscript"/>
        <sz val="11"/>
        <rFont val="Calibri"/>
        <family val="2"/>
      </rPr>
      <t>4</t>
    </r>
    <r>
      <rPr>
        <b/>
        <vertAlign val="superscript"/>
        <sz val="11"/>
        <rFont val="Calibri"/>
        <family val="2"/>
      </rPr>
      <t>+</t>
    </r>
    <r>
      <rPr>
        <b/>
        <sz val="11"/>
        <rFont val="Calibri"/>
        <family val="2"/>
      </rPr>
      <t>]</t>
    </r>
    <r>
      <rPr>
        <b/>
        <vertAlign val="subscript"/>
        <sz val="11"/>
        <rFont val="Calibri"/>
        <family val="2"/>
      </rPr>
      <t>field</t>
    </r>
  </si>
  <si>
    <r>
      <t>[HNO</t>
    </r>
    <r>
      <rPr>
        <vertAlign val="subscript"/>
        <sz val="11"/>
        <rFont val="Calibri"/>
        <family val="2"/>
      </rPr>
      <t>2</t>
    </r>
    <r>
      <rPr>
        <sz val="11"/>
        <rFont val="Calibri"/>
        <family val="2"/>
      </rPr>
      <t>]</t>
    </r>
  </si>
  <si>
    <r>
      <t>[NO</t>
    </r>
    <r>
      <rPr>
        <vertAlign val="subscript"/>
        <sz val="11"/>
        <rFont val="Calibri"/>
        <family val="2"/>
      </rPr>
      <t>2</t>
    </r>
    <r>
      <rPr>
        <vertAlign val="superscript"/>
        <sz val="11"/>
        <rFont val="Calibri"/>
        <family val="2"/>
      </rPr>
      <t>-</t>
    </r>
    <r>
      <rPr>
        <sz val="11"/>
        <rFont val="Calibri"/>
        <family val="2"/>
      </rPr>
      <t>]</t>
    </r>
  </si>
  <si>
    <r>
      <t>[NO</t>
    </r>
    <r>
      <rPr>
        <vertAlign val="subscript"/>
        <sz val="11"/>
        <rFont val="Calibri"/>
        <family val="2"/>
      </rPr>
      <t>3</t>
    </r>
    <r>
      <rPr>
        <vertAlign val="superscript"/>
        <sz val="11"/>
        <rFont val="Calibri"/>
        <family val="2"/>
      </rPr>
      <t>-</t>
    </r>
    <r>
      <rPr>
        <sz val="11"/>
        <rFont val="Calibri"/>
        <family val="2"/>
      </rPr>
      <t>]</t>
    </r>
  </si>
  <si>
    <r>
      <t>S</t>
    </r>
    <r>
      <rPr>
        <vertAlign val="subscript"/>
        <sz val="11"/>
        <rFont val="Calibri"/>
        <family val="2"/>
      </rPr>
      <t>NOx</t>
    </r>
    <r>
      <rPr>
        <sz val="11"/>
        <rFont val="Calibri"/>
        <family val="2"/>
      </rPr>
      <t>/(AM</t>
    </r>
    <r>
      <rPr>
        <vertAlign val="subscript"/>
        <sz val="11"/>
        <rFont val="Calibri"/>
        <family val="2"/>
      </rPr>
      <t>N</t>
    </r>
    <r>
      <rPr>
        <sz val="11"/>
        <rFont val="Calibri"/>
        <family val="2"/>
      </rPr>
      <t>*1000)</t>
    </r>
  </si>
  <si>
    <r>
      <t>[NO</t>
    </r>
    <r>
      <rPr>
        <b/>
        <vertAlign val="subscript"/>
        <sz val="11"/>
        <rFont val="Calibri"/>
        <family val="2"/>
      </rPr>
      <t>3</t>
    </r>
    <r>
      <rPr>
        <b/>
        <vertAlign val="superscript"/>
        <sz val="11"/>
        <rFont val="Calibri"/>
        <family val="2"/>
      </rPr>
      <t>-</t>
    </r>
    <r>
      <rPr>
        <b/>
        <sz val="11"/>
        <rFont val="Calibri"/>
        <family val="2"/>
      </rPr>
      <t>]</t>
    </r>
    <r>
      <rPr>
        <b/>
        <vertAlign val="subscript"/>
        <sz val="11"/>
        <rFont val="Calibri"/>
        <family val="2"/>
      </rPr>
      <t>field</t>
    </r>
  </si>
  <si>
    <r>
      <t>[H</t>
    </r>
    <r>
      <rPr>
        <vertAlign val="subscript"/>
        <sz val="11"/>
        <rFont val="Calibri"/>
        <family val="2"/>
      </rPr>
      <t>2</t>
    </r>
    <r>
      <rPr>
        <sz val="11"/>
        <rFont val="Calibri"/>
        <family val="2"/>
      </rPr>
      <t>CO</t>
    </r>
    <r>
      <rPr>
        <vertAlign val="subscript"/>
        <sz val="11"/>
        <rFont val="Calibri"/>
        <family val="2"/>
      </rPr>
      <t>3</t>
    </r>
    <r>
      <rPr>
        <sz val="11"/>
        <rFont val="Calibri"/>
        <family val="2"/>
      </rPr>
      <t>]</t>
    </r>
  </si>
  <si>
    <r>
      <t>[H</t>
    </r>
    <r>
      <rPr>
        <b/>
        <vertAlign val="subscript"/>
        <sz val="11"/>
        <rFont val="Calibri"/>
        <family val="2"/>
      </rPr>
      <t>2</t>
    </r>
    <r>
      <rPr>
        <b/>
        <sz val="11"/>
        <rFont val="Calibri"/>
        <family val="2"/>
      </rPr>
      <t>CO</t>
    </r>
    <r>
      <rPr>
        <b/>
        <vertAlign val="subscript"/>
        <sz val="11"/>
        <rFont val="Calibri"/>
        <family val="2"/>
      </rPr>
      <t>3</t>
    </r>
    <r>
      <rPr>
        <b/>
        <sz val="11"/>
        <rFont val="Calibri"/>
        <family val="2"/>
      </rPr>
      <t>]</t>
    </r>
    <r>
      <rPr>
        <b/>
        <vertAlign val="subscript"/>
        <sz val="11"/>
        <rFont val="Calibri"/>
        <family val="2"/>
      </rPr>
      <t>field</t>
    </r>
  </si>
  <si>
    <r>
      <t>[HCO</t>
    </r>
    <r>
      <rPr>
        <vertAlign val="subscript"/>
        <sz val="11"/>
        <rFont val="Calibri"/>
        <family val="2"/>
      </rPr>
      <t>3</t>
    </r>
    <r>
      <rPr>
        <vertAlign val="superscript"/>
        <sz val="11"/>
        <rFont val="Calibri"/>
        <family val="2"/>
      </rPr>
      <t>-</t>
    </r>
    <r>
      <rPr>
        <sz val="11"/>
        <rFont val="Calibri"/>
        <family val="2"/>
      </rPr>
      <t>]</t>
    </r>
  </si>
  <si>
    <r>
      <t>[HCO</t>
    </r>
    <r>
      <rPr>
        <b/>
        <vertAlign val="subscript"/>
        <sz val="11"/>
        <rFont val="Calibri"/>
        <family val="2"/>
      </rPr>
      <t>3</t>
    </r>
    <r>
      <rPr>
        <b/>
        <vertAlign val="superscript"/>
        <sz val="11"/>
        <rFont val="Calibri"/>
        <family val="2"/>
      </rPr>
      <t>-</t>
    </r>
    <r>
      <rPr>
        <b/>
        <sz val="11"/>
        <rFont val="Calibri"/>
        <family val="2"/>
      </rPr>
      <t>]</t>
    </r>
    <r>
      <rPr>
        <b/>
        <vertAlign val="subscript"/>
        <sz val="11"/>
        <rFont val="Calibri"/>
        <family val="2"/>
      </rPr>
      <t>field</t>
    </r>
  </si>
  <si>
    <r>
      <t>[CO</t>
    </r>
    <r>
      <rPr>
        <vertAlign val="subscript"/>
        <sz val="11"/>
        <rFont val="Calibri"/>
        <family val="2"/>
      </rPr>
      <t>3</t>
    </r>
    <r>
      <rPr>
        <vertAlign val="superscript"/>
        <sz val="11"/>
        <rFont val="Calibri"/>
        <family val="2"/>
      </rPr>
      <t>2-</t>
    </r>
    <r>
      <rPr>
        <sz val="11"/>
        <rFont val="Calibri"/>
        <family val="2"/>
      </rPr>
      <t>]</t>
    </r>
  </si>
  <si>
    <r>
      <t>[CO</t>
    </r>
    <r>
      <rPr>
        <b/>
        <vertAlign val="subscript"/>
        <sz val="11"/>
        <rFont val="Calibri"/>
        <family val="2"/>
      </rPr>
      <t>3</t>
    </r>
    <r>
      <rPr>
        <b/>
        <vertAlign val="superscript"/>
        <sz val="11"/>
        <rFont val="Calibri"/>
        <family val="2"/>
      </rPr>
      <t>2-</t>
    </r>
    <r>
      <rPr>
        <b/>
        <sz val="11"/>
        <rFont val="Calibri"/>
        <family val="2"/>
      </rPr>
      <t>]</t>
    </r>
    <r>
      <rPr>
        <b/>
        <vertAlign val="subscript"/>
        <sz val="11"/>
        <rFont val="Calibri"/>
        <family val="2"/>
      </rPr>
      <t>field</t>
    </r>
  </si>
  <si>
    <r>
      <t>[H</t>
    </r>
    <r>
      <rPr>
        <vertAlign val="subscript"/>
        <sz val="11"/>
        <rFont val="Calibri"/>
        <family val="2"/>
      </rPr>
      <t>3</t>
    </r>
    <r>
      <rPr>
        <sz val="11"/>
        <rFont val="Calibri"/>
        <family val="2"/>
      </rPr>
      <t>PO</t>
    </r>
    <r>
      <rPr>
        <vertAlign val="subscript"/>
        <sz val="11"/>
        <rFont val="Calibri"/>
        <family val="2"/>
      </rPr>
      <t>4</t>
    </r>
    <r>
      <rPr>
        <sz val="11"/>
        <rFont val="Calibri"/>
        <family val="2"/>
      </rPr>
      <t>]</t>
    </r>
  </si>
  <si>
    <r>
      <t>[H</t>
    </r>
    <r>
      <rPr>
        <b/>
        <vertAlign val="subscript"/>
        <sz val="11"/>
        <rFont val="Calibri"/>
        <family val="2"/>
      </rPr>
      <t>3</t>
    </r>
    <r>
      <rPr>
        <b/>
        <sz val="11"/>
        <rFont val="Calibri"/>
        <family val="2"/>
      </rPr>
      <t>PO</t>
    </r>
    <r>
      <rPr>
        <b/>
        <vertAlign val="subscript"/>
        <sz val="11"/>
        <rFont val="Calibri"/>
        <family val="2"/>
      </rPr>
      <t>4</t>
    </r>
    <r>
      <rPr>
        <b/>
        <sz val="11"/>
        <rFont val="Calibri"/>
        <family val="2"/>
      </rPr>
      <t>]</t>
    </r>
    <r>
      <rPr>
        <b/>
        <vertAlign val="subscript"/>
        <sz val="11"/>
        <rFont val="Calibri"/>
        <family val="2"/>
      </rPr>
      <t>field</t>
    </r>
  </si>
  <si>
    <r>
      <t>[H</t>
    </r>
    <r>
      <rPr>
        <vertAlign val="subscript"/>
        <sz val="11"/>
        <rFont val="Calibri"/>
        <family val="2"/>
      </rPr>
      <t>2</t>
    </r>
    <r>
      <rPr>
        <sz val="11"/>
        <rFont val="Calibri"/>
        <family val="2"/>
      </rPr>
      <t>PO</t>
    </r>
    <r>
      <rPr>
        <vertAlign val="subscript"/>
        <sz val="11"/>
        <rFont val="Calibri"/>
        <family val="2"/>
      </rPr>
      <t>4</t>
    </r>
    <r>
      <rPr>
        <vertAlign val="superscript"/>
        <sz val="11"/>
        <rFont val="Calibri"/>
        <family val="2"/>
      </rPr>
      <t>-</t>
    </r>
    <r>
      <rPr>
        <sz val="11"/>
        <rFont val="Calibri"/>
        <family val="2"/>
      </rPr>
      <t>]</t>
    </r>
  </si>
  <si>
    <r>
      <t>[H</t>
    </r>
    <r>
      <rPr>
        <b/>
        <vertAlign val="subscript"/>
        <sz val="11"/>
        <rFont val="Calibri"/>
        <family val="2"/>
      </rPr>
      <t>2</t>
    </r>
    <r>
      <rPr>
        <b/>
        <sz val="11"/>
        <rFont val="Calibri"/>
        <family val="2"/>
      </rPr>
      <t>PO</t>
    </r>
    <r>
      <rPr>
        <b/>
        <vertAlign val="subscript"/>
        <sz val="11"/>
        <rFont val="Calibri"/>
        <family val="2"/>
      </rPr>
      <t>4</t>
    </r>
    <r>
      <rPr>
        <b/>
        <vertAlign val="superscript"/>
        <sz val="11"/>
        <rFont val="Calibri"/>
        <family val="2"/>
      </rPr>
      <t>-</t>
    </r>
    <r>
      <rPr>
        <b/>
        <sz val="11"/>
        <rFont val="Calibri"/>
        <family val="2"/>
      </rPr>
      <t>]</t>
    </r>
    <r>
      <rPr>
        <b/>
        <vertAlign val="subscript"/>
        <sz val="11"/>
        <rFont val="Calibri"/>
        <family val="2"/>
      </rPr>
      <t>field</t>
    </r>
  </si>
  <si>
    <r>
      <t>[HPO</t>
    </r>
    <r>
      <rPr>
        <vertAlign val="subscript"/>
        <sz val="11"/>
        <rFont val="Calibri"/>
        <family val="2"/>
      </rPr>
      <t>4</t>
    </r>
    <r>
      <rPr>
        <vertAlign val="superscript"/>
        <sz val="11"/>
        <rFont val="Calibri"/>
        <family val="2"/>
      </rPr>
      <t>2-</t>
    </r>
    <r>
      <rPr>
        <sz val="11"/>
        <rFont val="Calibri"/>
        <family val="2"/>
      </rPr>
      <t>]</t>
    </r>
  </si>
  <si>
    <r>
      <t>[HPO</t>
    </r>
    <r>
      <rPr>
        <b/>
        <vertAlign val="subscript"/>
        <sz val="11"/>
        <rFont val="Calibri"/>
        <family val="2"/>
      </rPr>
      <t>4</t>
    </r>
    <r>
      <rPr>
        <b/>
        <vertAlign val="superscript"/>
        <sz val="11"/>
        <rFont val="Calibri"/>
        <family val="2"/>
      </rPr>
      <t>2-</t>
    </r>
    <r>
      <rPr>
        <b/>
        <sz val="11"/>
        <rFont val="Calibri"/>
        <family val="2"/>
      </rPr>
      <t>]</t>
    </r>
    <r>
      <rPr>
        <b/>
        <vertAlign val="subscript"/>
        <sz val="11"/>
        <rFont val="Calibri"/>
        <family val="2"/>
      </rPr>
      <t>field</t>
    </r>
  </si>
  <si>
    <r>
      <t>[PO</t>
    </r>
    <r>
      <rPr>
        <vertAlign val="subscript"/>
        <sz val="11"/>
        <rFont val="Calibri"/>
        <family val="2"/>
      </rPr>
      <t>4</t>
    </r>
    <r>
      <rPr>
        <vertAlign val="superscript"/>
        <sz val="11"/>
        <rFont val="Calibri"/>
        <family val="2"/>
      </rPr>
      <t>3-</t>
    </r>
    <r>
      <rPr>
        <sz val="11"/>
        <rFont val="Calibri"/>
        <family val="2"/>
      </rPr>
      <t>]</t>
    </r>
  </si>
  <si>
    <r>
      <t>[PO</t>
    </r>
    <r>
      <rPr>
        <b/>
        <vertAlign val="subscript"/>
        <sz val="11"/>
        <rFont val="Calibri"/>
        <family val="2"/>
      </rPr>
      <t>4</t>
    </r>
    <r>
      <rPr>
        <b/>
        <vertAlign val="superscript"/>
        <sz val="11"/>
        <rFont val="Calibri"/>
        <family val="2"/>
      </rPr>
      <t>3-</t>
    </r>
    <r>
      <rPr>
        <b/>
        <sz val="11"/>
        <rFont val="Calibri"/>
        <family val="2"/>
      </rPr>
      <t>]</t>
    </r>
    <r>
      <rPr>
        <b/>
        <vertAlign val="subscript"/>
        <sz val="11"/>
        <rFont val="Calibri"/>
        <family val="2"/>
      </rPr>
      <t>field</t>
    </r>
  </si>
  <si>
    <r>
      <t>[HAc]</t>
    </r>
    <r>
      <rPr>
        <b/>
        <vertAlign val="subscript"/>
        <sz val="11"/>
        <rFont val="Calibri"/>
        <family val="2"/>
      </rPr>
      <t>field</t>
    </r>
  </si>
  <si>
    <r>
      <t>[Ac</t>
    </r>
    <r>
      <rPr>
        <vertAlign val="superscript"/>
        <sz val="11"/>
        <rFont val="Calibri"/>
        <family val="2"/>
      </rPr>
      <t>-</t>
    </r>
    <r>
      <rPr>
        <sz val="11"/>
        <rFont val="Calibri"/>
        <family val="2"/>
      </rPr>
      <t>]</t>
    </r>
  </si>
  <si>
    <r>
      <t>[Ac</t>
    </r>
    <r>
      <rPr>
        <b/>
        <vertAlign val="superscript"/>
        <sz val="11"/>
        <rFont val="Calibri"/>
        <family val="2"/>
      </rPr>
      <t>-</t>
    </r>
    <r>
      <rPr>
        <b/>
        <sz val="11"/>
        <rFont val="Calibri"/>
        <family val="2"/>
      </rPr>
      <t>]</t>
    </r>
    <r>
      <rPr>
        <b/>
        <vertAlign val="subscript"/>
        <sz val="11"/>
        <rFont val="Calibri"/>
        <family val="2"/>
      </rPr>
      <t>field</t>
    </r>
  </si>
  <si>
    <r>
      <t>[Ca</t>
    </r>
    <r>
      <rPr>
        <vertAlign val="superscript"/>
        <sz val="11"/>
        <rFont val="Calibri"/>
        <family val="2"/>
      </rPr>
      <t>2+</t>
    </r>
    <r>
      <rPr>
        <sz val="11"/>
        <rFont val="Calibri"/>
        <family val="2"/>
      </rPr>
      <t>]</t>
    </r>
  </si>
  <si>
    <r>
      <t>[Ca</t>
    </r>
    <r>
      <rPr>
        <b/>
        <vertAlign val="superscript"/>
        <sz val="11"/>
        <rFont val="Calibri"/>
        <family val="2"/>
      </rPr>
      <t>2+</t>
    </r>
    <r>
      <rPr>
        <b/>
        <sz val="11"/>
        <rFont val="Calibri"/>
        <family val="2"/>
      </rPr>
      <t>]</t>
    </r>
    <r>
      <rPr>
        <b/>
        <vertAlign val="subscript"/>
        <sz val="11"/>
        <rFont val="Calibri"/>
        <family val="2"/>
      </rPr>
      <t>field</t>
    </r>
  </si>
  <si>
    <r>
      <t>[Mg</t>
    </r>
    <r>
      <rPr>
        <vertAlign val="superscript"/>
        <sz val="11"/>
        <rFont val="Calibri"/>
        <family val="2"/>
      </rPr>
      <t>2+</t>
    </r>
    <r>
      <rPr>
        <sz val="11"/>
        <rFont val="Calibri"/>
        <family val="2"/>
      </rPr>
      <t>]</t>
    </r>
  </si>
  <si>
    <r>
      <t>[Mg</t>
    </r>
    <r>
      <rPr>
        <b/>
        <vertAlign val="superscript"/>
        <sz val="11"/>
        <rFont val="Calibri"/>
        <family val="2"/>
      </rPr>
      <t>2+</t>
    </r>
    <r>
      <rPr>
        <b/>
        <sz val="11"/>
        <rFont val="Calibri"/>
        <family val="2"/>
      </rPr>
      <t>]</t>
    </r>
    <r>
      <rPr>
        <b/>
        <vertAlign val="subscript"/>
        <sz val="11"/>
        <rFont val="Calibri"/>
        <family val="2"/>
      </rPr>
      <t>field</t>
    </r>
  </si>
  <si>
    <r>
      <t>[CAT</t>
    </r>
    <r>
      <rPr>
        <vertAlign val="superscript"/>
        <sz val="11"/>
        <rFont val="Calibri"/>
        <family val="2"/>
      </rPr>
      <t>+</t>
    </r>
    <r>
      <rPr>
        <sz val="11"/>
        <rFont val="Calibri"/>
        <family val="2"/>
      </rPr>
      <t>]</t>
    </r>
  </si>
  <si>
    <r>
      <t>[CAT</t>
    </r>
    <r>
      <rPr>
        <b/>
        <vertAlign val="superscript"/>
        <sz val="11"/>
        <rFont val="Calibri"/>
        <family val="2"/>
      </rPr>
      <t>+</t>
    </r>
    <r>
      <rPr>
        <b/>
        <sz val="11"/>
        <rFont val="Calibri"/>
        <family val="2"/>
      </rPr>
      <t>]</t>
    </r>
    <r>
      <rPr>
        <b/>
        <vertAlign val="subscript"/>
        <sz val="11"/>
        <rFont val="Calibri"/>
        <family val="2"/>
      </rPr>
      <t>field</t>
    </r>
  </si>
  <si>
    <r>
      <t>[K</t>
    </r>
    <r>
      <rPr>
        <vertAlign val="superscript"/>
        <sz val="11"/>
        <rFont val="Calibri"/>
        <family val="2"/>
      </rPr>
      <t>+</t>
    </r>
    <r>
      <rPr>
        <sz val="11"/>
        <rFont val="Calibri"/>
        <family val="2"/>
      </rPr>
      <t>]</t>
    </r>
  </si>
  <si>
    <r>
      <t>[K</t>
    </r>
    <r>
      <rPr>
        <b/>
        <vertAlign val="superscript"/>
        <sz val="11"/>
        <rFont val="Calibri"/>
        <family val="2"/>
      </rPr>
      <t>+</t>
    </r>
    <r>
      <rPr>
        <b/>
        <sz val="11"/>
        <rFont val="Calibri"/>
        <family val="2"/>
      </rPr>
      <t>]</t>
    </r>
    <r>
      <rPr>
        <b/>
        <vertAlign val="subscript"/>
        <sz val="11"/>
        <rFont val="Calibri"/>
        <family val="2"/>
      </rPr>
      <t>field</t>
    </r>
  </si>
  <si>
    <r>
      <t>[AN</t>
    </r>
    <r>
      <rPr>
        <vertAlign val="superscript"/>
        <sz val="11"/>
        <rFont val="Calibri"/>
        <family val="2"/>
      </rPr>
      <t>-</t>
    </r>
    <r>
      <rPr>
        <sz val="11"/>
        <rFont val="Calibri"/>
        <family val="2"/>
      </rPr>
      <t>]</t>
    </r>
  </si>
  <si>
    <r>
      <t>[AN</t>
    </r>
    <r>
      <rPr>
        <b/>
        <vertAlign val="superscript"/>
        <sz val="11"/>
        <rFont val="Calibri"/>
        <family val="2"/>
      </rPr>
      <t>-</t>
    </r>
    <r>
      <rPr>
        <b/>
        <sz val="11"/>
        <rFont val="Calibri"/>
        <family val="2"/>
      </rPr>
      <t>]</t>
    </r>
    <r>
      <rPr>
        <b/>
        <vertAlign val="subscript"/>
        <sz val="11"/>
        <rFont val="Calibri"/>
        <family val="2"/>
      </rPr>
      <t>field</t>
    </r>
  </si>
  <si>
    <r>
      <t>[Fe</t>
    </r>
    <r>
      <rPr>
        <vertAlign val="superscript"/>
        <sz val="11"/>
        <rFont val="Calibri"/>
        <family val="2"/>
      </rPr>
      <t>2+</t>
    </r>
    <r>
      <rPr>
        <sz val="11"/>
        <rFont val="Calibri"/>
        <family val="2"/>
      </rPr>
      <t>]</t>
    </r>
  </si>
  <si>
    <r>
      <t>[Fe</t>
    </r>
    <r>
      <rPr>
        <b/>
        <vertAlign val="superscript"/>
        <sz val="11"/>
        <rFont val="Calibri"/>
        <family val="2"/>
      </rPr>
      <t>2+</t>
    </r>
    <r>
      <rPr>
        <b/>
        <sz val="11"/>
        <rFont val="Calibri"/>
        <family val="2"/>
      </rPr>
      <t>]</t>
    </r>
    <r>
      <rPr>
        <b/>
        <vertAlign val="subscript"/>
        <sz val="11"/>
        <rFont val="Calibri"/>
        <family val="2"/>
      </rPr>
      <t>field</t>
    </r>
  </si>
  <si>
    <t>Gas transfer rates for pH-dependent gases</t>
  </si>
  <si>
    <t>Logistic slope of logistic term for XHET limit</t>
  </si>
  <si>
    <t>Non-Precipitation; Digester</t>
  </si>
  <si>
    <t>Non-Precipitation; Non-Digester</t>
  </si>
  <si>
    <t>Non-Sidestream</t>
  </si>
  <si>
    <r>
      <t>Bellinh(pH</t>
    </r>
    <r>
      <rPr>
        <vertAlign val="subscript"/>
        <sz val="11"/>
        <rFont val="Calibri"/>
        <family val="2"/>
        <scheme val="minor"/>
      </rPr>
      <t>field</t>
    </r>
    <r>
      <rPr>
        <sz val="11"/>
        <rFont val="Calibri"/>
        <family val="2"/>
        <scheme val="minor"/>
      </rPr>
      <t>;pH</t>
    </r>
    <r>
      <rPr>
        <vertAlign val="subscript"/>
        <sz val="11"/>
        <rFont val="Calibri"/>
        <family val="2"/>
        <scheme val="minor"/>
      </rPr>
      <t>low</t>
    </r>
    <r>
      <rPr>
        <sz val="11"/>
        <rFont val="Calibri"/>
        <family val="2"/>
        <scheme val="minor"/>
      </rPr>
      <t>;pH</t>
    </r>
    <r>
      <rPr>
        <vertAlign val="subscript"/>
        <sz val="11"/>
        <rFont val="Calibri"/>
        <family val="2"/>
        <scheme val="minor"/>
      </rPr>
      <t>high</t>
    </r>
    <r>
      <rPr>
        <sz val="11"/>
        <rFont val="Calibri"/>
        <family val="2"/>
        <scheme val="minor"/>
      </rPr>
      <t>)</t>
    </r>
  </si>
  <si>
    <r>
      <t>Bellinh(pH</t>
    </r>
    <r>
      <rPr>
        <vertAlign val="subscript"/>
        <sz val="11"/>
        <rFont val="Calibri"/>
        <family val="2"/>
        <scheme val="minor"/>
      </rPr>
      <t>field</t>
    </r>
    <r>
      <rPr>
        <sz val="11"/>
        <rFont val="Calibri"/>
        <family val="2"/>
        <scheme val="minor"/>
      </rPr>
      <t>;pH</t>
    </r>
    <r>
      <rPr>
        <vertAlign val="subscript"/>
        <sz val="11"/>
        <rFont val="Calibri"/>
        <family val="2"/>
        <scheme val="minor"/>
      </rPr>
      <t>low,AOB</t>
    </r>
    <r>
      <rPr>
        <sz val="11"/>
        <rFont val="Calibri"/>
        <family val="2"/>
        <scheme val="minor"/>
      </rPr>
      <t>;pH</t>
    </r>
    <r>
      <rPr>
        <vertAlign val="subscript"/>
        <sz val="11"/>
        <rFont val="Calibri"/>
        <family val="2"/>
        <scheme val="minor"/>
      </rPr>
      <t>high,AOB</t>
    </r>
    <r>
      <rPr>
        <sz val="11"/>
        <rFont val="Calibri"/>
        <family val="2"/>
        <scheme val="minor"/>
      </rPr>
      <t>)</t>
    </r>
  </si>
  <si>
    <r>
      <t>Bellinh(pH</t>
    </r>
    <r>
      <rPr>
        <vertAlign val="subscript"/>
        <sz val="11"/>
        <rFont val="Calibri"/>
        <family val="2"/>
        <scheme val="minor"/>
      </rPr>
      <t>field</t>
    </r>
    <r>
      <rPr>
        <sz val="11"/>
        <rFont val="Calibri"/>
        <family val="2"/>
        <scheme val="minor"/>
      </rPr>
      <t>;pH</t>
    </r>
    <r>
      <rPr>
        <vertAlign val="subscript"/>
        <sz val="11"/>
        <rFont val="Calibri"/>
        <family val="2"/>
        <scheme val="minor"/>
      </rPr>
      <t>low,NOB</t>
    </r>
    <r>
      <rPr>
        <sz val="11"/>
        <rFont val="Calibri"/>
        <family val="2"/>
        <scheme val="minor"/>
      </rPr>
      <t>;pH</t>
    </r>
    <r>
      <rPr>
        <vertAlign val="subscript"/>
        <sz val="11"/>
        <rFont val="Calibri"/>
        <family val="2"/>
        <scheme val="minor"/>
      </rPr>
      <t>high,NOB</t>
    </r>
    <r>
      <rPr>
        <sz val="11"/>
        <rFont val="Calibri"/>
        <family val="2"/>
        <scheme val="minor"/>
      </rPr>
      <t>)</t>
    </r>
  </si>
  <si>
    <r>
      <t>Bellinh(pH</t>
    </r>
    <r>
      <rPr>
        <vertAlign val="subscript"/>
        <sz val="11"/>
        <rFont val="Calibri"/>
        <family val="2"/>
        <scheme val="minor"/>
      </rPr>
      <t>field</t>
    </r>
    <r>
      <rPr>
        <sz val="11"/>
        <rFont val="Calibri"/>
        <family val="2"/>
        <scheme val="minor"/>
      </rPr>
      <t>;pH</t>
    </r>
    <r>
      <rPr>
        <vertAlign val="subscript"/>
        <sz val="11"/>
        <rFont val="Calibri"/>
        <family val="2"/>
        <scheme val="minor"/>
      </rPr>
      <t>low,AMETO</t>
    </r>
    <r>
      <rPr>
        <sz val="11"/>
        <rFont val="Calibri"/>
        <family val="2"/>
        <scheme val="minor"/>
      </rPr>
      <t>;pH</t>
    </r>
    <r>
      <rPr>
        <vertAlign val="subscript"/>
        <sz val="11"/>
        <rFont val="Calibri"/>
        <family val="2"/>
        <scheme val="minor"/>
      </rPr>
      <t>high,AMETO</t>
    </r>
    <r>
      <rPr>
        <sz val="11"/>
        <rFont val="Calibri"/>
        <family val="2"/>
        <scheme val="minor"/>
      </rPr>
      <t>)</t>
    </r>
  </si>
  <si>
    <r>
      <t>Bellinh(pH</t>
    </r>
    <r>
      <rPr>
        <vertAlign val="subscript"/>
        <sz val="11"/>
        <rFont val="Calibri"/>
        <family val="2"/>
        <scheme val="minor"/>
      </rPr>
      <t>field</t>
    </r>
    <r>
      <rPr>
        <sz val="11"/>
        <rFont val="Calibri"/>
        <family val="2"/>
        <scheme val="minor"/>
      </rPr>
      <t>;pH</t>
    </r>
    <r>
      <rPr>
        <vertAlign val="subscript"/>
        <sz val="11"/>
        <rFont val="Calibri"/>
        <family val="2"/>
        <scheme val="minor"/>
      </rPr>
      <t>low,HMETO</t>
    </r>
    <r>
      <rPr>
        <sz val="11"/>
        <rFont val="Calibri"/>
        <family val="2"/>
        <scheme val="minor"/>
      </rPr>
      <t>;pH</t>
    </r>
    <r>
      <rPr>
        <vertAlign val="subscript"/>
        <sz val="11"/>
        <rFont val="Calibri"/>
        <family val="2"/>
        <scheme val="minor"/>
      </rPr>
      <t>high,HMETO</t>
    </r>
    <r>
      <rPr>
        <sz val="11"/>
        <rFont val="Calibri"/>
        <family val="2"/>
        <scheme val="minor"/>
      </rPr>
      <t>)</t>
    </r>
  </si>
  <si>
    <r>
      <t>f(X</t>
    </r>
    <r>
      <rPr>
        <vertAlign val="subscript"/>
        <sz val="11"/>
        <rFont val="Calibri"/>
        <family val="2"/>
      </rPr>
      <t>N,U</t>
    </r>
    <r>
      <rPr>
        <sz val="11"/>
        <rFont val="Calibri"/>
        <family val="2"/>
      </rPr>
      <t>);f(X</t>
    </r>
    <r>
      <rPr>
        <vertAlign val="subscript"/>
        <sz val="11"/>
        <rFont val="Calibri"/>
        <family val="2"/>
      </rPr>
      <t>P,U</t>
    </r>
    <r>
      <rPr>
        <sz val="11"/>
        <rFont val="Calibri"/>
        <family val="2"/>
      </rPr>
      <t>)</t>
    </r>
  </si>
  <si>
    <r>
      <t>f(X</t>
    </r>
    <r>
      <rPr>
        <vertAlign val="subscript"/>
        <sz val="11"/>
        <rFont val="Calibri"/>
        <family val="2"/>
      </rPr>
      <t>INORG</t>
    </r>
    <r>
      <rPr>
        <sz val="11"/>
        <rFont val="Calibri"/>
        <family val="2"/>
      </rPr>
      <t>);f(S</t>
    </r>
    <r>
      <rPr>
        <vertAlign val="subscript"/>
        <sz val="11"/>
        <rFont val="Calibri"/>
        <family val="2"/>
        <charset val="238"/>
      </rPr>
      <t>Ca</t>
    </r>
    <r>
      <rPr>
        <sz val="11"/>
        <rFont val="Calibri"/>
        <family val="2"/>
      </rPr>
      <t>);f(S</t>
    </r>
    <r>
      <rPr>
        <vertAlign val="subscript"/>
        <sz val="11"/>
        <rFont val="Calibri"/>
        <family val="2"/>
        <charset val="238"/>
      </rPr>
      <t>Mg</t>
    </r>
    <r>
      <rPr>
        <sz val="11"/>
        <rFont val="Calibri"/>
        <family val="2"/>
      </rPr>
      <t>);f(S</t>
    </r>
    <r>
      <rPr>
        <vertAlign val="subscript"/>
        <sz val="11"/>
        <rFont val="Calibri"/>
        <family val="2"/>
        <charset val="238"/>
      </rPr>
      <t>CAT</t>
    </r>
    <r>
      <rPr>
        <sz val="11"/>
        <rFont val="Calibri"/>
        <family val="2"/>
      </rPr>
      <t>);f(S</t>
    </r>
    <r>
      <rPr>
        <vertAlign val="subscript"/>
        <sz val="11"/>
        <rFont val="Calibri"/>
        <family val="2"/>
        <charset val="238"/>
      </rPr>
      <t>AN</t>
    </r>
    <r>
      <rPr>
        <sz val="11"/>
        <rFont val="Calibri"/>
        <family val="2"/>
      </rPr>
      <t>)</t>
    </r>
  </si>
  <si>
    <r>
      <t>q</t>
    </r>
    <r>
      <rPr>
        <vertAlign val="subscript"/>
        <sz val="11"/>
        <rFont val="Calibri"/>
        <family val="2"/>
        <scheme val="minor"/>
      </rPr>
      <t>PFOA,SORP</t>
    </r>
  </si>
  <si>
    <t>Sorption rate of PFOA to solids</t>
  </si>
  <si>
    <t>to be calibrated (default from Wei et al., DOI: 10.1016/j.ecoenv.2017.03.040)</t>
  </si>
  <si>
    <r>
      <t>q</t>
    </r>
    <r>
      <rPr>
        <vertAlign val="subscript"/>
        <sz val="11"/>
        <rFont val="Calibri"/>
        <family val="2"/>
        <scheme val="minor"/>
      </rPr>
      <t>PFOS,SORP</t>
    </r>
  </si>
  <si>
    <t>Sorption rate of PFOS to solids</t>
  </si>
  <si>
    <r>
      <t>K</t>
    </r>
    <r>
      <rPr>
        <vertAlign val="subscript"/>
        <sz val="11"/>
        <rFont val="Calibri"/>
        <family val="2"/>
        <scheme val="minor"/>
      </rPr>
      <t>OC,PFOA,EQ</t>
    </r>
  </si>
  <si>
    <t>PFOA organic carbon/water equilibrium distribution coefficient</t>
  </si>
  <si>
    <r>
      <t>L.kg</t>
    </r>
    <r>
      <rPr>
        <vertAlign val="superscript"/>
        <sz val="11"/>
        <rFont val="Calibri"/>
        <family val="2"/>
        <scheme val="minor"/>
      </rPr>
      <t>-1</t>
    </r>
  </si>
  <si>
    <r>
      <t>global average log K</t>
    </r>
    <r>
      <rPr>
        <vertAlign val="subscript"/>
        <sz val="11"/>
        <rFont val="Calibri"/>
        <family val="2"/>
        <charset val="238"/>
        <scheme val="minor"/>
      </rPr>
      <t>OC</t>
    </r>
    <r>
      <rPr>
        <sz val="11"/>
        <rFont val="Calibri"/>
        <family val="2"/>
        <scheme val="minor"/>
      </rPr>
      <t xml:space="preserve"> around 3.7 for sewage sludge (Zareitalabad et al., DOI: 10.1016/j.chemosphere.2013.02.024)</t>
    </r>
  </si>
  <si>
    <r>
      <t>K</t>
    </r>
    <r>
      <rPr>
        <vertAlign val="subscript"/>
        <sz val="11"/>
        <rFont val="Calibri"/>
        <family val="2"/>
        <scheme val="minor"/>
      </rPr>
      <t>OC,PFOS,EQ</t>
    </r>
  </si>
  <si>
    <t>PFOS organic carbon/water equilibrium distribution coefficient</t>
  </si>
  <si>
    <r>
      <t>global average log K</t>
    </r>
    <r>
      <rPr>
        <vertAlign val="subscript"/>
        <sz val="11"/>
        <rFont val="Calibri"/>
        <family val="2"/>
        <charset val="238"/>
        <scheme val="minor"/>
      </rPr>
      <t>OC</t>
    </r>
    <r>
      <rPr>
        <sz val="11"/>
        <rFont val="Calibri"/>
        <family val="2"/>
        <scheme val="minor"/>
      </rPr>
      <t xml:space="preserve"> around 4.3 for sewage sludge (Zareitalabad et al., DOI: 10.1016/j.chemosphere.2013.02.024)</t>
    </r>
  </si>
  <si>
    <r>
      <t>S</t>
    </r>
    <r>
      <rPr>
        <b/>
        <vertAlign val="subscript"/>
        <sz val="11"/>
        <rFont val="Calibri"/>
        <family val="2"/>
      </rPr>
      <t>PFOA</t>
    </r>
  </si>
  <si>
    <t>Dissolved Perfluorooctanoic Acid (PFOA)</t>
  </si>
  <si>
    <r>
      <t>g PFAS.m</t>
    </r>
    <r>
      <rPr>
        <vertAlign val="superscript"/>
        <sz val="11"/>
        <color theme="1"/>
        <rFont val="Calibri"/>
        <family val="2"/>
        <charset val="238"/>
        <scheme val="minor"/>
      </rPr>
      <t>-3</t>
    </r>
  </si>
  <si>
    <t>PFAS</t>
  </si>
  <si>
    <r>
      <t>X</t>
    </r>
    <r>
      <rPr>
        <b/>
        <vertAlign val="subscript"/>
        <sz val="11"/>
        <rFont val="Calibri"/>
        <family val="2"/>
      </rPr>
      <t>PFOA</t>
    </r>
  </si>
  <si>
    <t>Adsorbed Perfluorooctanoic Acid (PFOA)</t>
  </si>
  <si>
    <r>
      <t>S</t>
    </r>
    <r>
      <rPr>
        <b/>
        <vertAlign val="subscript"/>
        <sz val="11"/>
        <rFont val="Calibri"/>
        <family val="2"/>
      </rPr>
      <t>PFOS</t>
    </r>
  </si>
  <si>
    <t>Dissolved Perfluorooctyl Sulfonate (PFOS)</t>
  </si>
  <si>
    <r>
      <t>X</t>
    </r>
    <r>
      <rPr>
        <b/>
        <vertAlign val="subscript"/>
        <sz val="11"/>
        <rFont val="Calibri"/>
        <family val="2"/>
      </rPr>
      <t>PFOS</t>
    </r>
  </si>
  <si>
    <t>Adsorbed Perfluorooctyl Sulfonate (PFOS)</t>
  </si>
  <si>
    <t>PFOA sorption</t>
  </si>
  <si>
    <r>
      <t>q</t>
    </r>
    <r>
      <rPr>
        <vertAlign val="subscript"/>
        <sz val="11"/>
        <rFont val="Calibri"/>
        <family val="2"/>
      </rPr>
      <t>PFOA,SORP</t>
    </r>
    <r>
      <rPr>
        <sz val="11"/>
        <rFont val="Calibri"/>
        <family val="2"/>
      </rPr>
      <t>*</t>
    </r>
    <r>
      <rPr>
        <sz val="11"/>
        <rFont val="Calibri"/>
        <family val="2"/>
        <charset val="238"/>
      </rPr>
      <t>(S</t>
    </r>
    <r>
      <rPr>
        <vertAlign val="subscript"/>
        <sz val="11"/>
        <rFont val="Calibri"/>
        <family val="2"/>
        <charset val="238"/>
      </rPr>
      <t>PFOA</t>
    </r>
    <r>
      <rPr>
        <sz val="11"/>
        <rFont val="Calibri"/>
        <family val="2"/>
        <charset val="238"/>
      </rPr>
      <t xml:space="preserve"> - (X</t>
    </r>
    <r>
      <rPr>
        <vertAlign val="subscript"/>
        <sz val="11"/>
        <rFont val="Calibri"/>
        <family val="2"/>
        <charset val="238"/>
      </rPr>
      <t>PFOA</t>
    </r>
    <r>
      <rPr>
        <sz val="11"/>
        <rFont val="Calibri"/>
        <family val="2"/>
        <charset val="238"/>
      </rPr>
      <t>/X</t>
    </r>
    <r>
      <rPr>
        <vertAlign val="subscript"/>
        <sz val="11"/>
        <rFont val="Calibri"/>
        <family val="2"/>
        <charset val="238"/>
      </rPr>
      <t>VSS</t>
    </r>
    <r>
      <rPr>
        <sz val="11"/>
        <rFont val="Calibri"/>
        <family val="2"/>
        <charset val="238"/>
      </rPr>
      <t>)*(c</t>
    </r>
    <r>
      <rPr>
        <vertAlign val="subscript"/>
        <sz val="11"/>
        <rFont val="Calibri"/>
        <family val="2"/>
        <charset val="238"/>
      </rPr>
      <t>g,kg</t>
    </r>
    <r>
      <rPr>
        <sz val="11"/>
        <rFont val="Calibri"/>
        <family val="2"/>
        <charset val="238"/>
      </rPr>
      <t>*c</t>
    </r>
    <r>
      <rPr>
        <vertAlign val="subscript"/>
        <sz val="11"/>
        <rFont val="Calibri"/>
        <family val="2"/>
        <charset val="238"/>
      </rPr>
      <t>mg,g</t>
    </r>
    <r>
      <rPr>
        <sz val="11"/>
        <rFont val="Calibri"/>
        <family val="2"/>
        <charset val="238"/>
      </rPr>
      <t>)/K</t>
    </r>
    <r>
      <rPr>
        <vertAlign val="subscript"/>
        <sz val="11"/>
        <rFont val="Calibri"/>
        <family val="2"/>
        <charset val="238"/>
      </rPr>
      <t>OC,PFOA,EQ</t>
    </r>
    <r>
      <rPr>
        <sz val="11"/>
        <rFont val="Calibri"/>
        <family val="2"/>
        <charset val="238"/>
      </rPr>
      <t>)</t>
    </r>
  </si>
  <si>
    <t>PFOS sorption</t>
  </si>
  <si>
    <r>
      <t>q</t>
    </r>
    <r>
      <rPr>
        <vertAlign val="subscript"/>
        <sz val="11"/>
        <rFont val="Calibri"/>
        <family val="2"/>
      </rPr>
      <t>PFOS,SORP</t>
    </r>
    <r>
      <rPr>
        <sz val="11"/>
        <rFont val="Calibri"/>
        <family val="2"/>
      </rPr>
      <t>*</t>
    </r>
    <r>
      <rPr>
        <sz val="11"/>
        <rFont val="Calibri"/>
        <family val="2"/>
        <charset val="238"/>
      </rPr>
      <t>(S</t>
    </r>
    <r>
      <rPr>
        <vertAlign val="subscript"/>
        <sz val="11"/>
        <rFont val="Calibri"/>
        <family val="2"/>
        <charset val="238"/>
      </rPr>
      <t>PFOS</t>
    </r>
    <r>
      <rPr>
        <sz val="11"/>
        <rFont val="Calibri"/>
        <family val="2"/>
        <charset val="238"/>
      </rPr>
      <t xml:space="preserve"> - (X</t>
    </r>
    <r>
      <rPr>
        <vertAlign val="subscript"/>
        <sz val="11"/>
        <rFont val="Calibri"/>
        <family val="2"/>
        <charset val="238"/>
      </rPr>
      <t>PFOS</t>
    </r>
    <r>
      <rPr>
        <sz val="11"/>
        <rFont val="Calibri"/>
        <family val="2"/>
        <charset val="238"/>
      </rPr>
      <t>/X</t>
    </r>
    <r>
      <rPr>
        <vertAlign val="subscript"/>
        <sz val="11"/>
        <rFont val="Calibri"/>
        <family val="2"/>
        <charset val="238"/>
      </rPr>
      <t>VSS</t>
    </r>
    <r>
      <rPr>
        <sz val="11"/>
        <rFont val="Calibri"/>
        <family val="2"/>
        <charset val="238"/>
      </rPr>
      <t>)*(c</t>
    </r>
    <r>
      <rPr>
        <vertAlign val="subscript"/>
        <sz val="11"/>
        <rFont val="Calibri"/>
        <family val="2"/>
        <charset val="238"/>
      </rPr>
      <t>g,kg</t>
    </r>
    <r>
      <rPr>
        <sz val="11"/>
        <rFont val="Calibri"/>
        <family val="2"/>
        <charset val="238"/>
      </rPr>
      <t>*c</t>
    </r>
    <r>
      <rPr>
        <vertAlign val="subscript"/>
        <sz val="11"/>
        <rFont val="Calibri"/>
        <family val="2"/>
        <charset val="238"/>
      </rPr>
      <t>mg,g</t>
    </r>
    <r>
      <rPr>
        <sz val="11"/>
        <rFont val="Calibri"/>
        <family val="2"/>
        <charset val="238"/>
      </rPr>
      <t>)/K</t>
    </r>
    <r>
      <rPr>
        <vertAlign val="subscript"/>
        <sz val="11"/>
        <rFont val="Calibri"/>
        <family val="2"/>
        <charset val="238"/>
      </rPr>
      <t>OC,PFOS,EQ</t>
    </r>
    <r>
      <rPr>
        <sz val="11"/>
        <rFont val="Calibri"/>
        <family val="2"/>
        <charset val="238"/>
      </rPr>
      <t>)</t>
    </r>
  </si>
  <si>
    <r>
      <t>T</t>
    </r>
    <r>
      <rPr>
        <vertAlign val="subscript"/>
        <sz val="11"/>
        <rFont val="Calibri"/>
        <family val="2"/>
      </rPr>
      <t>PFOA</t>
    </r>
  </si>
  <si>
    <t>Total PFOA</t>
  </si>
  <si>
    <r>
      <t>S</t>
    </r>
    <r>
      <rPr>
        <vertAlign val="subscript"/>
        <sz val="11"/>
        <rFont val="Calibri"/>
        <family val="2"/>
        <scheme val="minor"/>
      </rPr>
      <t>PFOA</t>
    </r>
    <r>
      <rPr>
        <sz val="11"/>
        <rFont val="Calibri"/>
        <family val="2"/>
        <scheme val="minor"/>
      </rPr>
      <t xml:space="preserve"> + X</t>
    </r>
    <r>
      <rPr>
        <vertAlign val="subscript"/>
        <sz val="11"/>
        <rFont val="Calibri"/>
        <family val="2"/>
        <scheme val="minor"/>
      </rPr>
      <t>PFOA</t>
    </r>
  </si>
  <si>
    <r>
      <t>g PFAS.m</t>
    </r>
    <r>
      <rPr>
        <vertAlign val="superscript"/>
        <sz val="11"/>
        <rFont val="Calibri"/>
        <family val="2"/>
        <scheme val="minor"/>
      </rPr>
      <t>-3</t>
    </r>
  </si>
  <si>
    <r>
      <t>T</t>
    </r>
    <r>
      <rPr>
        <vertAlign val="subscript"/>
        <sz val="11"/>
        <rFont val="Calibri"/>
        <family val="2"/>
      </rPr>
      <t>PFOS</t>
    </r>
  </si>
  <si>
    <t>Total PFOS</t>
  </si>
  <si>
    <r>
      <t>S</t>
    </r>
    <r>
      <rPr>
        <vertAlign val="subscript"/>
        <sz val="11"/>
        <rFont val="Calibri"/>
        <family val="2"/>
        <scheme val="minor"/>
      </rPr>
      <t>PFOS</t>
    </r>
    <r>
      <rPr>
        <sz val="11"/>
        <rFont val="Calibri"/>
        <family val="2"/>
        <scheme val="minor"/>
      </rPr>
      <t xml:space="preserve"> + X</t>
    </r>
    <r>
      <rPr>
        <vertAlign val="subscript"/>
        <sz val="11"/>
        <rFont val="Calibri"/>
        <family val="2"/>
        <scheme val="minor"/>
      </rPr>
      <t>PFOS</t>
    </r>
  </si>
  <si>
    <t>r109</t>
  </si>
  <si>
    <t>r110</t>
  </si>
  <si>
    <r>
      <t>q</t>
    </r>
    <r>
      <rPr>
        <vertAlign val="subscript"/>
        <sz val="11"/>
        <color indexed="8"/>
        <rFont val="Calibri"/>
        <family val="2"/>
        <scheme val="minor"/>
      </rPr>
      <t>FLOC</t>
    </r>
    <r>
      <rPr>
        <vertAlign val="subscript"/>
        <sz val="11"/>
        <color rgb="FF000000"/>
        <rFont val="Calibri"/>
        <family val="2"/>
        <scheme val="minor"/>
      </rPr>
      <t>,HFO</t>
    </r>
  </si>
  <si>
    <t>Rate of flocculation with HFO</t>
  </si>
  <si>
    <r>
      <t>q</t>
    </r>
    <r>
      <rPr>
        <vertAlign val="subscript"/>
        <sz val="11"/>
        <color indexed="8"/>
        <rFont val="Calibri"/>
        <family val="2"/>
        <scheme val="minor"/>
      </rPr>
      <t>FLOC</t>
    </r>
    <r>
      <rPr>
        <vertAlign val="subscript"/>
        <sz val="11"/>
        <color rgb="FF000000"/>
        <rFont val="Calibri"/>
        <family val="2"/>
        <scheme val="minor"/>
      </rPr>
      <t>,HAO</t>
    </r>
  </si>
  <si>
    <t>Rate of flocculation with HAO</t>
  </si>
  <si>
    <r>
      <t>pH</t>
    </r>
    <r>
      <rPr>
        <vertAlign val="subscript"/>
        <sz val="11"/>
        <rFont val="Calibri"/>
        <family val="2"/>
        <scheme val="minor"/>
      </rPr>
      <t>low</t>
    </r>
    <r>
      <rPr>
        <vertAlign val="subscript"/>
        <sz val="11"/>
        <color rgb="FF000000"/>
        <rFont val="Calibri"/>
        <family val="2"/>
        <scheme val="minor"/>
      </rPr>
      <t>,FLOC,HFO</t>
    </r>
  </si>
  <si>
    <t>pH inhibition low value for flocculation with HFO</t>
  </si>
  <si>
    <r>
      <t>pH</t>
    </r>
    <r>
      <rPr>
        <vertAlign val="subscript"/>
        <sz val="11"/>
        <rFont val="Calibri"/>
        <family val="2"/>
        <scheme val="minor"/>
      </rPr>
      <t>high</t>
    </r>
    <r>
      <rPr>
        <vertAlign val="subscript"/>
        <sz val="11"/>
        <color rgb="FF000000"/>
        <rFont val="Calibri"/>
        <family val="2"/>
        <scheme val="minor"/>
      </rPr>
      <t>,FLOC,HFO</t>
    </r>
  </si>
  <si>
    <t>pH inhibition high value for flocculation with HFO</t>
  </si>
  <si>
    <r>
      <t>pH</t>
    </r>
    <r>
      <rPr>
        <vertAlign val="subscript"/>
        <sz val="11"/>
        <rFont val="Calibri"/>
        <family val="2"/>
        <scheme val="minor"/>
      </rPr>
      <t>low</t>
    </r>
    <r>
      <rPr>
        <vertAlign val="subscript"/>
        <sz val="11"/>
        <color rgb="FF000000"/>
        <rFont val="Calibri"/>
        <family val="2"/>
        <scheme val="minor"/>
      </rPr>
      <t>,FLOC,HAO</t>
    </r>
  </si>
  <si>
    <t>pH inhibition low value for flocculation with HAO</t>
  </si>
  <si>
    <r>
      <t>pH</t>
    </r>
    <r>
      <rPr>
        <vertAlign val="subscript"/>
        <sz val="11"/>
        <rFont val="Calibri"/>
        <family val="2"/>
        <scheme val="minor"/>
      </rPr>
      <t>high</t>
    </r>
    <r>
      <rPr>
        <vertAlign val="subscript"/>
        <sz val="11"/>
        <color rgb="FF000000"/>
        <rFont val="Calibri"/>
        <family val="2"/>
        <scheme val="minor"/>
      </rPr>
      <t>,FLOC,HAO</t>
    </r>
  </si>
  <si>
    <t>pH inhibition high value for flocculation with HAO</t>
  </si>
  <si>
    <r>
      <t>K</t>
    </r>
    <r>
      <rPr>
        <vertAlign val="subscript"/>
        <sz val="11"/>
        <color indexed="8"/>
        <rFont val="Calibri"/>
        <family val="2"/>
        <scheme val="minor"/>
      </rPr>
      <t>CB,FLOC</t>
    </r>
    <r>
      <rPr>
        <vertAlign val="subscript"/>
        <sz val="11"/>
        <color rgb="FF000000"/>
        <rFont val="Calibri"/>
        <family val="2"/>
        <scheme val="minor"/>
      </rPr>
      <t>,HFO</t>
    </r>
  </si>
  <si>
    <t>Half-saturation of biodegradable colloids flocculation with HFO</t>
  </si>
  <si>
    <r>
      <t>K</t>
    </r>
    <r>
      <rPr>
        <vertAlign val="subscript"/>
        <sz val="11"/>
        <color indexed="8"/>
        <rFont val="Calibri"/>
        <family val="2"/>
        <scheme val="minor"/>
      </rPr>
      <t>CU,FLOC</t>
    </r>
    <r>
      <rPr>
        <vertAlign val="subscript"/>
        <sz val="11"/>
        <color rgb="FF000000"/>
        <rFont val="Calibri"/>
        <family val="2"/>
        <scheme val="minor"/>
      </rPr>
      <t>,HFO</t>
    </r>
  </si>
  <si>
    <r>
      <t>K</t>
    </r>
    <r>
      <rPr>
        <vertAlign val="subscript"/>
        <sz val="11"/>
        <color indexed="8"/>
        <rFont val="Calibri"/>
        <family val="2"/>
        <scheme val="minor"/>
      </rPr>
      <t>CB,FLOC</t>
    </r>
    <r>
      <rPr>
        <vertAlign val="subscript"/>
        <sz val="11"/>
        <color rgb="FF000000"/>
        <rFont val="Calibri"/>
        <family val="2"/>
        <scheme val="minor"/>
      </rPr>
      <t>,HAO</t>
    </r>
  </si>
  <si>
    <t>Half-saturation of biodegradable colloids flocculation with HAO</t>
  </si>
  <si>
    <r>
      <t>K</t>
    </r>
    <r>
      <rPr>
        <vertAlign val="subscript"/>
        <sz val="11"/>
        <color indexed="8"/>
        <rFont val="Calibri"/>
        <family val="2"/>
        <scheme val="minor"/>
      </rPr>
      <t>CU,FLOC</t>
    </r>
    <r>
      <rPr>
        <vertAlign val="subscript"/>
        <sz val="11"/>
        <color rgb="FF000000"/>
        <rFont val="Calibri"/>
        <family val="2"/>
        <scheme val="minor"/>
      </rPr>
      <t>,HAO</t>
    </r>
  </si>
  <si>
    <t>Half-saturation of biodegradable colloids in flocculation</t>
  </si>
  <si>
    <r>
      <t>θ</t>
    </r>
    <r>
      <rPr>
        <vertAlign val="subscript"/>
        <sz val="11"/>
        <color indexed="8"/>
        <rFont val="Calibri"/>
        <family val="2"/>
        <scheme val="minor"/>
      </rPr>
      <t>q,FLOC</t>
    </r>
    <r>
      <rPr>
        <vertAlign val="subscript"/>
        <sz val="11"/>
        <color rgb="FF000000"/>
        <rFont val="Calibri"/>
        <family val="2"/>
        <scheme val="minor"/>
      </rPr>
      <t>,HFO</t>
    </r>
  </si>
  <si>
    <t>Arrhenius coefficient for flocculation HFO</t>
  </si>
  <si>
    <r>
      <t>θ</t>
    </r>
    <r>
      <rPr>
        <vertAlign val="subscript"/>
        <sz val="11"/>
        <color indexed="8"/>
        <rFont val="Calibri"/>
        <family val="2"/>
        <scheme val="minor"/>
      </rPr>
      <t>q,FLOC</t>
    </r>
    <r>
      <rPr>
        <vertAlign val="subscript"/>
        <sz val="11"/>
        <color rgb="FF000000"/>
        <rFont val="Calibri"/>
        <family val="2"/>
        <scheme val="minor"/>
      </rPr>
      <t>,HAO</t>
    </r>
  </si>
  <si>
    <t>Arrhenius coefficient for flocculation HAO</t>
  </si>
  <si>
    <r>
      <t>q</t>
    </r>
    <r>
      <rPr>
        <vertAlign val="subscript"/>
        <sz val="11"/>
        <rFont val="Calibri"/>
        <family val="2"/>
      </rPr>
      <t>FLOC,T</t>
    </r>
    <r>
      <rPr>
        <sz val="11"/>
        <rFont val="Calibri"/>
        <family val="2"/>
      </rPr>
      <t>*η</t>
    </r>
    <r>
      <rPr>
        <vertAlign val="subscript"/>
        <sz val="11"/>
        <rFont val="Calibri"/>
        <family val="2"/>
      </rPr>
      <t>FLOC,Process</t>
    </r>
    <r>
      <rPr>
        <sz val="11"/>
        <rFont val="Calibri"/>
        <family val="2"/>
      </rPr>
      <t>*f</t>
    </r>
    <r>
      <rPr>
        <vertAlign val="subscript"/>
        <sz val="11"/>
        <rFont val="Calibri"/>
        <family val="2"/>
      </rPr>
      <t>EPS,VSS</t>
    </r>
    <r>
      <rPr>
        <sz val="11"/>
        <rFont val="Calibri"/>
        <family val="2"/>
      </rPr>
      <t>*X</t>
    </r>
    <r>
      <rPr>
        <vertAlign val="subscript"/>
        <sz val="11"/>
        <rFont val="Calibri"/>
        <family val="2"/>
      </rPr>
      <t>BIO</t>
    </r>
    <r>
      <rPr>
        <sz val="11"/>
        <rFont val="Calibri"/>
        <family val="2"/>
      </rPr>
      <t>*Msat</t>
    </r>
    <r>
      <rPr>
        <vertAlign val="subscript"/>
        <sz val="11"/>
        <rFont val="Calibri"/>
        <family val="2"/>
      </rPr>
      <t>CB,KCB,FLOC</t>
    </r>
    <r>
      <rPr>
        <sz val="11"/>
        <rFont val="Calibri"/>
        <family val="2"/>
      </rPr>
      <t>+q</t>
    </r>
    <r>
      <rPr>
        <vertAlign val="subscript"/>
        <sz val="11"/>
        <rFont val="Calibri"/>
        <family val="2"/>
      </rPr>
      <t>FLOC,HFO,T</t>
    </r>
    <r>
      <rPr>
        <sz val="11"/>
        <rFont val="Calibri"/>
        <family val="2"/>
      </rPr>
      <t>*X</t>
    </r>
    <r>
      <rPr>
        <vertAlign val="subscript"/>
        <sz val="11"/>
        <rFont val="Calibri"/>
        <family val="2"/>
      </rPr>
      <t>HFO</t>
    </r>
    <r>
      <rPr>
        <sz val="11"/>
        <rFont val="Calibri"/>
        <family val="2"/>
      </rPr>
      <t>*Msat</t>
    </r>
    <r>
      <rPr>
        <vertAlign val="subscript"/>
        <sz val="11"/>
        <rFont val="Calibri"/>
        <family val="2"/>
      </rPr>
      <t>CB,KCB,FLOC,HFO</t>
    </r>
    <r>
      <rPr>
        <sz val="11"/>
        <rFont val="Calibri"/>
        <family val="2"/>
      </rPr>
      <t>*Bellinh</t>
    </r>
    <r>
      <rPr>
        <vertAlign val="subscript"/>
        <sz val="11"/>
        <rFont val="Calibri"/>
        <family val="2"/>
      </rPr>
      <t>pH,FLOC,HFO</t>
    </r>
    <r>
      <rPr>
        <sz val="11"/>
        <rFont val="Calibri"/>
        <family val="2"/>
      </rPr>
      <t>+q</t>
    </r>
    <r>
      <rPr>
        <vertAlign val="subscript"/>
        <sz val="11"/>
        <rFont val="Calibri"/>
        <family val="2"/>
      </rPr>
      <t>FLOC,HAO,T</t>
    </r>
    <r>
      <rPr>
        <sz val="11"/>
        <rFont val="Calibri"/>
        <family val="2"/>
      </rPr>
      <t>*X</t>
    </r>
    <r>
      <rPr>
        <vertAlign val="subscript"/>
        <sz val="11"/>
        <rFont val="Calibri"/>
        <family val="2"/>
      </rPr>
      <t>HAO</t>
    </r>
    <r>
      <rPr>
        <sz val="11"/>
        <rFont val="Calibri"/>
        <family val="2"/>
      </rPr>
      <t>*Msat</t>
    </r>
    <r>
      <rPr>
        <vertAlign val="subscript"/>
        <sz val="11"/>
        <rFont val="Calibri"/>
        <family val="2"/>
      </rPr>
      <t>CB,KCB,FLOC,HAO</t>
    </r>
    <r>
      <rPr>
        <sz val="11"/>
        <rFont val="Calibri"/>
        <family val="2"/>
      </rPr>
      <t>*Bellinh</t>
    </r>
    <r>
      <rPr>
        <vertAlign val="subscript"/>
        <sz val="11"/>
        <rFont val="Calibri"/>
        <family val="2"/>
      </rPr>
      <t>pH,FLOC,HAO</t>
    </r>
  </si>
  <si>
    <r>
      <t>q</t>
    </r>
    <r>
      <rPr>
        <vertAlign val="subscript"/>
        <sz val="11"/>
        <rFont val="Calibri"/>
        <family val="2"/>
      </rPr>
      <t>FLOC,T</t>
    </r>
    <r>
      <rPr>
        <sz val="11"/>
        <rFont val="Calibri"/>
        <family val="2"/>
      </rPr>
      <t>*η</t>
    </r>
    <r>
      <rPr>
        <vertAlign val="subscript"/>
        <sz val="11"/>
        <rFont val="Calibri"/>
        <family val="2"/>
      </rPr>
      <t>FLOC,Process</t>
    </r>
    <r>
      <rPr>
        <sz val="11"/>
        <rFont val="Calibri"/>
        <family val="2"/>
      </rPr>
      <t>*f</t>
    </r>
    <r>
      <rPr>
        <vertAlign val="subscript"/>
        <sz val="11"/>
        <rFont val="Calibri"/>
        <family val="2"/>
      </rPr>
      <t>EPS,VSS</t>
    </r>
    <r>
      <rPr>
        <sz val="11"/>
        <rFont val="Calibri"/>
        <family val="2"/>
      </rPr>
      <t>*X</t>
    </r>
    <r>
      <rPr>
        <vertAlign val="subscript"/>
        <sz val="11"/>
        <rFont val="Calibri"/>
        <family val="2"/>
      </rPr>
      <t>BIO</t>
    </r>
    <r>
      <rPr>
        <sz val="11"/>
        <rFont val="Calibri"/>
        <family val="2"/>
      </rPr>
      <t>*Msat</t>
    </r>
    <r>
      <rPr>
        <vertAlign val="subscript"/>
        <sz val="11"/>
        <rFont val="Calibri"/>
        <family val="2"/>
      </rPr>
      <t>CU,KCU,FLOC</t>
    </r>
    <r>
      <rPr>
        <sz val="11"/>
        <rFont val="Calibri"/>
        <family val="2"/>
      </rPr>
      <t>+q</t>
    </r>
    <r>
      <rPr>
        <vertAlign val="subscript"/>
        <sz val="11"/>
        <rFont val="Calibri"/>
        <family val="2"/>
      </rPr>
      <t>FLOC,HFO,T</t>
    </r>
    <r>
      <rPr>
        <sz val="11"/>
        <rFont val="Calibri"/>
        <family val="2"/>
      </rPr>
      <t>*X</t>
    </r>
    <r>
      <rPr>
        <vertAlign val="subscript"/>
        <sz val="11"/>
        <rFont val="Calibri"/>
        <family val="2"/>
      </rPr>
      <t>HFO</t>
    </r>
    <r>
      <rPr>
        <sz val="11"/>
        <rFont val="Calibri"/>
        <family val="2"/>
      </rPr>
      <t>*Msat</t>
    </r>
    <r>
      <rPr>
        <vertAlign val="subscript"/>
        <sz val="11"/>
        <rFont val="Calibri"/>
        <family val="2"/>
      </rPr>
      <t>CU,KCU,FLOC,HFO</t>
    </r>
    <r>
      <rPr>
        <sz val="11"/>
        <rFont val="Calibri"/>
        <family val="2"/>
      </rPr>
      <t>*Bellinh</t>
    </r>
    <r>
      <rPr>
        <vertAlign val="subscript"/>
        <sz val="11"/>
        <rFont val="Calibri"/>
        <family val="2"/>
      </rPr>
      <t>pH,FLOC,HFO</t>
    </r>
    <r>
      <rPr>
        <sz val="11"/>
        <rFont val="Calibri"/>
        <family val="2"/>
      </rPr>
      <t>+q</t>
    </r>
    <r>
      <rPr>
        <vertAlign val="subscript"/>
        <sz val="11"/>
        <rFont val="Calibri"/>
        <family val="2"/>
      </rPr>
      <t>FLOC,HAO,T</t>
    </r>
    <r>
      <rPr>
        <sz val="11"/>
        <rFont val="Calibri"/>
        <family val="2"/>
      </rPr>
      <t>*X</t>
    </r>
    <r>
      <rPr>
        <vertAlign val="subscript"/>
        <sz val="11"/>
        <rFont val="Calibri"/>
        <family val="2"/>
      </rPr>
      <t>HAO</t>
    </r>
    <r>
      <rPr>
        <sz val="11"/>
        <rFont val="Calibri"/>
        <family val="2"/>
      </rPr>
      <t>*Msat</t>
    </r>
    <r>
      <rPr>
        <vertAlign val="subscript"/>
        <sz val="11"/>
        <rFont val="Calibri"/>
        <family val="2"/>
      </rPr>
      <t>CU,KCU,FLOC,HAO</t>
    </r>
    <r>
      <rPr>
        <sz val="11"/>
        <rFont val="Calibri"/>
        <family val="2"/>
      </rPr>
      <t>*Bellinh</t>
    </r>
    <r>
      <rPr>
        <vertAlign val="subscript"/>
        <sz val="11"/>
        <rFont val="Calibri"/>
        <family val="2"/>
      </rPr>
      <t>pH,FLOC,HAO</t>
    </r>
  </si>
  <si>
    <r>
      <t>Bellinh</t>
    </r>
    <r>
      <rPr>
        <vertAlign val="subscript"/>
        <sz val="11"/>
        <rFont val="Calibri"/>
        <family val="2"/>
        <scheme val="minor"/>
      </rPr>
      <t>pH,FLOC,HFO</t>
    </r>
  </si>
  <si>
    <t>pH inhibition (Bell shaped) (flocculation with HFO)</t>
  </si>
  <si>
    <r>
      <t>Bellinh(pH;pH</t>
    </r>
    <r>
      <rPr>
        <vertAlign val="subscript"/>
        <sz val="11"/>
        <rFont val="Calibri"/>
        <family val="2"/>
        <scheme val="minor"/>
      </rPr>
      <t>low,FLOC,HFO</t>
    </r>
    <r>
      <rPr>
        <sz val="11"/>
        <rFont val="Calibri"/>
        <family val="2"/>
        <scheme val="minor"/>
      </rPr>
      <t>;pH</t>
    </r>
    <r>
      <rPr>
        <vertAlign val="subscript"/>
        <sz val="11"/>
        <rFont val="Calibri"/>
        <family val="2"/>
        <scheme val="minor"/>
      </rPr>
      <t>high,FLOC,HFO</t>
    </r>
    <r>
      <rPr>
        <sz val="11"/>
        <rFont val="Calibri"/>
        <family val="2"/>
        <scheme val="minor"/>
      </rPr>
      <t>)</t>
    </r>
  </si>
  <si>
    <r>
      <t>Bellinh(pH</t>
    </r>
    <r>
      <rPr>
        <vertAlign val="subscript"/>
        <sz val="11"/>
        <rFont val="Calibri"/>
        <family val="2"/>
        <scheme val="minor"/>
      </rPr>
      <t>field</t>
    </r>
    <r>
      <rPr>
        <sz val="11"/>
        <rFont val="Calibri"/>
        <family val="2"/>
        <scheme val="minor"/>
      </rPr>
      <t>;pH</t>
    </r>
    <r>
      <rPr>
        <vertAlign val="subscript"/>
        <sz val="11"/>
        <rFont val="Calibri"/>
        <family val="2"/>
        <scheme val="minor"/>
      </rPr>
      <t>low,FLOC,HFO</t>
    </r>
    <r>
      <rPr>
        <sz val="11"/>
        <rFont val="Calibri"/>
        <family val="2"/>
        <scheme val="minor"/>
      </rPr>
      <t>;pH</t>
    </r>
    <r>
      <rPr>
        <vertAlign val="subscript"/>
        <sz val="11"/>
        <rFont val="Calibri"/>
        <family val="2"/>
        <scheme val="minor"/>
      </rPr>
      <t>high,FLOC,HFO</t>
    </r>
    <r>
      <rPr>
        <sz val="11"/>
        <rFont val="Calibri"/>
        <family val="2"/>
        <scheme val="minor"/>
      </rPr>
      <t>)</t>
    </r>
  </si>
  <si>
    <r>
      <t>Bellinh</t>
    </r>
    <r>
      <rPr>
        <vertAlign val="subscript"/>
        <sz val="11"/>
        <rFont val="Calibri"/>
        <family val="2"/>
        <scheme val="minor"/>
      </rPr>
      <t>pH,FLOC,HAO</t>
    </r>
  </si>
  <si>
    <t>pH inhibition (Bell shaped) (flocculation with HAO)</t>
  </si>
  <si>
    <r>
      <t>Bellinh(pH;pH</t>
    </r>
    <r>
      <rPr>
        <vertAlign val="subscript"/>
        <sz val="11"/>
        <rFont val="Calibri"/>
        <family val="2"/>
        <scheme val="minor"/>
      </rPr>
      <t>low,FLOC,HAO</t>
    </r>
    <r>
      <rPr>
        <sz val="11"/>
        <rFont val="Calibri"/>
        <family val="2"/>
        <scheme val="minor"/>
      </rPr>
      <t>;pH</t>
    </r>
    <r>
      <rPr>
        <vertAlign val="subscript"/>
        <sz val="11"/>
        <rFont val="Calibri"/>
        <family val="2"/>
        <scheme val="minor"/>
      </rPr>
      <t>high,FLOC,HAO</t>
    </r>
    <r>
      <rPr>
        <sz val="11"/>
        <rFont val="Calibri"/>
        <family val="2"/>
        <scheme val="minor"/>
      </rPr>
      <t>)</t>
    </r>
  </si>
  <si>
    <r>
      <t>Bellinh(pH</t>
    </r>
    <r>
      <rPr>
        <vertAlign val="subscript"/>
        <sz val="11"/>
        <rFont val="Calibri"/>
        <family val="2"/>
        <scheme val="minor"/>
      </rPr>
      <t>field</t>
    </r>
    <r>
      <rPr>
        <sz val="11"/>
        <rFont val="Calibri"/>
        <family val="2"/>
        <scheme val="minor"/>
      </rPr>
      <t>;pH</t>
    </r>
    <r>
      <rPr>
        <vertAlign val="subscript"/>
        <sz val="11"/>
        <rFont val="Calibri"/>
        <family val="2"/>
        <scheme val="minor"/>
      </rPr>
      <t>low,FLOC,HAO</t>
    </r>
    <r>
      <rPr>
        <sz val="11"/>
        <rFont val="Calibri"/>
        <family val="2"/>
        <scheme val="minor"/>
      </rPr>
      <t>;pH</t>
    </r>
    <r>
      <rPr>
        <vertAlign val="subscript"/>
        <sz val="11"/>
        <rFont val="Calibri"/>
        <family val="2"/>
        <scheme val="minor"/>
      </rPr>
      <t>high,FLOC,HAO</t>
    </r>
    <r>
      <rPr>
        <sz val="11"/>
        <rFont val="Calibri"/>
        <family val="2"/>
        <scheme val="minor"/>
      </rPr>
      <t>)</t>
    </r>
  </si>
  <si>
    <r>
      <t>Msat</t>
    </r>
    <r>
      <rPr>
        <vertAlign val="subscript"/>
        <sz val="11"/>
        <rFont val="Calibri"/>
        <family val="2"/>
        <scheme val="minor"/>
      </rPr>
      <t>CB,KCB,FLOC,HFO</t>
    </r>
  </si>
  <si>
    <t>Saturation term for colloidal biodegradable substrate flocculation with HFO (flocculation)</t>
  </si>
  <si>
    <r>
      <t>Msat(C</t>
    </r>
    <r>
      <rPr>
        <vertAlign val="subscript"/>
        <sz val="11"/>
        <rFont val="Calibri"/>
        <family val="2"/>
        <scheme val="minor"/>
      </rPr>
      <t>B</t>
    </r>
    <r>
      <rPr>
        <sz val="11"/>
        <rFont val="Calibri"/>
        <family val="2"/>
        <scheme val="minor"/>
      </rPr>
      <t>;K</t>
    </r>
    <r>
      <rPr>
        <vertAlign val="subscript"/>
        <sz val="11"/>
        <rFont val="Calibri"/>
        <family val="2"/>
        <scheme val="minor"/>
      </rPr>
      <t>CB,FLOC,HFO</t>
    </r>
    <r>
      <rPr>
        <sz val="11"/>
        <rFont val="Calibri"/>
        <family val="2"/>
        <scheme val="minor"/>
      </rPr>
      <t>)</t>
    </r>
  </si>
  <si>
    <r>
      <t>Msat</t>
    </r>
    <r>
      <rPr>
        <vertAlign val="subscript"/>
        <sz val="11"/>
        <rFont val="Calibri"/>
        <family val="2"/>
        <scheme val="minor"/>
      </rPr>
      <t>CU,KCU,FLOC,HFO</t>
    </r>
  </si>
  <si>
    <t>Saturation term for colloidal unbiodegradable organics flocculation with HFO  (floculation)</t>
  </si>
  <si>
    <r>
      <t>Msat(C</t>
    </r>
    <r>
      <rPr>
        <vertAlign val="subscript"/>
        <sz val="11"/>
        <rFont val="Calibri"/>
        <family val="2"/>
        <scheme val="minor"/>
      </rPr>
      <t>U</t>
    </r>
    <r>
      <rPr>
        <sz val="11"/>
        <rFont val="Calibri"/>
        <family val="2"/>
        <scheme val="minor"/>
      </rPr>
      <t>;K</t>
    </r>
    <r>
      <rPr>
        <vertAlign val="subscript"/>
        <sz val="11"/>
        <rFont val="Calibri"/>
        <family val="2"/>
        <scheme val="minor"/>
      </rPr>
      <t>CU,FLOC,HFO</t>
    </r>
    <r>
      <rPr>
        <sz val="11"/>
        <rFont val="Calibri"/>
        <family val="2"/>
        <scheme val="minor"/>
      </rPr>
      <t>)</t>
    </r>
  </si>
  <si>
    <r>
      <t>Msat</t>
    </r>
    <r>
      <rPr>
        <vertAlign val="subscript"/>
        <sz val="11"/>
        <rFont val="Calibri"/>
        <family val="2"/>
        <scheme val="minor"/>
      </rPr>
      <t>CB,KCB,FLOC,HAO</t>
    </r>
  </si>
  <si>
    <t>Saturation term for colloidal biodegradable substrate flocculation with HAO (flocculation)</t>
  </si>
  <si>
    <r>
      <t>Msat(C</t>
    </r>
    <r>
      <rPr>
        <vertAlign val="subscript"/>
        <sz val="11"/>
        <rFont val="Calibri"/>
        <family val="2"/>
        <scheme val="minor"/>
      </rPr>
      <t>B</t>
    </r>
    <r>
      <rPr>
        <sz val="11"/>
        <rFont val="Calibri"/>
        <family val="2"/>
        <scheme val="minor"/>
      </rPr>
      <t>;K</t>
    </r>
    <r>
      <rPr>
        <vertAlign val="subscript"/>
        <sz val="11"/>
        <rFont val="Calibri"/>
        <family val="2"/>
        <scheme val="minor"/>
      </rPr>
      <t>CB,FLOC,HAO</t>
    </r>
    <r>
      <rPr>
        <sz val="11"/>
        <rFont val="Calibri"/>
        <family val="2"/>
        <scheme val="minor"/>
      </rPr>
      <t>)</t>
    </r>
  </si>
  <si>
    <r>
      <t>Msat</t>
    </r>
    <r>
      <rPr>
        <vertAlign val="subscript"/>
        <sz val="11"/>
        <rFont val="Calibri"/>
        <family val="2"/>
        <scheme val="minor"/>
      </rPr>
      <t>CU,KCU,FLOC,HAO</t>
    </r>
  </si>
  <si>
    <t>Saturation term for colloidal unbiodegradable organics flocculation with HAO  (floculation)</t>
  </si>
  <si>
    <r>
      <t>Msat(C</t>
    </r>
    <r>
      <rPr>
        <vertAlign val="subscript"/>
        <sz val="11"/>
        <rFont val="Calibri"/>
        <family val="2"/>
        <scheme val="minor"/>
      </rPr>
      <t>U</t>
    </r>
    <r>
      <rPr>
        <sz val="11"/>
        <rFont val="Calibri"/>
        <family val="2"/>
        <scheme val="minor"/>
      </rPr>
      <t>;K</t>
    </r>
    <r>
      <rPr>
        <vertAlign val="subscript"/>
        <sz val="11"/>
        <rFont val="Calibri"/>
        <family val="2"/>
        <scheme val="minor"/>
      </rPr>
      <t>CU,FLOC,HAO</t>
    </r>
    <r>
      <rPr>
        <sz val="11"/>
        <rFont val="Calibri"/>
        <family val="2"/>
        <scheme val="minor"/>
      </rPr>
      <t>)</t>
    </r>
  </si>
  <si>
    <r>
      <t>q</t>
    </r>
    <r>
      <rPr>
        <vertAlign val="subscript"/>
        <sz val="11"/>
        <color indexed="8"/>
        <rFont val="Calibri"/>
        <family val="2"/>
        <scheme val="minor"/>
      </rPr>
      <t>FLOC,HFO,T</t>
    </r>
  </si>
  <si>
    <r>
      <t>q</t>
    </r>
    <r>
      <rPr>
        <vertAlign val="subscript"/>
        <sz val="11"/>
        <color indexed="8"/>
        <rFont val="Calibri"/>
        <family val="2"/>
        <scheme val="minor"/>
      </rPr>
      <t>FLOC,HFO</t>
    </r>
    <r>
      <rPr>
        <sz val="11"/>
        <color indexed="8"/>
        <rFont val="Calibri"/>
        <family val="2"/>
        <scheme val="minor"/>
      </rPr>
      <t>*Arrh(θ</t>
    </r>
    <r>
      <rPr>
        <vertAlign val="subscript"/>
        <sz val="11"/>
        <color indexed="8"/>
        <rFont val="Calibri"/>
        <family val="2"/>
        <scheme val="minor"/>
      </rPr>
      <t>q,FLOC,HFO</t>
    </r>
    <r>
      <rPr>
        <sz val="11"/>
        <color indexed="8"/>
        <rFont val="Calibri"/>
        <family val="2"/>
        <scheme val="minor"/>
      </rPr>
      <t>; T; T</t>
    </r>
    <r>
      <rPr>
        <vertAlign val="subscript"/>
        <sz val="11"/>
        <color indexed="8"/>
        <rFont val="Calibri"/>
        <family val="2"/>
        <scheme val="minor"/>
      </rPr>
      <t>base</t>
    </r>
    <r>
      <rPr>
        <sz val="11"/>
        <color indexed="8"/>
        <rFont val="Calibri"/>
        <family val="2"/>
        <scheme val="minor"/>
      </rPr>
      <t>)</t>
    </r>
  </si>
  <si>
    <r>
      <t>q</t>
    </r>
    <r>
      <rPr>
        <vertAlign val="subscript"/>
        <sz val="11"/>
        <color indexed="8"/>
        <rFont val="Calibri"/>
        <family val="2"/>
        <scheme val="minor"/>
      </rPr>
      <t>FLOC,HAO,T</t>
    </r>
  </si>
  <si>
    <r>
      <t>q</t>
    </r>
    <r>
      <rPr>
        <vertAlign val="subscript"/>
        <sz val="11"/>
        <color indexed="8"/>
        <rFont val="Calibri"/>
        <family val="2"/>
        <scheme val="minor"/>
      </rPr>
      <t>FLOC,HAO</t>
    </r>
    <r>
      <rPr>
        <sz val="11"/>
        <color indexed="8"/>
        <rFont val="Calibri"/>
        <family val="2"/>
        <scheme val="minor"/>
      </rPr>
      <t>*Arrh(θ</t>
    </r>
    <r>
      <rPr>
        <vertAlign val="subscript"/>
        <sz val="11"/>
        <color indexed="8"/>
        <rFont val="Calibri"/>
        <family val="2"/>
        <scheme val="minor"/>
      </rPr>
      <t>q,FLOC,HAO</t>
    </r>
    <r>
      <rPr>
        <sz val="11"/>
        <color indexed="8"/>
        <rFont val="Calibri"/>
        <family val="2"/>
        <scheme val="minor"/>
      </rPr>
      <t>; T; T</t>
    </r>
    <r>
      <rPr>
        <vertAlign val="subscript"/>
        <sz val="11"/>
        <color indexed="8"/>
        <rFont val="Calibri"/>
        <family val="2"/>
        <scheme val="minor"/>
      </rPr>
      <t>base</t>
    </r>
    <r>
      <rPr>
        <sz val="11"/>
        <color indexed="8"/>
        <rFont val="Calibri"/>
        <family val="2"/>
        <scheme val="minor"/>
      </rPr>
      <t>)</t>
    </r>
  </si>
  <si>
    <t>Key(1100)</t>
  </si>
  <si>
    <t>Key(979)</t>
  </si>
  <si>
    <t>Key(985)</t>
  </si>
  <si>
    <t>Key(978)</t>
  </si>
  <si>
    <r>
      <t>η</t>
    </r>
    <r>
      <rPr>
        <vertAlign val="subscript"/>
        <sz val="11"/>
        <color rgb="FFFF0000"/>
        <rFont val="Calibri"/>
        <family val="2"/>
        <scheme val="minor"/>
      </rPr>
      <t>OHO,anox,NO2red</t>
    </r>
  </si>
  <si>
    <t>Reduction factor for anoxic growth of OHOs nitrite reduction only VFA</t>
  </si>
  <si>
    <r>
      <t>K</t>
    </r>
    <r>
      <rPr>
        <vertAlign val="subscript"/>
        <sz val="11"/>
        <color rgb="FFFF0000"/>
        <rFont val="Calibri"/>
        <family val="2"/>
        <scheme val="minor"/>
      </rPr>
      <t>VFA,OHO,SNO2,AS</t>
    </r>
  </si>
  <si>
    <t>Half-saturation of VFA for OHOs under nitrite reduction</t>
  </si>
  <si>
    <r>
      <t>K</t>
    </r>
    <r>
      <rPr>
        <vertAlign val="subscript"/>
        <sz val="11"/>
        <color rgb="FFFF0000"/>
        <rFont val="Calibri"/>
        <family val="2"/>
        <scheme val="minor"/>
      </rPr>
      <t>MEOL,SNO2,AS</t>
    </r>
  </si>
  <si>
    <t>Half-saturation of MEOL for OHOs under nitrite reduction</t>
  </si>
  <si>
    <r>
      <t>K</t>
    </r>
    <r>
      <rPr>
        <vertAlign val="subscript"/>
        <sz val="11"/>
        <color rgb="FFFF0000"/>
        <rFont val="Calibri"/>
        <family val="2"/>
        <scheme val="minor"/>
      </rPr>
      <t>VFA,OHO,SNO2</t>
    </r>
  </si>
  <si>
    <r>
      <t>K</t>
    </r>
    <r>
      <rPr>
        <vertAlign val="subscript"/>
        <sz val="11"/>
        <color rgb="FFFF0000"/>
        <rFont val="Calibri"/>
        <family val="2"/>
        <scheme val="minor"/>
      </rPr>
      <t>VFA,OHO,SNO2,AS</t>
    </r>
    <r>
      <rPr>
        <sz val="11"/>
        <color rgb="FFFF0000"/>
        <rFont val="Calibri"/>
        <family val="2"/>
        <scheme val="minor"/>
      </rPr>
      <t>*f</t>
    </r>
    <r>
      <rPr>
        <vertAlign val="subscript"/>
        <sz val="11"/>
        <color rgb="FFFF0000"/>
        <rFont val="Calibri"/>
        <family val="2"/>
        <scheme val="minor"/>
      </rPr>
      <t>KS</t>
    </r>
  </si>
  <si>
    <r>
      <t>K</t>
    </r>
    <r>
      <rPr>
        <vertAlign val="subscript"/>
        <sz val="11"/>
        <color rgb="FFFF0000"/>
        <rFont val="Calibri"/>
        <family val="2"/>
        <scheme val="minor"/>
      </rPr>
      <t>MEOL,SNO2</t>
    </r>
  </si>
  <si>
    <r>
      <t>K</t>
    </r>
    <r>
      <rPr>
        <vertAlign val="subscript"/>
        <sz val="11"/>
        <color rgb="FFFF0000"/>
        <rFont val="Calibri"/>
        <family val="2"/>
        <scheme val="minor"/>
      </rPr>
      <t>MEOL,SNO2,AS</t>
    </r>
    <r>
      <rPr>
        <sz val="11"/>
        <color rgb="FFFF0000"/>
        <rFont val="Calibri"/>
        <family val="2"/>
        <scheme val="minor"/>
      </rPr>
      <t>*f</t>
    </r>
    <r>
      <rPr>
        <vertAlign val="subscript"/>
        <sz val="11"/>
        <color rgb="FFFF0000"/>
        <rFont val="Calibri"/>
        <family val="2"/>
        <scheme val="minor"/>
      </rPr>
      <t>KS</t>
    </r>
  </si>
  <si>
    <r>
      <t>Loginh</t>
    </r>
    <r>
      <rPr>
        <vertAlign val="subscript"/>
        <sz val="11"/>
        <color rgb="FFFF0000"/>
        <rFont val="Calibri"/>
        <family val="2"/>
        <scheme val="minor"/>
      </rPr>
      <t>SNO3,KNO3,OHO</t>
    </r>
  </si>
  <si>
    <r>
      <t>Logsat</t>
    </r>
    <r>
      <rPr>
        <vertAlign val="subscript"/>
        <sz val="11"/>
        <color rgb="FFFF0000"/>
        <rFont val="Calibri"/>
        <family val="2"/>
        <scheme val="minor"/>
      </rPr>
      <t>SNO3,KNO3,OHO</t>
    </r>
  </si>
  <si>
    <t>Saturation term for NO3 during nitrate reductase</t>
  </si>
  <si>
    <r>
      <t>Logsat</t>
    </r>
    <r>
      <rPr>
        <vertAlign val="subscript"/>
        <sz val="11"/>
        <color rgb="FFFF0000"/>
        <rFont val="Calibri"/>
        <family val="2"/>
        <scheme val="minor"/>
      </rPr>
      <t>SVFA,KVFA,OHO,SNO2</t>
    </r>
  </si>
  <si>
    <t>Saturation term for VFA during nitrite reductase</t>
  </si>
  <si>
    <r>
      <t>Loginh</t>
    </r>
    <r>
      <rPr>
        <vertAlign val="subscript"/>
        <sz val="11"/>
        <color rgb="FFFF0000"/>
        <rFont val="Calibri"/>
        <family val="2"/>
        <scheme val="minor"/>
      </rPr>
      <t>SVFA,KVFA,OHO,SNO2</t>
    </r>
  </si>
  <si>
    <t>Inhibition term for VFA during nitrite reductase</t>
  </si>
  <si>
    <r>
      <t>Logsat</t>
    </r>
    <r>
      <rPr>
        <vertAlign val="subscript"/>
        <sz val="11"/>
        <color rgb="FFFF0000"/>
        <rFont val="Calibri"/>
        <family val="2"/>
        <scheme val="minor"/>
      </rPr>
      <t>SMEOL,KMEOL,SNO2</t>
    </r>
  </si>
  <si>
    <t>Saturation term for MEOL during nitrite reductase</t>
  </si>
  <si>
    <r>
      <t>Loginh</t>
    </r>
    <r>
      <rPr>
        <vertAlign val="subscript"/>
        <sz val="11"/>
        <color rgb="FFFF0000"/>
        <rFont val="Calibri"/>
        <family val="2"/>
        <scheme val="minor"/>
      </rPr>
      <t>SMEOL,KMEOL,SNO2</t>
    </r>
  </si>
  <si>
    <t>Inhibition term for MEOL during nitrite reductase</t>
  </si>
  <si>
    <r>
      <t>Logsat</t>
    </r>
    <r>
      <rPr>
        <vertAlign val="subscript"/>
        <sz val="11"/>
        <color rgb="FFFF0000"/>
        <rFont val="Calibri"/>
        <family val="2"/>
        <scheme val="minor"/>
      </rPr>
      <t>SNO3,KNO3,MEOLO</t>
    </r>
  </si>
  <si>
    <r>
      <t>Loginh</t>
    </r>
    <r>
      <rPr>
        <vertAlign val="subscript"/>
        <sz val="11"/>
        <color rgb="FFFF0000"/>
        <rFont val="Calibri"/>
        <family val="2"/>
        <scheme val="minor"/>
      </rPr>
      <t>SNO3,KNO3,MEOLO</t>
    </r>
  </si>
  <si>
    <r>
      <t>f(X</t>
    </r>
    <r>
      <rPr>
        <vertAlign val="subscript"/>
        <sz val="11"/>
        <rFont val="Calibri"/>
        <family val="2"/>
      </rPr>
      <t>INORG</t>
    </r>
    <r>
      <rPr>
        <sz val="11"/>
        <rFont val="Calibri"/>
        <family val="2"/>
      </rPr>
      <t>);f(X</t>
    </r>
    <r>
      <rPr>
        <vertAlign val="subscript"/>
        <sz val="11"/>
        <rFont val="Calibri"/>
        <family val="2"/>
      </rPr>
      <t>STO</t>
    </r>
    <r>
      <rPr>
        <sz val="11"/>
        <rFont val="Calibri"/>
        <family val="2"/>
      </rPr>
      <t>)</t>
    </r>
  </si>
  <si>
    <t>For SB it is for both nitrate and nitrite reduction, while for VFA its only for nitrate reduction.</t>
  </si>
  <si>
    <r>
      <t>Logrange</t>
    </r>
    <r>
      <rPr>
        <vertAlign val="subscript"/>
        <sz val="11"/>
        <color rgb="FFFF0000"/>
        <rFont val="Calibri"/>
        <family val="2"/>
        <scheme val="minor"/>
      </rPr>
      <t>SNO3</t>
    </r>
  </si>
  <si>
    <t>Effective range of logistic switch for nitrate inhibition on nitrite reduction</t>
  </si>
  <si>
    <r>
      <t>Logrange</t>
    </r>
    <r>
      <rPr>
        <vertAlign val="subscript"/>
        <sz val="11"/>
        <color rgb="FFFF0000"/>
        <rFont val="Calibri"/>
        <family val="2"/>
        <scheme val="minor"/>
      </rPr>
      <t>KSNO3</t>
    </r>
  </si>
  <si>
    <t>Effective range of logistic switch for nitrate saturation on nitrate reduction</t>
  </si>
  <si>
    <r>
      <t>Logrange</t>
    </r>
    <r>
      <rPr>
        <vertAlign val="subscript"/>
        <sz val="11"/>
        <color rgb="FFFF0000"/>
        <rFont val="Calibri"/>
        <family val="2"/>
        <scheme val="minor"/>
      </rPr>
      <t>KVFA,SNO2</t>
    </r>
  </si>
  <si>
    <t>Effective range of logistic switch for VFA saturation on nitrite reduction</t>
  </si>
  <si>
    <r>
      <t>Logrange</t>
    </r>
    <r>
      <rPr>
        <vertAlign val="subscript"/>
        <sz val="11"/>
        <color rgb="FFFF0000"/>
        <rFont val="Calibri"/>
        <family val="2"/>
        <scheme val="minor"/>
      </rPr>
      <t>KMEOL,SNO2</t>
    </r>
  </si>
  <si>
    <t>Effective range of logistic switch for MEOL saturation on nitrite reduction</t>
  </si>
  <si>
    <r>
      <t>Logslope</t>
    </r>
    <r>
      <rPr>
        <vertAlign val="subscript"/>
        <sz val="11"/>
        <color rgb="FFFF0000"/>
        <rFont val="Calibri"/>
        <family val="2"/>
        <scheme val="minor"/>
      </rPr>
      <t>SNO3</t>
    </r>
  </si>
  <si>
    <t>Logistic slope of nitrate inhibition on nitrite reduction</t>
  </si>
  <si>
    <r>
      <t>Logisticslope(K</t>
    </r>
    <r>
      <rPr>
        <vertAlign val="subscript"/>
        <sz val="11"/>
        <color rgb="FFFF0000"/>
        <rFont val="Calibri"/>
        <family val="2"/>
        <scheme val="minor"/>
      </rPr>
      <t>NO3,OHO</t>
    </r>
    <r>
      <rPr>
        <sz val="11"/>
        <color rgb="FFFF0000"/>
        <rFont val="Calibri"/>
        <family val="2"/>
        <scheme val="minor"/>
      </rPr>
      <t>; Logrange</t>
    </r>
    <r>
      <rPr>
        <vertAlign val="subscript"/>
        <sz val="11"/>
        <color rgb="FFFF0000"/>
        <rFont val="Calibri"/>
        <family val="2"/>
        <scheme val="minor"/>
      </rPr>
      <t>SNO3</t>
    </r>
    <r>
      <rPr>
        <sz val="11"/>
        <color rgb="FFFF0000"/>
        <rFont val="Calibri"/>
        <family val="2"/>
        <scheme val="minor"/>
      </rPr>
      <t>)</t>
    </r>
  </si>
  <si>
    <r>
      <t>Logslope</t>
    </r>
    <r>
      <rPr>
        <vertAlign val="subscript"/>
        <sz val="11"/>
        <color rgb="FFFF0000"/>
        <rFont val="Calibri"/>
        <family val="2"/>
        <scheme val="minor"/>
      </rPr>
      <t>KSNO3</t>
    </r>
  </si>
  <si>
    <t>Logistic slope of nitrate saturation on nitrate reduction</t>
  </si>
  <si>
    <r>
      <t>Logisticslope(K</t>
    </r>
    <r>
      <rPr>
        <vertAlign val="subscript"/>
        <sz val="11"/>
        <color rgb="FFFF0000"/>
        <rFont val="Calibri"/>
        <family val="2"/>
        <scheme val="minor"/>
      </rPr>
      <t>NO3,OHO</t>
    </r>
    <r>
      <rPr>
        <sz val="11"/>
        <color rgb="FFFF0000"/>
        <rFont val="Calibri"/>
        <family val="2"/>
        <scheme val="minor"/>
      </rPr>
      <t>; Logrange</t>
    </r>
    <r>
      <rPr>
        <vertAlign val="subscript"/>
        <sz val="11"/>
        <color rgb="FFFF0000"/>
        <rFont val="Calibri"/>
        <family val="2"/>
        <scheme val="minor"/>
      </rPr>
      <t>KSNO3</t>
    </r>
    <r>
      <rPr>
        <sz val="11"/>
        <color rgb="FFFF0000"/>
        <rFont val="Calibri"/>
        <family val="2"/>
        <scheme val="minor"/>
      </rPr>
      <t>)</t>
    </r>
  </si>
  <si>
    <r>
      <t>Logslope</t>
    </r>
    <r>
      <rPr>
        <vertAlign val="subscript"/>
        <sz val="11"/>
        <color rgb="FFFF0000"/>
        <rFont val="Calibri"/>
        <family val="2"/>
        <scheme val="minor"/>
      </rPr>
      <t>KVFA,SNO2</t>
    </r>
  </si>
  <si>
    <t>Logistic slope of VFA saturation on nitrite reduction</t>
  </si>
  <si>
    <r>
      <t>Logisticslope(K</t>
    </r>
    <r>
      <rPr>
        <vertAlign val="subscript"/>
        <sz val="11"/>
        <color rgb="FFFF0000"/>
        <rFont val="Calibri"/>
        <family val="2"/>
        <scheme val="minor"/>
      </rPr>
      <t>VFA,OHO,SNO2</t>
    </r>
    <r>
      <rPr>
        <sz val="11"/>
        <color rgb="FFFF0000"/>
        <rFont val="Calibri"/>
        <family val="2"/>
        <scheme val="minor"/>
      </rPr>
      <t>; Logrange</t>
    </r>
    <r>
      <rPr>
        <vertAlign val="subscript"/>
        <sz val="11"/>
        <color rgb="FFFF0000"/>
        <rFont val="Calibri"/>
        <family val="2"/>
        <scheme val="minor"/>
      </rPr>
      <t>KVFA,SNO2</t>
    </r>
    <r>
      <rPr>
        <sz val="11"/>
        <color rgb="FFFF0000"/>
        <rFont val="Calibri"/>
        <family val="2"/>
        <scheme val="minor"/>
      </rPr>
      <t>)</t>
    </r>
  </si>
  <si>
    <r>
      <t>Logslope</t>
    </r>
    <r>
      <rPr>
        <vertAlign val="subscript"/>
        <sz val="11"/>
        <color rgb="FFFF0000"/>
        <rFont val="Calibri"/>
        <family val="2"/>
        <scheme val="minor"/>
      </rPr>
      <t>KMEOL,SNO2</t>
    </r>
  </si>
  <si>
    <t>Logistic slope of MEOL saturation on nitrite reduction</t>
  </si>
  <si>
    <r>
      <t>Logisticslope(K</t>
    </r>
    <r>
      <rPr>
        <vertAlign val="subscript"/>
        <sz val="11"/>
        <color rgb="FFFF0000"/>
        <rFont val="Calibri"/>
        <family val="2"/>
        <scheme val="minor"/>
      </rPr>
      <t>MEOL,SNO2</t>
    </r>
    <r>
      <rPr>
        <sz val="11"/>
        <color rgb="FFFF0000"/>
        <rFont val="Calibri"/>
        <family val="2"/>
        <scheme val="minor"/>
      </rPr>
      <t>; Logrange</t>
    </r>
    <r>
      <rPr>
        <vertAlign val="subscript"/>
        <sz val="11"/>
        <color rgb="FFFF0000"/>
        <rFont val="Calibri"/>
        <family val="2"/>
        <scheme val="minor"/>
      </rPr>
      <t>KMEOL,SNO2</t>
    </r>
    <r>
      <rPr>
        <sz val="11"/>
        <color rgb="FFFF0000"/>
        <rFont val="Calibri"/>
        <family val="2"/>
        <scheme val="minor"/>
      </rPr>
      <t>)</t>
    </r>
  </si>
  <si>
    <r>
      <t>Logslope</t>
    </r>
    <r>
      <rPr>
        <vertAlign val="subscript"/>
        <sz val="11"/>
        <color rgb="FFFF0000"/>
        <rFont val="Calibri"/>
        <family val="2"/>
        <scheme val="minor"/>
      </rPr>
      <t>KSNO3,MEOLO</t>
    </r>
  </si>
  <si>
    <t>Logistic slope of nitrate switch on nitrite reduction for MEOLOs</t>
  </si>
  <si>
    <r>
      <t>Logisticslope(K</t>
    </r>
    <r>
      <rPr>
        <vertAlign val="subscript"/>
        <sz val="11"/>
        <color rgb="FFFF0000"/>
        <rFont val="Calibri"/>
        <family val="2"/>
        <scheme val="minor"/>
      </rPr>
      <t>NO3,MEOLO</t>
    </r>
    <r>
      <rPr>
        <sz val="11"/>
        <color rgb="FFFF0000"/>
        <rFont val="Calibri"/>
        <family val="2"/>
        <scheme val="minor"/>
      </rPr>
      <t>; Logrange</t>
    </r>
    <r>
      <rPr>
        <vertAlign val="subscript"/>
        <sz val="11"/>
        <color rgb="FFFF0000"/>
        <rFont val="Calibri"/>
        <family val="2"/>
        <scheme val="minor"/>
      </rPr>
      <t>SNO3</t>
    </r>
    <r>
      <rPr>
        <sz val="11"/>
        <color rgb="FFFF0000"/>
        <rFont val="Calibri"/>
        <family val="2"/>
        <scheme val="minor"/>
      </rPr>
      <t>)</t>
    </r>
  </si>
  <si>
    <r>
      <t>Inhibition term for NO</t>
    </r>
    <r>
      <rPr>
        <vertAlign val="subscript"/>
        <sz val="11"/>
        <color rgb="FFFF0000"/>
        <rFont val="Calibri"/>
        <family val="2"/>
        <scheme val="minor"/>
      </rPr>
      <t>3</t>
    </r>
    <r>
      <rPr>
        <sz val="11"/>
        <color rgb="FFFF0000"/>
        <rFont val="Calibri"/>
        <family val="2"/>
        <scheme val="minor"/>
      </rPr>
      <t xml:space="preserve"> (OHO)</t>
    </r>
  </si>
  <si>
    <r>
      <t>Loginh(S</t>
    </r>
    <r>
      <rPr>
        <vertAlign val="subscript"/>
        <sz val="11"/>
        <color rgb="FFFF0000"/>
        <rFont val="Calibri"/>
        <family val="2"/>
        <scheme val="minor"/>
      </rPr>
      <t>NO3</t>
    </r>
    <r>
      <rPr>
        <sz val="11"/>
        <color rgb="FFFF0000"/>
        <rFont val="Calibri"/>
        <family val="2"/>
        <scheme val="minor"/>
      </rPr>
      <t>;K</t>
    </r>
    <r>
      <rPr>
        <vertAlign val="subscript"/>
        <sz val="11"/>
        <color rgb="FFFF0000"/>
        <rFont val="Calibri"/>
        <family val="2"/>
        <scheme val="minor"/>
      </rPr>
      <t>NO3,OHO</t>
    </r>
    <r>
      <rPr>
        <sz val="11"/>
        <color rgb="FFFF0000"/>
        <rFont val="Calibri"/>
        <family val="2"/>
        <scheme val="minor"/>
      </rPr>
      <t>;Logslope</t>
    </r>
    <r>
      <rPr>
        <vertAlign val="subscript"/>
        <sz val="11"/>
        <color rgb="FFFF0000"/>
        <rFont val="Calibri"/>
        <family val="2"/>
        <scheme val="minor"/>
      </rPr>
      <t>SNO3</t>
    </r>
    <r>
      <rPr>
        <sz val="11"/>
        <color rgb="FFFF0000"/>
        <rFont val="Calibri"/>
        <family val="2"/>
        <scheme val="minor"/>
      </rPr>
      <t>)</t>
    </r>
  </si>
  <si>
    <r>
      <t>Logsat(S</t>
    </r>
    <r>
      <rPr>
        <vertAlign val="subscript"/>
        <sz val="11"/>
        <color rgb="FFFF0000"/>
        <rFont val="Calibri"/>
        <family val="2"/>
        <scheme val="minor"/>
      </rPr>
      <t>NO3</t>
    </r>
    <r>
      <rPr>
        <sz val="11"/>
        <color rgb="FFFF0000"/>
        <rFont val="Calibri"/>
        <family val="2"/>
        <scheme val="minor"/>
      </rPr>
      <t>;K</t>
    </r>
    <r>
      <rPr>
        <vertAlign val="subscript"/>
        <sz val="11"/>
        <color rgb="FFFF0000"/>
        <rFont val="Calibri"/>
        <family val="2"/>
        <scheme val="minor"/>
      </rPr>
      <t>NO3,OHO</t>
    </r>
    <r>
      <rPr>
        <sz val="11"/>
        <color rgb="FFFF0000"/>
        <rFont val="Calibri"/>
        <family val="2"/>
        <scheme val="minor"/>
      </rPr>
      <t>;Logslope</t>
    </r>
    <r>
      <rPr>
        <vertAlign val="subscript"/>
        <sz val="11"/>
        <color rgb="FFFF0000"/>
        <rFont val="Calibri"/>
        <family val="2"/>
        <scheme val="minor"/>
      </rPr>
      <t>KSNO3</t>
    </r>
    <r>
      <rPr>
        <sz val="11"/>
        <color rgb="FFFF0000"/>
        <rFont val="Calibri"/>
        <family val="2"/>
        <scheme val="minor"/>
      </rPr>
      <t>)</t>
    </r>
  </si>
  <si>
    <r>
      <t>Logsat(S</t>
    </r>
    <r>
      <rPr>
        <vertAlign val="subscript"/>
        <sz val="11"/>
        <color rgb="FFFF0000"/>
        <rFont val="Calibri"/>
        <family val="2"/>
        <scheme val="minor"/>
      </rPr>
      <t>VFA</t>
    </r>
    <r>
      <rPr>
        <sz val="11"/>
        <color rgb="FFFF0000"/>
        <rFont val="Calibri"/>
        <family val="2"/>
        <scheme val="minor"/>
      </rPr>
      <t>;K</t>
    </r>
    <r>
      <rPr>
        <vertAlign val="subscript"/>
        <sz val="11"/>
        <color rgb="FFFF0000"/>
        <rFont val="Calibri"/>
        <family val="2"/>
        <scheme val="minor"/>
      </rPr>
      <t>VFA,OHO,SNO2</t>
    </r>
    <r>
      <rPr>
        <sz val="11"/>
        <color rgb="FFFF0000"/>
        <rFont val="Calibri"/>
        <family val="2"/>
        <scheme val="minor"/>
      </rPr>
      <t>;Logslope</t>
    </r>
    <r>
      <rPr>
        <vertAlign val="subscript"/>
        <sz val="11"/>
        <color rgb="FFFF0000"/>
        <rFont val="Calibri"/>
        <family val="2"/>
        <scheme val="minor"/>
      </rPr>
      <t>KVFA,SNO2</t>
    </r>
    <r>
      <rPr>
        <sz val="11"/>
        <color rgb="FFFF0000"/>
        <rFont val="Calibri"/>
        <family val="2"/>
        <scheme val="minor"/>
      </rPr>
      <t>)</t>
    </r>
  </si>
  <si>
    <r>
      <t>Loginh(S</t>
    </r>
    <r>
      <rPr>
        <vertAlign val="subscript"/>
        <sz val="11"/>
        <color rgb="FFFF0000"/>
        <rFont val="Calibri"/>
        <family val="2"/>
        <scheme val="minor"/>
      </rPr>
      <t>VFA</t>
    </r>
    <r>
      <rPr>
        <sz val="11"/>
        <color rgb="FFFF0000"/>
        <rFont val="Calibri"/>
        <family val="2"/>
        <scheme val="minor"/>
      </rPr>
      <t>;K</t>
    </r>
    <r>
      <rPr>
        <vertAlign val="subscript"/>
        <sz val="11"/>
        <color rgb="FFFF0000"/>
        <rFont val="Calibri"/>
        <family val="2"/>
        <scheme val="minor"/>
      </rPr>
      <t>VFA,OHO,SNO2</t>
    </r>
    <r>
      <rPr>
        <sz val="11"/>
        <color rgb="FFFF0000"/>
        <rFont val="Calibri"/>
        <family val="2"/>
        <scheme val="minor"/>
      </rPr>
      <t>;Logslope</t>
    </r>
    <r>
      <rPr>
        <vertAlign val="subscript"/>
        <sz val="11"/>
        <color rgb="FFFF0000"/>
        <rFont val="Calibri"/>
        <family val="2"/>
        <scheme val="minor"/>
      </rPr>
      <t>KVFA,SNO2</t>
    </r>
    <r>
      <rPr>
        <sz val="11"/>
        <color rgb="FFFF0000"/>
        <rFont val="Calibri"/>
        <family val="2"/>
        <scheme val="minor"/>
      </rPr>
      <t>)</t>
    </r>
  </si>
  <si>
    <r>
      <t>Logsat(S</t>
    </r>
    <r>
      <rPr>
        <vertAlign val="subscript"/>
        <sz val="11"/>
        <color rgb="FFFF0000"/>
        <rFont val="Calibri"/>
        <family val="2"/>
        <scheme val="minor"/>
      </rPr>
      <t>MEOL</t>
    </r>
    <r>
      <rPr>
        <sz val="11"/>
        <color rgb="FFFF0000"/>
        <rFont val="Calibri"/>
        <family val="2"/>
        <scheme val="minor"/>
      </rPr>
      <t>;K</t>
    </r>
    <r>
      <rPr>
        <vertAlign val="subscript"/>
        <sz val="11"/>
        <color rgb="FFFF0000"/>
        <rFont val="Calibri"/>
        <family val="2"/>
        <scheme val="minor"/>
      </rPr>
      <t>MEOL,SNO2</t>
    </r>
    <r>
      <rPr>
        <sz val="11"/>
        <color rgb="FFFF0000"/>
        <rFont val="Calibri"/>
        <family val="2"/>
        <scheme val="minor"/>
      </rPr>
      <t>;Logslope</t>
    </r>
    <r>
      <rPr>
        <vertAlign val="subscript"/>
        <sz val="11"/>
        <color rgb="FFFF0000"/>
        <rFont val="Calibri"/>
        <family val="2"/>
        <scheme val="minor"/>
      </rPr>
      <t>KMEOL,SNO2</t>
    </r>
    <r>
      <rPr>
        <sz val="11"/>
        <color rgb="FFFF0000"/>
        <rFont val="Calibri"/>
        <family val="2"/>
        <scheme val="minor"/>
      </rPr>
      <t>)</t>
    </r>
  </si>
  <si>
    <r>
      <t>Loginh(S</t>
    </r>
    <r>
      <rPr>
        <vertAlign val="subscript"/>
        <sz val="11"/>
        <color rgb="FFFF0000"/>
        <rFont val="Calibri"/>
        <family val="2"/>
        <scheme val="minor"/>
      </rPr>
      <t>MEOL</t>
    </r>
    <r>
      <rPr>
        <sz val="11"/>
        <color rgb="FFFF0000"/>
        <rFont val="Calibri"/>
        <family val="2"/>
        <scheme val="minor"/>
      </rPr>
      <t>;K</t>
    </r>
    <r>
      <rPr>
        <vertAlign val="subscript"/>
        <sz val="11"/>
        <color rgb="FFFF0000"/>
        <rFont val="Calibri"/>
        <family val="2"/>
        <scheme val="minor"/>
      </rPr>
      <t>MEOL,SNO2</t>
    </r>
    <r>
      <rPr>
        <sz val="11"/>
        <color rgb="FFFF0000"/>
        <rFont val="Calibri"/>
        <family val="2"/>
        <scheme val="minor"/>
      </rPr>
      <t>;Logslope</t>
    </r>
    <r>
      <rPr>
        <vertAlign val="subscript"/>
        <sz val="11"/>
        <color rgb="FFFF0000"/>
        <rFont val="Calibri"/>
        <family val="2"/>
        <scheme val="minor"/>
      </rPr>
      <t>KMEOL,SNO2</t>
    </r>
    <r>
      <rPr>
        <sz val="11"/>
        <color rgb="FFFF0000"/>
        <rFont val="Calibri"/>
        <family val="2"/>
        <scheme val="minor"/>
      </rPr>
      <t>)</t>
    </r>
  </si>
  <si>
    <t>Saturation term for nitrate inhibition on nitrite reduction (MEOLO)</t>
  </si>
  <si>
    <r>
      <t>Logsat(S</t>
    </r>
    <r>
      <rPr>
        <vertAlign val="subscript"/>
        <sz val="11"/>
        <color rgb="FFFF0000"/>
        <rFont val="Calibri"/>
        <family val="2"/>
        <scheme val="minor"/>
      </rPr>
      <t>NO3</t>
    </r>
    <r>
      <rPr>
        <sz val="11"/>
        <color rgb="FFFF0000"/>
        <rFont val="Calibri"/>
        <family val="2"/>
        <scheme val="minor"/>
      </rPr>
      <t>;K</t>
    </r>
    <r>
      <rPr>
        <vertAlign val="subscript"/>
        <sz val="11"/>
        <color rgb="FFFF0000"/>
        <rFont val="Calibri"/>
        <family val="2"/>
        <scheme val="minor"/>
      </rPr>
      <t>NO3,MEOLO</t>
    </r>
    <r>
      <rPr>
        <sz val="11"/>
        <color rgb="FFFF0000"/>
        <rFont val="Calibri"/>
        <family val="2"/>
        <scheme val="minor"/>
      </rPr>
      <t>;Logslope</t>
    </r>
    <r>
      <rPr>
        <vertAlign val="subscript"/>
        <sz val="11"/>
        <color rgb="FFFF0000"/>
        <rFont val="Calibri"/>
        <family val="2"/>
        <scheme val="minor"/>
      </rPr>
      <t>KSNO3,MEOLO</t>
    </r>
    <r>
      <rPr>
        <sz val="11"/>
        <color rgb="FFFF0000"/>
        <rFont val="Calibri"/>
        <family val="2"/>
        <scheme val="minor"/>
      </rPr>
      <t>)</t>
    </r>
  </si>
  <si>
    <t>Inhibition term for nitrate inhibition on nitrite reduction (MEOLO)</t>
  </si>
  <si>
    <r>
      <t>Loginh(S</t>
    </r>
    <r>
      <rPr>
        <vertAlign val="subscript"/>
        <sz val="11"/>
        <color rgb="FFFF0000"/>
        <rFont val="Calibri"/>
        <family val="2"/>
        <scheme val="minor"/>
      </rPr>
      <t>NO3</t>
    </r>
    <r>
      <rPr>
        <sz val="11"/>
        <color rgb="FFFF0000"/>
        <rFont val="Calibri"/>
        <family val="2"/>
        <scheme val="minor"/>
      </rPr>
      <t>;K</t>
    </r>
    <r>
      <rPr>
        <vertAlign val="subscript"/>
        <sz val="11"/>
        <color rgb="FFFF0000"/>
        <rFont val="Calibri"/>
        <family val="2"/>
        <scheme val="minor"/>
      </rPr>
      <t>NO3,MEOLO</t>
    </r>
    <r>
      <rPr>
        <sz val="11"/>
        <color rgb="FFFF0000"/>
        <rFont val="Calibri"/>
        <family val="2"/>
        <scheme val="minor"/>
      </rPr>
      <t>;Logslope</t>
    </r>
    <r>
      <rPr>
        <vertAlign val="subscript"/>
        <sz val="11"/>
        <color rgb="FFFF0000"/>
        <rFont val="Calibri"/>
        <family val="2"/>
        <scheme val="minor"/>
      </rPr>
      <t>KSNO3,MEOLO</t>
    </r>
    <r>
      <rPr>
        <sz val="11"/>
        <color rgb="FFFF0000"/>
        <rFont val="Calibri"/>
        <family val="2"/>
        <scheme val="minor"/>
      </rPr>
      <t>)</t>
    </r>
  </si>
  <si>
    <t>Rate of CASTOs maintenance on stored carbon</t>
  </si>
  <si>
    <t>Rate of VFA storage into PHA for GAOs</t>
  </si>
  <si>
    <r>
      <t>q</t>
    </r>
    <r>
      <rPr>
        <vertAlign val="subscript"/>
        <sz val="11"/>
        <rFont val="Calibri"/>
        <family val="2"/>
        <charset val="238"/>
        <scheme val="minor"/>
      </rPr>
      <t>GAO,PHA</t>
    </r>
  </si>
  <si>
    <t>Reduction factor for anoxic maintenance of CASTOs on stored carbon</t>
  </si>
  <si>
    <r>
      <t>η</t>
    </r>
    <r>
      <rPr>
        <vertAlign val="subscript"/>
        <sz val="11"/>
        <rFont val="Calibri"/>
        <family val="2"/>
        <scheme val="minor"/>
      </rPr>
      <t>bPHA,ana</t>
    </r>
  </si>
  <si>
    <t>Reduction factor for anaerobic maintenance of GAOs on PHA</t>
  </si>
  <si>
    <r>
      <t>K</t>
    </r>
    <r>
      <rPr>
        <vertAlign val="subscript"/>
        <sz val="11"/>
        <rFont val="Calibri"/>
        <family val="2"/>
        <scheme val="minor"/>
      </rPr>
      <t>PHA</t>
    </r>
    <r>
      <rPr>
        <vertAlign val="subscript"/>
        <sz val="11"/>
        <rFont val="Calibri"/>
        <family val="2"/>
        <charset val="238"/>
        <scheme val="minor"/>
      </rPr>
      <t>,GAO</t>
    </r>
  </si>
  <si>
    <t>Half-saturation of PHA for GAOs (AS)</t>
  </si>
  <si>
    <r>
      <t>Ki</t>
    </r>
    <r>
      <rPr>
        <vertAlign val="subscript"/>
        <sz val="11"/>
        <rFont val="Calibri"/>
        <family val="2"/>
        <scheme val="minor"/>
      </rPr>
      <t>PHA,GAO,max</t>
    </r>
  </si>
  <si>
    <t>Half-inhibition of maximum PHA content of GAOs (AS)</t>
  </si>
  <si>
    <r>
      <t>Logrange</t>
    </r>
    <r>
      <rPr>
        <vertAlign val="subscript"/>
        <sz val="11"/>
        <rFont val="Calibri"/>
        <family val="2"/>
        <charset val="238"/>
        <scheme val="minor"/>
      </rPr>
      <t>PHA,GAO,inh</t>
    </r>
  </si>
  <si>
    <t>Effective range of logistic switch for PHA/GAO inhibition term</t>
  </si>
  <si>
    <t>Arrhenius coefficient for carbon storage use for maintenance</t>
  </si>
  <si>
    <r>
      <t>θ</t>
    </r>
    <r>
      <rPr>
        <vertAlign val="subscript"/>
        <sz val="11"/>
        <color indexed="8"/>
        <rFont val="Calibri"/>
        <family val="2"/>
        <scheme val="minor"/>
      </rPr>
      <t>q,GAO,PHA</t>
    </r>
  </si>
  <si>
    <r>
      <t>Y</t>
    </r>
    <r>
      <rPr>
        <vertAlign val="subscript"/>
        <sz val="11"/>
        <rFont val="Calibri"/>
        <family val="2"/>
        <scheme val="minor"/>
      </rPr>
      <t>PAO,PHA,ox</t>
    </r>
  </si>
  <si>
    <t>Yield of PAOs on PHA under aerobic conditions</t>
  </si>
  <si>
    <r>
      <t>Y</t>
    </r>
    <r>
      <rPr>
        <vertAlign val="subscript"/>
        <sz val="11"/>
        <rFont val="Calibri"/>
        <family val="2"/>
        <scheme val="minor"/>
      </rPr>
      <t>PAO,PHA,anox</t>
    </r>
  </si>
  <si>
    <t>Yield of PAOs on PHA under anoxic conditions</t>
  </si>
  <si>
    <r>
      <t>Y</t>
    </r>
    <r>
      <rPr>
        <vertAlign val="subscript"/>
        <sz val="11"/>
        <rFont val="Calibri"/>
        <family val="2"/>
        <scheme val="minor"/>
      </rPr>
      <t>GAO,PHA,ox</t>
    </r>
  </si>
  <si>
    <t>Yield of GAOs on PHA under aerobic conditions</t>
  </si>
  <si>
    <r>
      <t>Y</t>
    </r>
    <r>
      <rPr>
        <vertAlign val="subscript"/>
        <sz val="11"/>
        <rFont val="Calibri"/>
        <family val="2"/>
        <scheme val="minor"/>
      </rPr>
      <t>GAO,PHA,anox</t>
    </r>
  </si>
  <si>
    <t>Yield of GAOs on PHA under anoxic conditions</t>
  </si>
  <si>
    <r>
      <t>X</t>
    </r>
    <r>
      <rPr>
        <b/>
        <vertAlign val="subscript"/>
        <sz val="11"/>
        <rFont val="Calibri"/>
        <family val="2"/>
        <charset val="238"/>
        <scheme val="minor"/>
      </rPr>
      <t>PHA,PAO</t>
    </r>
  </si>
  <si>
    <t>Polyhydroxyalkanoates (PHA) stored by PAOs</t>
  </si>
  <si>
    <r>
      <t>X</t>
    </r>
    <r>
      <rPr>
        <b/>
        <vertAlign val="subscript"/>
        <sz val="11"/>
        <rFont val="Calibri"/>
        <family val="2"/>
        <charset val="238"/>
        <scheme val="minor"/>
      </rPr>
      <t>PHA,GAO</t>
    </r>
  </si>
  <si>
    <t>Polyhydroxyalkanoates (PHA) stored by GAOs</t>
  </si>
  <si>
    <r>
      <t>X</t>
    </r>
    <r>
      <rPr>
        <b/>
        <vertAlign val="subscript"/>
        <sz val="11"/>
        <rFont val="Calibri"/>
        <family val="2"/>
        <scheme val="minor"/>
      </rPr>
      <t>PHA</t>
    </r>
    <r>
      <rPr>
        <b/>
        <vertAlign val="subscript"/>
        <sz val="11"/>
        <rFont val="Calibri"/>
        <family val="2"/>
        <charset val="238"/>
        <scheme val="minor"/>
      </rPr>
      <t>,PAO</t>
    </r>
  </si>
  <si>
    <r>
      <t>X</t>
    </r>
    <r>
      <rPr>
        <b/>
        <vertAlign val="subscript"/>
        <sz val="11"/>
        <rFont val="Calibri"/>
        <family val="2"/>
        <scheme val="minor"/>
      </rPr>
      <t>PHA</t>
    </r>
    <r>
      <rPr>
        <b/>
        <vertAlign val="subscript"/>
        <sz val="11"/>
        <rFont val="Calibri"/>
        <family val="2"/>
        <charset val="238"/>
        <scheme val="minor"/>
      </rPr>
      <t>,GAO</t>
    </r>
  </si>
  <si>
    <r>
      <t>X</t>
    </r>
    <r>
      <rPr>
        <vertAlign val="subscript"/>
        <sz val="11"/>
        <rFont val="Calibri"/>
        <family val="2"/>
        <scheme val="minor"/>
      </rPr>
      <t>PHA,CASTO</t>
    </r>
  </si>
  <si>
    <t>PHA stored in CASTOs</t>
  </si>
  <si>
    <r>
      <t>X</t>
    </r>
    <r>
      <rPr>
        <vertAlign val="subscript"/>
        <sz val="11"/>
        <rFont val="Calibri"/>
        <family val="2"/>
        <scheme val="minor"/>
      </rPr>
      <t>PHA,PAO</t>
    </r>
    <r>
      <rPr>
        <sz val="11"/>
        <rFont val="Calibri"/>
        <family val="2"/>
        <scheme val="minor"/>
      </rPr>
      <t xml:space="preserve"> + X</t>
    </r>
    <r>
      <rPr>
        <vertAlign val="subscript"/>
        <sz val="11"/>
        <rFont val="Calibri"/>
        <family val="2"/>
        <scheme val="minor"/>
      </rPr>
      <t>PHA,GAO</t>
    </r>
  </si>
  <si>
    <t>Stored carbon in CASTOs</t>
  </si>
  <si>
    <t>Observed yield of CASTOs on PHA under aerobic conditions</t>
  </si>
  <si>
    <t>Observed yield of CASTOs on PHA under anoxic conditions</t>
  </si>
  <si>
    <r>
      <t>X</t>
    </r>
    <r>
      <rPr>
        <vertAlign val="subscript"/>
        <sz val="11"/>
        <color rgb="FF000000"/>
        <rFont val="Calibri"/>
        <family val="2"/>
      </rPr>
      <t>PHA,PAO</t>
    </r>
    <r>
      <rPr>
        <sz val="11"/>
        <color indexed="8"/>
        <rFont val="Calibri"/>
        <family val="2"/>
      </rPr>
      <t xml:space="preserve"> / X</t>
    </r>
    <r>
      <rPr>
        <vertAlign val="subscript"/>
        <sz val="11"/>
        <color rgb="FF000000"/>
        <rFont val="Calibri"/>
        <family val="2"/>
      </rPr>
      <t>STC</t>
    </r>
  </si>
  <si>
    <r>
      <t>X</t>
    </r>
    <r>
      <rPr>
        <vertAlign val="subscript"/>
        <sz val="11"/>
        <color rgb="FF000000"/>
        <rFont val="Calibri"/>
        <family val="2"/>
      </rPr>
      <t>PHA,GAO</t>
    </r>
    <r>
      <rPr>
        <sz val="11"/>
        <color indexed="8"/>
        <rFont val="Calibri"/>
        <family val="2"/>
      </rPr>
      <t xml:space="preserve"> / X</t>
    </r>
    <r>
      <rPr>
        <vertAlign val="subscript"/>
        <sz val="11"/>
        <color rgb="FF000000"/>
        <rFont val="Calibri"/>
        <family val="2"/>
      </rPr>
      <t>STC</t>
    </r>
  </si>
  <si>
    <r>
      <t>(Y</t>
    </r>
    <r>
      <rPr>
        <vertAlign val="subscript"/>
        <sz val="11"/>
        <rFont val="Calibri"/>
        <family val="2"/>
        <scheme val="minor"/>
      </rPr>
      <t>PAO,PHA,ox</t>
    </r>
    <r>
      <rPr>
        <sz val="11"/>
        <rFont val="Calibri"/>
        <family val="2"/>
        <scheme val="minor"/>
      </rPr>
      <t xml:space="preserve"> * X</t>
    </r>
    <r>
      <rPr>
        <vertAlign val="subscript"/>
        <sz val="11"/>
        <rFont val="Calibri"/>
        <family val="2"/>
        <scheme val="minor"/>
      </rPr>
      <t>PHA,PAO</t>
    </r>
    <r>
      <rPr>
        <sz val="11"/>
        <rFont val="Calibri"/>
        <family val="2"/>
        <scheme val="minor"/>
      </rPr>
      <t xml:space="preserve"> + Y</t>
    </r>
    <r>
      <rPr>
        <vertAlign val="subscript"/>
        <sz val="11"/>
        <rFont val="Calibri"/>
        <family val="2"/>
        <scheme val="minor"/>
      </rPr>
      <t>GAO,PHA,ox</t>
    </r>
    <r>
      <rPr>
        <sz val="11"/>
        <rFont val="Calibri"/>
        <family val="2"/>
        <scheme val="minor"/>
      </rPr>
      <t xml:space="preserve"> * X</t>
    </r>
    <r>
      <rPr>
        <vertAlign val="subscript"/>
        <sz val="11"/>
        <rFont val="Calibri"/>
        <family val="2"/>
        <scheme val="minor"/>
      </rPr>
      <t>PHA,GAO</t>
    </r>
    <r>
      <rPr>
        <sz val="11"/>
        <rFont val="Calibri"/>
        <family val="2"/>
        <scheme val="minor"/>
      </rPr>
      <t xml:space="preserve"> ) / X</t>
    </r>
    <r>
      <rPr>
        <vertAlign val="subscript"/>
        <sz val="11"/>
        <rFont val="Calibri"/>
        <family val="2"/>
        <scheme val="minor"/>
      </rPr>
      <t>STC</t>
    </r>
  </si>
  <si>
    <r>
      <t>(Y</t>
    </r>
    <r>
      <rPr>
        <vertAlign val="subscript"/>
        <sz val="11"/>
        <rFont val="Calibri"/>
        <family val="2"/>
        <scheme val="minor"/>
      </rPr>
      <t>PAO,PHA,anox</t>
    </r>
    <r>
      <rPr>
        <sz val="11"/>
        <rFont val="Calibri"/>
        <family val="2"/>
        <scheme val="minor"/>
      </rPr>
      <t xml:space="preserve"> * X</t>
    </r>
    <r>
      <rPr>
        <vertAlign val="subscript"/>
        <sz val="11"/>
        <rFont val="Calibri"/>
        <family val="2"/>
        <scheme val="minor"/>
      </rPr>
      <t>PHA,PAO</t>
    </r>
    <r>
      <rPr>
        <sz val="11"/>
        <rFont val="Calibri"/>
        <family val="2"/>
        <scheme val="minor"/>
      </rPr>
      <t xml:space="preserve"> + Y</t>
    </r>
    <r>
      <rPr>
        <vertAlign val="subscript"/>
        <sz val="11"/>
        <rFont val="Calibri"/>
        <family val="2"/>
        <scheme val="minor"/>
      </rPr>
      <t>GAO,PHA,anox</t>
    </r>
    <r>
      <rPr>
        <sz val="11"/>
        <rFont val="Calibri"/>
        <family val="2"/>
        <scheme val="minor"/>
      </rPr>
      <t xml:space="preserve"> * X</t>
    </r>
    <r>
      <rPr>
        <vertAlign val="subscript"/>
        <sz val="11"/>
        <rFont val="Calibri"/>
        <family val="2"/>
        <scheme val="minor"/>
      </rPr>
      <t>PHA,GAO</t>
    </r>
    <r>
      <rPr>
        <sz val="11"/>
        <rFont val="Calibri"/>
        <family val="2"/>
        <scheme val="minor"/>
      </rPr>
      <t xml:space="preserve"> ) / X</t>
    </r>
    <r>
      <rPr>
        <vertAlign val="subscript"/>
        <sz val="11"/>
        <rFont val="Calibri"/>
        <family val="2"/>
        <scheme val="minor"/>
      </rPr>
      <t>STC</t>
    </r>
  </si>
  <si>
    <t>Temperature correction of ORP switch of PHA storage by GAO</t>
  </si>
  <si>
    <t>ORP switch of PHA storage by GAO</t>
  </si>
  <si>
    <r>
      <t>Logslope</t>
    </r>
    <r>
      <rPr>
        <vertAlign val="subscript"/>
        <sz val="11"/>
        <rFont val="Calibri"/>
        <family val="2"/>
        <charset val="238"/>
        <scheme val="minor"/>
      </rPr>
      <t>PHA,GAO,inh</t>
    </r>
  </si>
  <si>
    <t>Logistic slope of inhibition term for PHA/GAO</t>
  </si>
  <si>
    <r>
      <t>Logisticslope(Ki</t>
    </r>
    <r>
      <rPr>
        <vertAlign val="subscript"/>
        <sz val="11"/>
        <rFont val="Calibri"/>
        <family val="2"/>
        <charset val="238"/>
        <scheme val="minor"/>
      </rPr>
      <t>PHA,GAO,max</t>
    </r>
    <r>
      <rPr>
        <sz val="11"/>
        <rFont val="Calibri"/>
        <family val="2"/>
        <scheme val="minor"/>
      </rPr>
      <t>; Logrange</t>
    </r>
    <r>
      <rPr>
        <vertAlign val="subscript"/>
        <sz val="11"/>
        <rFont val="Calibri"/>
        <family val="2"/>
        <charset val="238"/>
        <scheme val="minor"/>
      </rPr>
      <t>PHA,GAO,inh</t>
    </r>
    <r>
      <rPr>
        <sz val="11"/>
        <rFont val="Calibri"/>
        <family val="2"/>
        <scheme val="minor"/>
      </rPr>
      <t>)</t>
    </r>
  </si>
  <si>
    <t>Saturation term for carbon storage (CASTO)</t>
  </si>
  <si>
    <t>Inhibition term for carbon storage (CASTO)</t>
  </si>
  <si>
    <r>
      <t>MRsat(X</t>
    </r>
    <r>
      <rPr>
        <vertAlign val="subscript"/>
        <sz val="11"/>
        <rFont val="Calibri"/>
        <family val="2"/>
        <scheme val="minor"/>
      </rPr>
      <t>PHA,PAO</t>
    </r>
    <r>
      <rPr>
        <sz val="11"/>
        <rFont val="Calibri"/>
        <family val="2"/>
        <scheme val="minor"/>
      </rPr>
      <t>;X</t>
    </r>
    <r>
      <rPr>
        <vertAlign val="subscript"/>
        <sz val="11"/>
        <rFont val="Calibri"/>
        <family val="2"/>
        <scheme val="minor"/>
      </rPr>
      <t>PAO</t>
    </r>
    <r>
      <rPr>
        <sz val="11"/>
        <rFont val="Calibri"/>
        <family val="2"/>
        <scheme val="minor"/>
      </rPr>
      <t>;K</t>
    </r>
    <r>
      <rPr>
        <vertAlign val="subscript"/>
        <sz val="11"/>
        <rFont val="Calibri"/>
        <family val="2"/>
        <scheme val="minor"/>
      </rPr>
      <t>PHA</t>
    </r>
    <r>
      <rPr>
        <sz val="11"/>
        <rFont val="Calibri"/>
        <family val="2"/>
        <scheme val="minor"/>
      </rPr>
      <t>)</t>
    </r>
  </si>
  <si>
    <r>
      <t>MRinh(X</t>
    </r>
    <r>
      <rPr>
        <vertAlign val="subscript"/>
        <sz val="11"/>
        <rFont val="Calibri"/>
        <family val="2"/>
        <scheme val="minor"/>
      </rPr>
      <t>PHA,PAO</t>
    </r>
    <r>
      <rPr>
        <sz val="11"/>
        <rFont val="Calibri"/>
        <family val="2"/>
        <scheme val="minor"/>
      </rPr>
      <t>;X</t>
    </r>
    <r>
      <rPr>
        <vertAlign val="subscript"/>
        <sz val="11"/>
        <rFont val="Calibri"/>
        <family val="2"/>
        <scheme val="minor"/>
      </rPr>
      <t>PAO</t>
    </r>
    <r>
      <rPr>
        <sz val="11"/>
        <rFont val="Calibri"/>
        <family val="2"/>
        <scheme val="minor"/>
      </rPr>
      <t>;K</t>
    </r>
    <r>
      <rPr>
        <vertAlign val="subscript"/>
        <sz val="11"/>
        <rFont val="Calibri"/>
        <family val="2"/>
        <scheme val="minor"/>
      </rPr>
      <t>PHA,cle</t>
    </r>
    <r>
      <rPr>
        <sz val="11"/>
        <rFont val="Calibri"/>
        <family val="2"/>
        <scheme val="minor"/>
      </rPr>
      <t>)</t>
    </r>
  </si>
  <si>
    <r>
      <t>Loginh(X</t>
    </r>
    <r>
      <rPr>
        <vertAlign val="subscript"/>
        <sz val="11"/>
        <rFont val="Calibri"/>
        <family val="2"/>
        <charset val="238"/>
        <scheme val="minor"/>
      </rPr>
      <t>PHA,PAO</t>
    </r>
    <r>
      <rPr>
        <sz val="11"/>
        <rFont val="Calibri"/>
        <family val="2"/>
        <scheme val="minor"/>
      </rPr>
      <t>/X</t>
    </r>
    <r>
      <rPr>
        <vertAlign val="subscript"/>
        <sz val="11"/>
        <rFont val="Calibri"/>
        <family val="2"/>
        <charset val="238"/>
        <scheme val="minor"/>
      </rPr>
      <t>PAO</t>
    </r>
    <r>
      <rPr>
        <sz val="11"/>
        <rFont val="Calibri"/>
        <family val="2"/>
        <scheme val="minor"/>
      </rPr>
      <t>; Ki</t>
    </r>
    <r>
      <rPr>
        <vertAlign val="subscript"/>
        <sz val="11"/>
        <rFont val="Calibri"/>
        <family val="2"/>
        <charset val="238"/>
        <scheme val="minor"/>
      </rPr>
      <t>PHA,PAO,max</t>
    </r>
    <r>
      <rPr>
        <sz val="11"/>
        <rFont val="Calibri"/>
        <family val="2"/>
        <scheme val="minor"/>
      </rPr>
      <t>; Logslope</t>
    </r>
    <r>
      <rPr>
        <vertAlign val="subscript"/>
        <sz val="11"/>
        <rFont val="Calibri"/>
        <family val="2"/>
        <charset val="238"/>
        <scheme val="minor"/>
      </rPr>
      <t>PHA,PAO,inh</t>
    </r>
    <r>
      <rPr>
        <sz val="11"/>
        <rFont val="Calibri"/>
        <family val="2"/>
        <scheme val="minor"/>
      </rPr>
      <t>)</t>
    </r>
  </si>
  <si>
    <r>
      <t>Loginh</t>
    </r>
    <r>
      <rPr>
        <vertAlign val="subscript"/>
        <sz val="11"/>
        <rFont val="Calibri"/>
        <family val="2"/>
        <scheme val="minor"/>
      </rPr>
      <t>XPHA,XGAO,max</t>
    </r>
  </si>
  <si>
    <t>Logistic inhibition term for PHA (GAO)</t>
  </si>
  <si>
    <r>
      <t>Loginh(X</t>
    </r>
    <r>
      <rPr>
        <vertAlign val="subscript"/>
        <sz val="11"/>
        <rFont val="Calibri"/>
        <family val="2"/>
        <charset val="238"/>
        <scheme val="minor"/>
      </rPr>
      <t>PHA,GAO</t>
    </r>
    <r>
      <rPr>
        <sz val="11"/>
        <rFont val="Calibri"/>
        <family val="2"/>
        <scheme val="minor"/>
      </rPr>
      <t>/X</t>
    </r>
    <r>
      <rPr>
        <vertAlign val="subscript"/>
        <sz val="11"/>
        <rFont val="Calibri"/>
        <family val="2"/>
        <charset val="238"/>
        <scheme val="minor"/>
      </rPr>
      <t>GAO</t>
    </r>
    <r>
      <rPr>
        <sz val="11"/>
        <rFont val="Calibri"/>
        <family val="2"/>
        <scheme val="minor"/>
      </rPr>
      <t>; Ki</t>
    </r>
    <r>
      <rPr>
        <vertAlign val="subscript"/>
        <sz val="11"/>
        <rFont val="Calibri"/>
        <family val="2"/>
        <charset val="238"/>
        <scheme val="minor"/>
      </rPr>
      <t>PHA,GAO,max</t>
    </r>
    <r>
      <rPr>
        <sz val="11"/>
        <rFont val="Calibri"/>
        <family val="2"/>
        <scheme val="minor"/>
      </rPr>
      <t>; Logslope</t>
    </r>
    <r>
      <rPr>
        <vertAlign val="subscript"/>
        <sz val="11"/>
        <rFont val="Calibri"/>
        <family val="2"/>
        <charset val="238"/>
        <scheme val="minor"/>
      </rPr>
      <t>PHA,GAO,inh</t>
    </r>
    <r>
      <rPr>
        <sz val="11"/>
        <rFont val="Calibri"/>
        <family val="2"/>
        <scheme val="minor"/>
      </rPr>
      <t>)</t>
    </r>
  </si>
  <si>
    <r>
      <t>MRinh</t>
    </r>
    <r>
      <rPr>
        <vertAlign val="subscript"/>
        <sz val="11"/>
        <rFont val="Calibri"/>
        <family val="2"/>
        <scheme val="minor"/>
      </rPr>
      <t>XPHA,XGAO,</t>
    </r>
    <r>
      <rPr>
        <vertAlign val="subscript"/>
        <sz val="11"/>
        <rFont val="Calibri"/>
        <family val="2"/>
        <charset val="238"/>
        <scheme val="minor"/>
      </rPr>
      <t>KPHA</t>
    </r>
  </si>
  <si>
    <t>Inhibition term for PHA (GAO)</t>
  </si>
  <si>
    <r>
      <t>MRinh(X</t>
    </r>
    <r>
      <rPr>
        <vertAlign val="subscript"/>
        <sz val="11"/>
        <rFont val="Calibri"/>
        <family val="2"/>
        <scheme val="minor"/>
      </rPr>
      <t>PHA,GAO</t>
    </r>
    <r>
      <rPr>
        <sz val="11"/>
        <rFont val="Calibri"/>
        <family val="2"/>
        <charset val="238"/>
        <scheme val="minor"/>
      </rPr>
      <t>;</t>
    </r>
    <r>
      <rPr>
        <sz val="11"/>
        <rFont val="Calibri"/>
        <family val="2"/>
        <scheme val="minor"/>
      </rPr>
      <t>X</t>
    </r>
    <r>
      <rPr>
        <vertAlign val="subscript"/>
        <sz val="11"/>
        <rFont val="Calibri"/>
        <family val="2"/>
        <scheme val="minor"/>
      </rPr>
      <t>GAO</t>
    </r>
    <r>
      <rPr>
        <sz val="11"/>
        <rFont val="Calibri"/>
        <family val="2"/>
        <scheme val="minor"/>
      </rPr>
      <t>;</t>
    </r>
    <r>
      <rPr>
        <sz val="11"/>
        <rFont val="Calibri"/>
        <family val="2"/>
        <charset val="238"/>
        <scheme val="minor"/>
      </rPr>
      <t>K</t>
    </r>
    <r>
      <rPr>
        <vertAlign val="subscript"/>
        <sz val="11"/>
        <rFont val="Calibri"/>
        <family val="2"/>
        <charset val="238"/>
        <scheme val="minor"/>
      </rPr>
      <t>PHA,GAO</t>
    </r>
    <r>
      <rPr>
        <sz val="11"/>
        <rFont val="Calibri"/>
        <family val="2"/>
        <charset val="238"/>
        <scheme val="minor"/>
      </rPr>
      <t>)</t>
    </r>
  </si>
  <si>
    <r>
      <t>MRsat</t>
    </r>
    <r>
      <rPr>
        <vertAlign val="subscript"/>
        <sz val="11"/>
        <rFont val="Calibri"/>
        <family val="2"/>
        <scheme val="minor"/>
      </rPr>
      <t>XPHA,XGAO,</t>
    </r>
    <r>
      <rPr>
        <vertAlign val="subscript"/>
        <sz val="11"/>
        <rFont val="Calibri"/>
        <family val="2"/>
        <charset val="238"/>
        <scheme val="minor"/>
      </rPr>
      <t>KPHA</t>
    </r>
  </si>
  <si>
    <t>Saturation term for PHA (GAO)</t>
  </si>
  <si>
    <r>
      <t>MRsat(X</t>
    </r>
    <r>
      <rPr>
        <vertAlign val="subscript"/>
        <sz val="11"/>
        <rFont val="Calibri"/>
        <family val="2"/>
        <scheme val="minor"/>
      </rPr>
      <t>PHA,GAO</t>
    </r>
    <r>
      <rPr>
        <sz val="11"/>
        <rFont val="Calibri"/>
        <family val="2"/>
        <scheme val="minor"/>
      </rPr>
      <t>;X</t>
    </r>
    <r>
      <rPr>
        <vertAlign val="subscript"/>
        <sz val="11"/>
        <rFont val="Calibri"/>
        <family val="2"/>
        <scheme val="minor"/>
      </rPr>
      <t>GAO</t>
    </r>
    <r>
      <rPr>
        <sz val="11"/>
        <rFont val="Calibri"/>
        <family val="2"/>
        <scheme val="minor"/>
      </rPr>
      <t>;</t>
    </r>
    <r>
      <rPr>
        <sz val="11"/>
        <rFont val="Calibri"/>
        <family val="2"/>
        <charset val="238"/>
        <scheme val="minor"/>
      </rPr>
      <t>K</t>
    </r>
    <r>
      <rPr>
        <vertAlign val="subscript"/>
        <sz val="11"/>
        <rFont val="Calibri"/>
        <family val="2"/>
        <charset val="238"/>
        <scheme val="minor"/>
      </rPr>
      <t>PHA,GAO</t>
    </r>
    <r>
      <rPr>
        <sz val="11"/>
        <rFont val="Calibri"/>
        <family val="2"/>
        <scheme val="minor"/>
      </rPr>
      <t>)</t>
    </r>
  </si>
  <si>
    <r>
      <t>q</t>
    </r>
    <r>
      <rPr>
        <vertAlign val="subscript"/>
        <sz val="11"/>
        <color indexed="8"/>
        <rFont val="Calibri"/>
        <family val="2"/>
        <scheme val="minor"/>
      </rPr>
      <t>GAO,PHA,T</t>
    </r>
  </si>
  <si>
    <t>Rate of VFA storage into PHA for GAOs (temperature corrected)</t>
  </si>
  <si>
    <r>
      <t>q</t>
    </r>
    <r>
      <rPr>
        <vertAlign val="subscript"/>
        <sz val="11"/>
        <color indexed="8"/>
        <rFont val="Calibri"/>
        <family val="2"/>
        <scheme val="minor"/>
      </rPr>
      <t>GAO,PHA</t>
    </r>
    <r>
      <rPr>
        <sz val="11"/>
        <color indexed="8"/>
        <rFont val="Calibri"/>
        <family val="2"/>
        <scheme val="minor"/>
      </rPr>
      <t>*Arrh(θ</t>
    </r>
    <r>
      <rPr>
        <vertAlign val="subscript"/>
        <sz val="11"/>
        <color indexed="8"/>
        <rFont val="Calibri"/>
        <family val="2"/>
        <scheme val="minor"/>
      </rPr>
      <t>q,GAO,PHA</t>
    </r>
    <r>
      <rPr>
        <sz val="11"/>
        <color indexed="8"/>
        <rFont val="Calibri"/>
        <family val="2"/>
        <scheme val="minor"/>
      </rPr>
      <t>; T; T</t>
    </r>
    <r>
      <rPr>
        <vertAlign val="subscript"/>
        <sz val="11"/>
        <color indexed="8"/>
        <rFont val="Calibri"/>
        <family val="2"/>
        <scheme val="minor"/>
      </rPr>
      <t>base</t>
    </r>
    <r>
      <rPr>
        <sz val="11"/>
        <color indexed="8"/>
        <rFont val="Calibri"/>
        <family val="2"/>
        <scheme val="minor"/>
      </rPr>
      <t>)</t>
    </r>
  </si>
  <si>
    <t>Observed rate of CASTOs maintenance on stored carbon (temperature corrected)</t>
  </si>
  <si>
    <r>
      <t>-X</t>
    </r>
    <r>
      <rPr>
        <vertAlign val="subscript"/>
        <sz val="11"/>
        <rFont val="Calibri"/>
        <family val="2"/>
      </rPr>
      <t>PHA,PAO</t>
    </r>
    <r>
      <rPr>
        <sz val="11"/>
        <rFont val="Calibri"/>
        <family val="2"/>
      </rPr>
      <t>/X</t>
    </r>
    <r>
      <rPr>
        <vertAlign val="subscript"/>
        <sz val="11"/>
        <rFont val="Calibri"/>
        <family val="2"/>
      </rPr>
      <t>CASTO</t>
    </r>
  </si>
  <si>
    <r>
      <t>-X</t>
    </r>
    <r>
      <rPr>
        <vertAlign val="subscript"/>
        <sz val="11"/>
        <rFont val="Calibri"/>
        <family val="2"/>
      </rPr>
      <t>PHA,PAO</t>
    </r>
    <r>
      <rPr>
        <sz val="11"/>
        <rFont val="Calibri"/>
        <family val="2"/>
      </rPr>
      <t>/X</t>
    </r>
    <r>
      <rPr>
        <vertAlign val="subscript"/>
        <sz val="11"/>
        <rFont val="Calibri"/>
        <family val="2"/>
      </rPr>
      <t>STC</t>
    </r>
  </si>
  <si>
    <r>
      <t>-1/Y</t>
    </r>
    <r>
      <rPr>
        <vertAlign val="subscript"/>
        <sz val="11"/>
        <rFont val="Calibri"/>
        <family val="2"/>
      </rPr>
      <t>PAO,PHA,ox</t>
    </r>
  </si>
  <si>
    <r>
      <t>-1/Y</t>
    </r>
    <r>
      <rPr>
        <vertAlign val="subscript"/>
        <sz val="11"/>
        <rFont val="Calibri"/>
        <family val="2"/>
      </rPr>
      <t>PAO,PHA,anox</t>
    </r>
  </si>
  <si>
    <r>
      <t>-(X</t>
    </r>
    <r>
      <rPr>
        <vertAlign val="subscript"/>
        <sz val="11"/>
        <rFont val="Calibri"/>
        <family val="2"/>
      </rPr>
      <t>PHA,PAO</t>
    </r>
    <r>
      <rPr>
        <sz val="11"/>
        <rFont val="Calibri"/>
        <family val="2"/>
      </rPr>
      <t>/X</t>
    </r>
    <r>
      <rPr>
        <vertAlign val="subscript"/>
        <sz val="11"/>
        <rFont val="Calibri"/>
        <family val="2"/>
      </rPr>
      <t>STC</t>
    </r>
    <r>
      <rPr>
        <sz val="11"/>
        <rFont val="Calibri"/>
        <family val="2"/>
      </rPr>
      <t>)/Y</t>
    </r>
    <r>
      <rPr>
        <vertAlign val="subscript"/>
        <sz val="11"/>
        <rFont val="Calibri"/>
        <family val="2"/>
      </rPr>
      <t>CASTO,STC,ox</t>
    </r>
  </si>
  <si>
    <r>
      <t>-(X</t>
    </r>
    <r>
      <rPr>
        <vertAlign val="subscript"/>
        <sz val="11"/>
        <rFont val="Calibri"/>
        <family val="2"/>
      </rPr>
      <t>PHA,PAO</t>
    </r>
    <r>
      <rPr>
        <sz val="11"/>
        <rFont val="Calibri"/>
        <family val="2"/>
      </rPr>
      <t>/X</t>
    </r>
    <r>
      <rPr>
        <vertAlign val="subscript"/>
        <sz val="11"/>
        <rFont val="Calibri"/>
        <family val="2"/>
      </rPr>
      <t>STC</t>
    </r>
    <r>
      <rPr>
        <sz val="11"/>
        <rFont val="Calibri"/>
        <family val="2"/>
      </rPr>
      <t>)/Y</t>
    </r>
    <r>
      <rPr>
        <vertAlign val="subscript"/>
        <sz val="11"/>
        <rFont val="Calibri"/>
        <family val="2"/>
      </rPr>
      <t>CASTO,STC,anox</t>
    </r>
  </si>
  <si>
    <r>
      <t>-(X</t>
    </r>
    <r>
      <rPr>
        <vertAlign val="subscript"/>
        <sz val="11"/>
        <rFont val="Calibri"/>
        <family val="2"/>
      </rPr>
      <t>PHA,GAO</t>
    </r>
    <r>
      <rPr>
        <sz val="11"/>
        <rFont val="Calibri"/>
        <family val="2"/>
      </rPr>
      <t>/X</t>
    </r>
    <r>
      <rPr>
        <vertAlign val="subscript"/>
        <sz val="11"/>
        <rFont val="Calibri"/>
        <family val="2"/>
      </rPr>
      <t>STC</t>
    </r>
    <r>
      <rPr>
        <sz val="11"/>
        <rFont val="Calibri"/>
        <family val="2"/>
      </rPr>
      <t>)/Y</t>
    </r>
    <r>
      <rPr>
        <vertAlign val="subscript"/>
        <sz val="11"/>
        <rFont val="Calibri"/>
        <family val="2"/>
      </rPr>
      <t>CASTO,STC,ox</t>
    </r>
  </si>
  <si>
    <r>
      <t>-(X</t>
    </r>
    <r>
      <rPr>
        <vertAlign val="subscript"/>
        <sz val="11"/>
        <rFont val="Calibri"/>
        <family val="2"/>
      </rPr>
      <t>PHA,GAO</t>
    </r>
    <r>
      <rPr>
        <sz val="11"/>
        <rFont val="Calibri"/>
        <family val="2"/>
      </rPr>
      <t>/X</t>
    </r>
    <r>
      <rPr>
        <vertAlign val="subscript"/>
        <sz val="11"/>
        <rFont val="Calibri"/>
        <family val="2"/>
      </rPr>
      <t>STC</t>
    </r>
    <r>
      <rPr>
        <sz val="11"/>
        <rFont val="Calibri"/>
        <family val="2"/>
      </rPr>
      <t>)/Y</t>
    </r>
    <r>
      <rPr>
        <vertAlign val="subscript"/>
        <sz val="11"/>
        <rFont val="Calibri"/>
        <family val="2"/>
      </rPr>
      <t>CASTO,STC,anox</t>
    </r>
  </si>
  <si>
    <r>
      <t>-X</t>
    </r>
    <r>
      <rPr>
        <vertAlign val="subscript"/>
        <sz val="11"/>
        <rFont val="Calibri"/>
        <family val="2"/>
      </rPr>
      <t>PHA,GAO</t>
    </r>
    <r>
      <rPr>
        <sz val="11"/>
        <rFont val="Calibri"/>
        <family val="2"/>
      </rPr>
      <t>/X</t>
    </r>
    <r>
      <rPr>
        <vertAlign val="subscript"/>
        <sz val="11"/>
        <rFont val="Calibri"/>
        <family val="2"/>
      </rPr>
      <t>CASTO</t>
    </r>
  </si>
  <si>
    <r>
      <t>-X</t>
    </r>
    <r>
      <rPr>
        <vertAlign val="subscript"/>
        <sz val="11"/>
        <rFont val="Calibri"/>
        <family val="2"/>
      </rPr>
      <t>PHA,GAO</t>
    </r>
    <r>
      <rPr>
        <sz val="11"/>
        <rFont val="Calibri"/>
        <family val="2"/>
      </rPr>
      <t>/X</t>
    </r>
    <r>
      <rPr>
        <vertAlign val="subscript"/>
        <sz val="11"/>
        <rFont val="Calibri"/>
        <family val="2"/>
      </rPr>
      <t>STC</t>
    </r>
  </si>
  <si>
    <r>
      <t>-(1-Y</t>
    </r>
    <r>
      <rPr>
        <vertAlign val="subscript"/>
        <sz val="11"/>
        <rFont val="Calibri"/>
        <family val="2"/>
      </rPr>
      <t>PAO,PHA,anox</t>
    </r>
    <r>
      <rPr>
        <sz val="11"/>
        <rFont val="Calibri"/>
        <family val="2"/>
      </rPr>
      <t>)/(EEQ</t>
    </r>
    <r>
      <rPr>
        <vertAlign val="subscript"/>
        <sz val="11"/>
        <rFont val="Calibri"/>
        <family val="2"/>
      </rPr>
      <t>N2,NO2</t>
    </r>
    <r>
      <rPr>
        <sz val="11"/>
        <rFont val="Calibri"/>
        <family val="2"/>
      </rPr>
      <t>*Y</t>
    </r>
    <r>
      <rPr>
        <vertAlign val="subscript"/>
        <sz val="11"/>
        <rFont val="Calibri"/>
        <family val="2"/>
      </rPr>
      <t>PAO,PHA,anox</t>
    </r>
    <r>
      <rPr>
        <sz val="11"/>
        <rFont val="Calibri"/>
        <family val="2"/>
      </rPr>
      <t>)</t>
    </r>
  </si>
  <si>
    <r>
      <t>(1-Y</t>
    </r>
    <r>
      <rPr>
        <vertAlign val="subscript"/>
        <sz val="11"/>
        <rFont val="Calibri"/>
        <family val="2"/>
      </rPr>
      <t>PAO,PHA,anox</t>
    </r>
    <r>
      <rPr>
        <sz val="11"/>
        <rFont val="Calibri"/>
        <family val="2"/>
      </rPr>
      <t>)/(EEQ</t>
    </r>
    <r>
      <rPr>
        <vertAlign val="subscript"/>
        <sz val="11"/>
        <rFont val="Calibri"/>
        <family val="2"/>
      </rPr>
      <t>NO2,NO3</t>
    </r>
    <r>
      <rPr>
        <sz val="11"/>
        <rFont val="Calibri"/>
        <family val="2"/>
      </rPr>
      <t>*Y</t>
    </r>
    <r>
      <rPr>
        <vertAlign val="subscript"/>
        <sz val="11"/>
        <rFont val="Calibri"/>
        <family val="2"/>
      </rPr>
      <t>PAO,PHA,anox</t>
    </r>
    <r>
      <rPr>
        <sz val="11"/>
        <rFont val="Calibri"/>
        <family val="2"/>
      </rPr>
      <t>)</t>
    </r>
  </si>
  <si>
    <r>
      <t>-(1-Y</t>
    </r>
    <r>
      <rPr>
        <vertAlign val="subscript"/>
        <sz val="11"/>
        <rFont val="Calibri"/>
        <family val="2"/>
      </rPr>
      <t>PAO,PHA,anox</t>
    </r>
    <r>
      <rPr>
        <sz val="11"/>
        <rFont val="Calibri"/>
        <family val="2"/>
      </rPr>
      <t>)/(EEQ</t>
    </r>
    <r>
      <rPr>
        <vertAlign val="subscript"/>
        <sz val="11"/>
        <rFont val="Calibri"/>
        <family val="2"/>
      </rPr>
      <t>NO2,NO3</t>
    </r>
    <r>
      <rPr>
        <sz val="11"/>
        <rFont val="Calibri"/>
        <family val="2"/>
      </rPr>
      <t>*Y</t>
    </r>
    <r>
      <rPr>
        <vertAlign val="subscript"/>
        <sz val="11"/>
        <rFont val="Calibri"/>
        <family val="2"/>
      </rPr>
      <t>PAO,PHA,anox</t>
    </r>
    <r>
      <rPr>
        <sz val="11"/>
        <rFont val="Calibri"/>
        <family val="2"/>
      </rPr>
      <t>)</t>
    </r>
  </si>
  <si>
    <r>
      <t>(1-Y</t>
    </r>
    <r>
      <rPr>
        <vertAlign val="subscript"/>
        <sz val="11"/>
        <rFont val="Calibri"/>
        <family val="2"/>
      </rPr>
      <t>PAO,PHA,anox</t>
    </r>
    <r>
      <rPr>
        <sz val="11"/>
        <rFont val="Calibri"/>
        <family val="2"/>
      </rPr>
      <t>)/(EEQ</t>
    </r>
    <r>
      <rPr>
        <vertAlign val="subscript"/>
        <sz val="11"/>
        <rFont val="Calibri"/>
        <family val="2"/>
      </rPr>
      <t>N2,NO2</t>
    </r>
    <r>
      <rPr>
        <sz val="11"/>
        <rFont val="Calibri"/>
        <family val="2"/>
      </rPr>
      <t>*Y</t>
    </r>
    <r>
      <rPr>
        <vertAlign val="subscript"/>
        <sz val="11"/>
        <rFont val="Calibri"/>
        <family val="2"/>
      </rPr>
      <t>PAO,PHA,anox</t>
    </r>
    <r>
      <rPr>
        <sz val="11"/>
        <rFont val="Calibri"/>
        <family val="2"/>
      </rPr>
      <t>)</t>
    </r>
  </si>
  <si>
    <r>
      <t>-(1-Y</t>
    </r>
    <r>
      <rPr>
        <vertAlign val="subscript"/>
        <sz val="11"/>
        <rFont val="Calibri"/>
        <family val="2"/>
      </rPr>
      <t>PAO,PHA,ox</t>
    </r>
    <r>
      <rPr>
        <sz val="11"/>
        <rFont val="Calibri"/>
        <family val="2"/>
      </rPr>
      <t>)/Y</t>
    </r>
    <r>
      <rPr>
        <vertAlign val="subscript"/>
        <sz val="11"/>
        <rFont val="Calibri"/>
        <family val="2"/>
      </rPr>
      <t>PAO,PHA,ox</t>
    </r>
  </si>
  <si>
    <r>
      <t>(i</t>
    </r>
    <r>
      <rPr>
        <vertAlign val="subscript"/>
        <sz val="11"/>
        <rFont val="Calibri"/>
        <family val="2"/>
      </rPr>
      <t>CIT,PHA</t>
    </r>
    <r>
      <rPr>
        <sz val="11"/>
        <rFont val="Calibri"/>
        <family val="2"/>
      </rPr>
      <t>/Y</t>
    </r>
    <r>
      <rPr>
        <vertAlign val="subscript"/>
        <sz val="11"/>
        <rFont val="Calibri"/>
        <family val="2"/>
      </rPr>
      <t>PAO,PHA,ox</t>
    </r>
    <r>
      <rPr>
        <sz val="11"/>
        <rFont val="Calibri"/>
        <family val="2"/>
      </rPr>
      <t>)</t>
    </r>
    <r>
      <rPr>
        <vertAlign val="subscript"/>
        <sz val="11"/>
        <rFont val="Calibri"/>
        <family val="2"/>
      </rPr>
      <t xml:space="preserve"> </t>
    </r>
    <r>
      <rPr>
        <sz val="11"/>
        <rFont val="Calibri"/>
        <family val="2"/>
      </rPr>
      <t>- i</t>
    </r>
    <r>
      <rPr>
        <vertAlign val="subscript"/>
        <sz val="11"/>
        <rFont val="Calibri"/>
        <family val="2"/>
      </rPr>
      <t>CIT,BIO</t>
    </r>
  </si>
  <si>
    <r>
      <t>(i</t>
    </r>
    <r>
      <rPr>
        <vertAlign val="subscript"/>
        <sz val="11"/>
        <rFont val="Calibri"/>
        <family val="2"/>
      </rPr>
      <t>CIT,PHA</t>
    </r>
    <r>
      <rPr>
        <sz val="11"/>
        <rFont val="Calibri"/>
        <family val="2"/>
      </rPr>
      <t>/Y</t>
    </r>
    <r>
      <rPr>
        <vertAlign val="subscript"/>
        <sz val="11"/>
        <rFont val="Calibri"/>
        <family val="2"/>
      </rPr>
      <t>PAO,PHA,anox</t>
    </r>
    <r>
      <rPr>
        <sz val="11"/>
        <rFont val="Calibri"/>
        <family val="2"/>
      </rPr>
      <t>)</t>
    </r>
    <r>
      <rPr>
        <vertAlign val="subscript"/>
        <sz val="11"/>
        <rFont val="Calibri"/>
        <family val="2"/>
      </rPr>
      <t xml:space="preserve"> </t>
    </r>
    <r>
      <rPr>
        <sz val="11"/>
        <rFont val="Calibri"/>
        <family val="2"/>
      </rPr>
      <t>- i</t>
    </r>
    <r>
      <rPr>
        <vertAlign val="subscript"/>
        <sz val="11"/>
        <rFont val="Calibri"/>
        <family val="2"/>
      </rPr>
      <t>CIT,BIO</t>
    </r>
  </si>
  <si>
    <r>
      <t>i</t>
    </r>
    <r>
      <rPr>
        <vertAlign val="subscript"/>
        <sz val="11"/>
        <rFont val="Calibri"/>
        <family val="2"/>
      </rPr>
      <t>CIT,PHA</t>
    </r>
    <r>
      <rPr>
        <sz val="11"/>
        <rFont val="Calibri"/>
        <family val="2"/>
      </rPr>
      <t>-i</t>
    </r>
    <r>
      <rPr>
        <vertAlign val="subscript"/>
        <sz val="11"/>
        <rFont val="Calibri"/>
        <family val="2"/>
      </rPr>
      <t>CIT,VFA</t>
    </r>
  </si>
  <si>
    <r>
      <t>CASTO growth on PHA, O</t>
    </r>
    <r>
      <rPr>
        <vertAlign val="subscript"/>
        <sz val="11"/>
        <color rgb="FF000000"/>
        <rFont val="Calibri"/>
        <family val="2"/>
        <scheme val="minor"/>
      </rPr>
      <t>2</t>
    </r>
  </si>
  <si>
    <r>
      <t>CASTO growth on PHA, NO</t>
    </r>
    <r>
      <rPr>
        <vertAlign val="subscript"/>
        <sz val="11"/>
        <color rgb="FF000000"/>
        <rFont val="Calibri"/>
        <family val="2"/>
        <scheme val="minor"/>
      </rPr>
      <t>2</t>
    </r>
  </si>
  <si>
    <r>
      <t>CASTO growth on PHA, NO</t>
    </r>
    <r>
      <rPr>
        <vertAlign val="subscript"/>
        <sz val="11"/>
        <color rgb="FF000000"/>
        <rFont val="Calibri"/>
        <family val="2"/>
        <scheme val="minor"/>
      </rPr>
      <t>3</t>
    </r>
  </si>
  <si>
    <t>GAO's PHA storage from VFAs</t>
  </si>
  <si>
    <r>
      <t>q</t>
    </r>
    <r>
      <rPr>
        <vertAlign val="subscript"/>
        <sz val="11"/>
        <rFont val="Calibri"/>
        <family val="2"/>
      </rPr>
      <t>GAO,PHA,T</t>
    </r>
    <r>
      <rPr>
        <sz val="11"/>
        <rFont val="Calibri"/>
        <family val="2"/>
      </rPr>
      <t xml:space="preserve"> * X</t>
    </r>
    <r>
      <rPr>
        <vertAlign val="subscript"/>
        <sz val="11"/>
        <rFont val="Calibri"/>
        <family val="2"/>
      </rPr>
      <t>CASTO</t>
    </r>
    <r>
      <rPr>
        <sz val="11"/>
        <rFont val="Calibri"/>
        <family val="2"/>
        <charset val="238"/>
      </rPr>
      <t xml:space="preserve"> * act</t>
    </r>
    <r>
      <rPr>
        <vertAlign val="subscript"/>
        <sz val="11"/>
        <rFont val="Calibri"/>
        <family val="2"/>
      </rPr>
      <t>sto,GAO,ORP</t>
    </r>
    <r>
      <rPr>
        <sz val="11"/>
        <rFont val="Calibri"/>
        <family val="2"/>
      </rPr>
      <t xml:space="preserve"> * Msat</t>
    </r>
    <r>
      <rPr>
        <vertAlign val="subscript"/>
        <sz val="11"/>
        <rFont val="Calibri"/>
        <family val="2"/>
      </rPr>
      <t>SVFA,KVFA,CASTO</t>
    </r>
    <r>
      <rPr>
        <sz val="11"/>
        <rFont val="Calibri"/>
        <family val="2"/>
      </rPr>
      <t xml:space="preserve"> * Loginh</t>
    </r>
    <r>
      <rPr>
        <vertAlign val="subscript"/>
        <sz val="11"/>
        <rFont val="Calibri"/>
        <family val="2"/>
      </rPr>
      <t>XPHA,XGAO,max</t>
    </r>
  </si>
  <si>
    <r>
      <t>b</t>
    </r>
    <r>
      <rPr>
        <vertAlign val="subscript"/>
        <sz val="11"/>
        <rFont val="Calibri"/>
        <family val="2"/>
      </rPr>
      <t>STC,T</t>
    </r>
    <r>
      <rPr>
        <sz val="11"/>
        <rFont val="Calibri"/>
        <family val="2"/>
      </rPr>
      <t xml:space="preserve"> * η</t>
    </r>
    <r>
      <rPr>
        <vertAlign val="subscript"/>
        <sz val="11"/>
        <rFont val="Calibri"/>
        <family val="2"/>
      </rPr>
      <t>bPHA,ana</t>
    </r>
    <r>
      <rPr>
        <sz val="11"/>
        <rFont val="Calibri"/>
        <family val="2"/>
      </rPr>
      <t xml:space="preserve"> * X</t>
    </r>
    <r>
      <rPr>
        <vertAlign val="subscript"/>
        <sz val="11"/>
        <rFont val="Calibri"/>
        <family val="2"/>
      </rPr>
      <t>GAO</t>
    </r>
    <r>
      <rPr>
        <sz val="11"/>
        <rFont val="Calibri"/>
        <family val="2"/>
      </rPr>
      <t xml:space="preserve"> * Minh</t>
    </r>
    <r>
      <rPr>
        <vertAlign val="subscript"/>
        <sz val="11"/>
        <rFont val="Calibri"/>
        <family val="2"/>
      </rPr>
      <t>SO2,KO2,CASTO</t>
    </r>
    <r>
      <rPr>
        <sz val="11"/>
        <rFont val="Calibri"/>
        <family val="2"/>
      </rPr>
      <t xml:space="preserve"> * Minh</t>
    </r>
    <r>
      <rPr>
        <vertAlign val="subscript"/>
        <sz val="11"/>
        <rFont val="Calibri"/>
        <family val="2"/>
      </rPr>
      <t>SNO3,KNO3,CASTO</t>
    </r>
    <r>
      <rPr>
        <sz val="11"/>
        <rFont val="Calibri"/>
        <family val="2"/>
        <charset val="238"/>
      </rPr>
      <t xml:space="preserve"> * Minh</t>
    </r>
    <r>
      <rPr>
        <vertAlign val="subscript"/>
        <sz val="11"/>
        <rFont val="Calibri"/>
        <family val="2"/>
      </rPr>
      <t>SNO2,KNO2,CASTO</t>
    </r>
    <r>
      <rPr>
        <sz val="11"/>
        <rFont val="Calibri"/>
        <family val="2"/>
      </rPr>
      <t xml:space="preserve"> * MRsat</t>
    </r>
    <r>
      <rPr>
        <vertAlign val="subscript"/>
        <sz val="11"/>
        <rFont val="Calibri"/>
        <family val="2"/>
      </rPr>
      <t>XPHA,XGAO,KPHA</t>
    </r>
  </si>
  <si>
    <r>
      <t>b</t>
    </r>
    <r>
      <rPr>
        <vertAlign val="subscript"/>
        <sz val="11"/>
        <rFont val="Calibri"/>
        <family val="2"/>
      </rPr>
      <t xml:space="preserve">CASTO,T </t>
    </r>
    <r>
      <rPr>
        <sz val="11"/>
        <rFont val="Calibri"/>
        <family val="2"/>
      </rPr>
      <t>* (η</t>
    </r>
    <r>
      <rPr>
        <vertAlign val="subscript"/>
        <sz val="11"/>
        <rFont val="Calibri"/>
        <family val="2"/>
      </rPr>
      <t xml:space="preserve">bCASTO,ana </t>
    </r>
    <r>
      <rPr>
        <sz val="11"/>
        <rFont val="Calibri"/>
        <family val="2"/>
      </rPr>
      <t>* (X</t>
    </r>
    <r>
      <rPr>
        <vertAlign val="subscript"/>
        <sz val="11"/>
        <rFont val="Calibri"/>
        <family val="2"/>
        <charset val="238"/>
      </rPr>
      <t>PAO</t>
    </r>
    <r>
      <rPr>
        <sz val="11"/>
        <rFont val="Calibri"/>
        <family val="2"/>
      </rPr>
      <t xml:space="preserve"> * MRinh</t>
    </r>
    <r>
      <rPr>
        <vertAlign val="subscript"/>
        <sz val="11"/>
        <rFont val="Calibri"/>
        <family val="2"/>
      </rPr>
      <t>XPP,XPAO,KPP</t>
    </r>
    <r>
      <rPr>
        <sz val="11"/>
        <rFont val="Calibri"/>
        <family val="2"/>
      </rPr>
      <t xml:space="preserve"> + X</t>
    </r>
    <r>
      <rPr>
        <vertAlign val="subscript"/>
        <sz val="11"/>
        <rFont val="Calibri"/>
        <family val="2"/>
        <charset val="238"/>
      </rPr>
      <t>GAO</t>
    </r>
    <r>
      <rPr>
        <sz val="11"/>
        <rFont val="Calibri"/>
        <family val="2"/>
      </rPr>
      <t xml:space="preserve"> * MRinh</t>
    </r>
    <r>
      <rPr>
        <vertAlign val="subscript"/>
        <sz val="11"/>
        <rFont val="Calibri"/>
        <family val="2"/>
      </rPr>
      <t>XPHA,XGAO,KPHA</t>
    </r>
    <r>
      <rPr>
        <sz val="11"/>
        <rFont val="Calibri"/>
        <family val="2"/>
      </rPr>
      <t>) * Minh</t>
    </r>
    <r>
      <rPr>
        <vertAlign val="subscript"/>
        <sz val="11"/>
        <rFont val="Calibri"/>
        <family val="2"/>
      </rPr>
      <t>SNO3,KNO3,CASTO</t>
    </r>
    <r>
      <rPr>
        <sz val="11"/>
        <rFont val="Calibri"/>
        <family val="2"/>
        <charset val="238"/>
      </rPr>
      <t xml:space="preserve"> * Minh</t>
    </r>
    <r>
      <rPr>
        <vertAlign val="subscript"/>
        <sz val="11"/>
        <rFont val="Calibri"/>
        <family val="2"/>
      </rPr>
      <t xml:space="preserve">SNO2,KNO2,CASTO </t>
    </r>
    <r>
      <rPr>
        <sz val="11"/>
        <rFont val="Calibri"/>
        <family val="2"/>
      </rPr>
      <t>* Minh</t>
    </r>
    <r>
      <rPr>
        <vertAlign val="subscript"/>
        <sz val="11"/>
        <rFont val="Calibri"/>
        <family val="2"/>
      </rPr>
      <t xml:space="preserve">SO2,KO2,CASTO </t>
    </r>
    <r>
      <rPr>
        <sz val="11"/>
        <rFont val="Calibri"/>
        <family val="2"/>
      </rPr>
      <t>+ X</t>
    </r>
    <r>
      <rPr>
        <vertAlign val="subscript"/>
        <sz val="11"/>
        <rFont val="Calibri"/>
        <family val="2"/>
        <charset val="238"/>
      </rPr>
      <t>CASTO</t>
    </r>
    <r>
      <rPr>
        <sz val="11"/>
        <rFont val="Calibri"/>
        <family val="2"/>
      </rPr>
      <t xml:space="preserve"> * m</t>
    </r>
    <r>
      <rPr>
        <vertAlign val="subscript"/>
        <sz val="11"/>
        <rFont val="Calibri"/>
        <family val="2"/>
      </rPr>
      <t>tox,ana</t>
    </r>
    <r>
      <rPr>
        <sz val="11"/>
        <rFont val="Calibri"/>
        <family val="2"/>
      </rPr>
      <t>)</t>
    </r>
  </si>
  <si>
    <r>
      <t>X</t>
    </r>
    <r>
      <rPr>
        <b/>
        <vertAlign val="subscript"/>
        <sz val="11"/>
        <rFont val="Calibri"/>
        <family val="2"/>
        <charset val="238"/>
        <scheme val="minor"/>
      </rPr>
      <t>B</t>
    </r>
    <r>
      <rPr>
        <b/>
        <vertAlign val="subscript"/>
        <sz val="11"/>
        <rFont val="Calibri"/>
        <family val="2"/>
        <scheme val="minor"/>
      </rPr>
      <t>,e</t>
    </r>
  </si>
  <si>
    <t>Slowly biodegradable substrate from biomass decay</t>
  </si>
  <si>
    <r>
      <t>f(X</t>
    </r>
    <r>
      <rPr>
        <vertAlign val="subscript"/>
        <sz val="11"/>
        <rFont val="Calibri"/>
        <family val="2"/>
      </rPr>
      <t>N,Be</t>
    </r>
    <r>
      <rPr>
        <sz val="11"/>
        <rFont val="Calibri"/>
        <family val="2"/>
      </rPr>
      <t>);f(X</t>
    </r>
    <r>
      <rPr>
        <vertAlign val="subscript"/>
        <sz val="11"/>
        <rFont val="Calibri"/>
        <family val="2"/>
      </rPr>
      <t>P,Be</t>
    </r>
    <r>
      <rPr>
        <sz val="11"/>
        <rFont val="Calibri"/>
        <family val="2"/>
      </rPr>
      <t>)</t>
    </r>
  </si>
  <si>
    <r>
      <t>f(X</t>
    </r>
    <r>
      <rPr>
        <vertAlign val="subscript"/>
        <sz val="11"/>
        <rFont val="Calibri"/>
        <family val="2"/>
      </rPr>
      <t>CASTO</t>
    </r>
    <r>
      <rPr>
        <sz val="11"/>
        <rFont val="Calibri"/>
        <family val="2"/>
      </rPr>
      <t>)</t>
    </r>
  </si>
  <si>
    <r>
      <t>X</t>
    </r>
    <r>
      <rPr>
        <b/>
        <vertAlign val="subscript"/>
        <sz val="11"/>
        <rFont val="Calibri"/>
        <family val="2"/>
        <charset val="238"/>
        <scheme val="minor"/>
      </rPr>
      <t>N,B</t>
    </r>
    <r>
      <rPr>
        <b/>
        <vertAlign val="subscript"/>
        <sz val="11"/>
        <rFont val="Calibri"/>
        <family val="2"/>
        <scheme val="minor"/>
      </rPr>
      <t>e</t>
    </r>
  </si>
  <si>
    <r>
      <t>Particulate biodegradable organic N (from X</t>
    </r>
    <r>
      <rPr>
        <vertAlign val="subscript"/>
        <sz val="11"/>
        <color rgb="FF000000"/>
        <rFont val="Calibri"/>
        <family val="2"/>
        <scheme val="minor"/>
      </rPr>
      <t>Be</t>
    </r>
    <r>
      <rPr>
        <sz val="11"/>
        <color rgb="FF000000"/>
        <rFont val="Calibri"/>
        <family val="2"/>
        <charset val="238"/>
        <scheme val="minor"/>
      </rPr>
      <t>)</t>
    </r>
  </si>
  <si>
    <r>
      <t>f(X</t>
    </r>
    <r>
      <rPr>
        <vertAlign val="subscript"/>
        <sz val="11"/>
        <rFont val="Calibri"/>
        <family val="2"/>
      </rPr>
      <t>B,e</t>
    </r>
    <r>
      <rPr>
        <sz val="11"/>
        <rFont val="Calibri"/>
        <family val="2"/>
      </rPr>
      <t>)</t>
    </r>
  </si>
  <si>
    <r>
      <t>X</t>
    </r>
    <r>
      <rPr>
        <b/>
        <vertAlign val="subscript"/>
        <sz val="11"/>
        <rFont val="Calibri"/>
        <family val="2"/>
        <charset val="238"/>
        <scheme val="minor"/>
      </rPr>
      <t>P,B</t>
    </r>
    <r>
      <rPr>
        <b/>
        <vertAlign val="subscript"/>
        <sz val="11"/>
        <rFont val="Calibri"/>
        <family val="2"/>
        <scheme val="minor"/>
      </rPr>
      <t>e</t>
    </r>
  </si>
  <si>
    <r>
      <t>Particulate biodegradable organic P (from X</t>
    </r>
    <r>
      <rPr>
        <vertAlign val="subscript"/>
        <sz val="11"/>
        <color rgb="FF000000"/>
        <rFont val="Calibri"/>
        <family val="2"/>
        <scheme val="minor"/>
      </rPr>
      <t>Be</t>
    </r>
    <r>
      <rPr>
        <sz val="11"/>
        <color rgb="FF000000"/>
        <rFont val="Calibri"/>
        <family val="2"/>
        <charset val="238"/>
        <scheme val="minor"/>
      </rPr>
      <t>)</t>
    </r>
  </si>
  <si>
    <r>
      <t>X</t>
    </r>
    <r>
      <rPr>
        <b/>
        <vertAlign val="subscript"/>
        <sz val="11"/>
        <rFont val="Calibri"/>
        <family val="2"/>
        <scheme val="minor"/>
      </rPr>
      <t>B,e</t>
    </r>
  </si>
  <si>
    <r>
      <t>X</t>
    </r>
    <r>
      <rPr>
        <b/>
        <vertAlign val="subscript"/>
        <sz val="11"/>
        <rFont val="Calibri"/>
        <family val="2"/>
        <scheme val="minor"/>
      </rPr>
      <t>N,Be</t>
    </r>
  </si>
  <si>
    <r>
      <t>X</t>
    </r>
    <r>
      <rPr>
        <b/>
        <vertAlign val="subscript"/>
        <sz val="11"/>
        <rFont val="Calibri"/>
        <family val="2"/>
        <scheme val="minor"/>
      </rPr>
      <t>P,Be</t>
    </r>
  </si>
  <si>
    <r>
      <t>K</t>
    </r>
    <r>
      <rPr>
        <vertAlign val="subscript"/>
        <sz val="11"/>
        <color indexed="8"/>
        <rFont val="Calibri"/>
        <family val="2"/>
        <scheme val="minor"/>
      </rPr>
      <t>XBe,HYD</t>
    </r>
  </si>
  <si>
    <r>
      <t>q</t>
    </r>
    <r>
      <rPr>
        <vertAlign val="subscript"/>
        <sz val="11"/>
        <color indexed="8"/>
        <rFont val="Calibri"/>
        <family val="2"/>
        <scheme val="minor"/>
      </rPr>
      <t>HYD</t>
    </r>
    <r>
      <rPr>
        <vertAlign val="subscript"/>
        <sz val="11"/>
        <color rgb="FF000000"/>
        <rFont val="Calibri"/>
        <family val="2"/>
        <scheme val="minor"/>
      </rPr>
      <t>,XBe</t>
    </r>
  </si>
  <si>
    <t>Key(955)</t>
  </si>
  <si>
    <r>
      <t>q</t>
    </r>
    <r>
      <rPr>
        <vertAlign val="subscript"/>
        <sz val="11"/>
        <color indexed="8"/>
        <rFont val="Calibri"/>
        <family val="2"/>
        <scheme val="minor"/>
      </rPr>
      <t>HYD</t>
    </r>
    <r>
      <rPr>
        <vertAlign val="subscript"/>
        <sz val="11"/>
        <color rgb="FF000000"/>
        <rFont val="Calibri"/>
        <family val="2"/>
        <scheme val="minor"/>
      </rPr>
      <t>,XB</t>
    </r>
  </si>
  <si>
    <r>
      <t>i</t>
    </r>
    <r>
      <rPr>
        <vertAlign val="subscript"/>
        <sz val="11"/>
        <rFont val="Calibri"/>
        <family val="2"/>
        <scheme val="minor"/>
      </rPr>
      <t>CV,XBe</t>
    </r>
  </si>
  <si>
    <t>COD of biodegradable substrate from biomass decay in volatile solids</t>
  </si>
  <si>
    <r>
      <t>i</t>
    </r>
    <r>
      <rPr>
        <vertAlign val="subscript"/>
        <sz val="11"/>
        <rFont val="Calibri"/>
        <family val="2"/>
        <scheme val="minor"/>
      </rPr>
      <t>CIT,XBe</t>
    </r>
  </si>
  <si>
    <r>
      <t>Inorganic carbon content of X</t>
    </r>
    <r>
      <rPr>
        <vertAlign val="subscript"/>
        <sz val="11"/>
        <color rgb="FF000000"/>
        <rFont val="Calibri"/>
        <family val="2"/>
        <scheme val="minor"/>
      </rPr>
      <t>B,e</t>
    </r>
  </si>
  <si>
    <r>
      <t>i</t>
    </r>
    <r>
      <rPr>
        <vertAlign val="subscript"/>
        <sz val="11"/>
        <rFont val="Calibri"/>
        <family val="2"/>
        <scheme val="minor"/>
      </rPr>
      <t>vw,XBe</t>
    </r>
  </si>
  <si>
    <t>Vicinal water of slowly biodegradable substrate from biomass decay in volatile solids</t>
  </si>
  <si>
    <r>
      <t>i</t>
    </r>
    <r>
      <rPr>
        <vertAlign val="subscript"/>
        <sz val="11"/>
        <rFont val="Calibri"/>
        <family val="2"/>
        <scheme val="minor"/>
      </rPr>
      <t>wh,XBe</t>
    </r>
  </si>
  <si>
    <t>Water of hydration of slowly biodegradable substrate from biomass decay in volatile solids</t>
  </si>
  <si>
    <t>Rate of hydrolysis of slowly biodegradable substrate</t>
  </si>
  <si>
    <t>Rate of hydrolysis of slowly biodegradable substrate from biomass decay</t>
  </si>
  <si>
    <t>Half-saturation of unbiodegradable colloids in flocculation</t>
  </si>
  <si>
    <t>Half-saturation of unbiodegradable colloids flocculation with HFO</t>
  </si>
  <si>
    <t>Half-saturation of unbiodegradable colloids flocculation with HAO</t>
  </si>
  <si>
    <t>Half-saturation of slowly biodegradable substrate from biomass decay in low biomass condition hydrolysis</t>
  </si>
  <si>
    <r>
      <t>(i</t>
    </r>
    <r>
      <rPr>
        <vertAlign val="subscript"/>
        <sz val="11"/>
        <rFont val="Calibri"/>
        <family val="2"/>
        <scheme val="minor"/>
      </rPr>
      <t>CIT,PHA</t>
    </r>
    <r>
      <rPr>
        <sz val="11"/>
        <rFont val="Calibri"/>
        <family val="2"/>
        <scheme val="minor"/>
      </rPr>
      <t xml:space="preserve"> * X</t>
    </r>
    <r>
      <rPr>
        <vertAlign val="subscript"/>
        <sz val="11"/>
        <rFont val="Calibri"/>
        <family val="2"/>
        <scheme val="minor"/>
      </rPr>
      <t>PHA,PAO</t>
    </r>
    <r>
      <rPr>
        <sz val="11"/>
        <rFont val="Calibri"/>
        <family val="2"/>
        <scheme val="minor"/>
      </rPr>
      <t xml:space="preserve"> + i</t>
    </r>
    <r>
      <rPr>
        <vertAlign val="subscript"/>
        <sz val="11"/>
        <rFont val="Calibri"/>
        <family val="2"/>
        <scheme val="minor"/>
      </rPr>
      <t>CIT,PHA</t>
    </r>
    <r>
      <rPr>
        <sz val="11"/>
        <rFont val="Calibri"/>
        <family val="2"/>
        <scheme val="minor"/>
      </rPr>
      <t xml:space="preserve"> * X</t>
    </r>
    <r>
      <rPr>
        <vertAlign val="subscript"/>
        <sz val="11"/>
        <rFont val="Calibri"/>
        <family val="2"/>
        <scheme val="minor"/>
      </rPr>
      <t>PHA,GAO</t>
    </r>
    <r>
      <rPr>
        <sz val="11"/>
        <rFont val="Calibri"/>
        <family val="2"/>
        <scheme val="minor"/>
      </rPr>
      <t xml:space="preserve"> ) / X</t>
    </r>
    <r>
      <rPr>
        <vertAlign val="subscript"/>
        <sz val="11"/>
        <rFont val="Calibri"/>
        <family val="2"/>
        <scheme val="minor"/>
      </rPr>
      <t>STC</t>
    </r>
  </si>
  <si>
    <r>
      <t>X</t>
    </r>
    <r>
      <rPr>
        <vertAlign val="subscript"/>
        <sz val="11"/>
        <rFont val="Calibri"/>
        <family val="2"/>
        <scheme val="minor"/>
      </rPr>
      <t>BIO</t>
    </r>
    <r>
      <rPr>
        <sz val="11"/>
        <rFont val="Calibri"/>
        <family val="2"/>
        <scheme val="minor"/>
      </rPr>
      <t xml:space="preserve"> + X</t>
    </r>
    <r>
      <rPr>
        <vertAlign val="subscript"/>
        <sz val="11"/>
        <rFont val="Calibri"/>
        <family val="2"/>
        <scheme val="minor"/>
      </rPr>
      <t>B</t>
    </r>
    <r>
      <rPr>
        <sz val="11"/>
        <rFont val="Calibri"/>
        <family val="2"/>
        <scheme val="minor"/>
      </rPr>
      <t xml:space="preserve"> + X</t>
    </r>
    <r>
      <rPr>
        <vertAlign val="subscript"/>
        <sz val="11"/>
        <rFont val="Calibri"/>
        <family val="2"/>
        <charset val="238"/>
        <scheme val="minor"/>
      </rPr>
      <t xml:space="preserve">B,e </t>
    </r>
    <r>
      <rPr>
        <sz val="11"/>
        <rFont val="Calibri"/>
        <family val="2"/>
        <scheme val="minor"/>
      </rPr>
      <t>+ X</t>
    </r>
    <r>
      <rPr>
        <vertAlign val="subscript"/>
        <sz val="11"/>
        <rFont val="Calibri"/>
        <family val="2"/>
        <scheme val="minor"/>
      </rPr>
      <t>U</t>
    </r>
    <r>
      <rPr>
        <sz val="11"/>
        <rFont val="Calibri"/>
        <family val="2"/>
        <scheme val="minor"/>
      </rPr>
      <t xml:space="preserve"> + X</t>
    </r>
    <r>
      <rPr>
        <vertAlign val="subscript"/>
        <sz val="11"/>
        <rFont val="Calibri"/>
        <family val="2"/>
        <scheme val="minor"/>
      </rPr>
      <t>PHA,PAO</t>
    </r>
    <r>
      <rPr>
        <sz val="11"/>
        <rFont val="Calibri"/>
        <family val="2"/>
        <scheme val="minor"/>
      </rPr>
      <t xml:space="preserve"> + X</t>
    </r>
    <r>
      <rPr>
        <vertAlign val="subscript"/>
        <sz val="11"/>
        <rFont val="Calibri"/>
        <family val="2"/>
        <scheme val="minor"/>
      </rPr>
      <t>PHA,GAO</t>
    </r>
    <r>
      <rPr>
        <sz val="11"/>
        <rFont val="Calibri"/>
        <family val="2"/>
        <scheme val="minor"/>
      </rPr>
      <t xml:space="preserve"> + X</t>
    </r>
    <r>
      <rPr>
        <vertAlign val="subscript"/>
        <sz val="11"/>
        <rFont val="Calibri"/>
        <family val="2"/>
        <charset val="238"/>
        <scheme val="minor"/>
      </rPr>
      <t>STO</t>
    </r>
    <r>
      <rPr>
        <sz val="11"/>
        <rFont val="Calibri"/>
        <family val="2"/>
        <scheme val="minor"/>
      </rPr>
      <t xml:space="preserve"> + X</t>
    </r>
    <r>
      <rPr>
        <vertAlign val="subscript"/>
        <sz val="11"/>
        <rFont val="Calibri"/>
        <family val="2"/>
        <scheme val="minor"/>
      </rPr>
      <t>E,ana</t>
    </r>
    <r>
      <rPr>
        <sz val="11"/>
        <rFont val="Calibri"/>
        <family val="2"/>
        <scheme val="minor"/>
      </rPr>
      <t xml:space="preserve"> + X</t>
    </r>
    <r>
      <rPr>
        <vertAlign val="subscript"/>
        <sz val="11"/>
        <rFont val="Calibri"/>
        <family val="2"/>
        <scheme val="minor"/>
      </rPr>
      <t>E</t>
    </r>
  </si>
  <si>
    <r>
      <t>X</t>
    </r>
    <r>
      <rPr>
        <vertAlign val="subscript"/>
        <sz val="11"/>
        <rFont val="Calibri"/>
        <family val="2"/>
        <scheme val="minor"/>
      </rPr>
      <t>VSS,BIO</t>
    </r>
    <r>
      <rPr>
        <sz val="11"/>
        <rFont val="Calibri"/>
        <family val="2"/>
        <scheme val="minor"/>
      </rPr>
      <t xml:space="preserve"> + X</t>
    </r>
    <r>
      <rPr>
        <vertAlign val="subscript"/>
        <sz val="11"/>
        <rFont val="Calibri"/>
        <family val="2"/>
        <scheme val="minor"/>
      </rPr>
      <t>B</t>
    </r>
    <r>
      <rPr>
        <sz val="11"/>
        <rFont val="Calibri"/>
        <family val="2"/>
        <scheme val="minor"/>
      </rPr>
      <t>/i</t>
    </r>
    <r>
      <rPr>
        <vertAlign val="subscript"/>
        <sz val="11"/>
        <rFont val="Calibri"/>
        <family val="2"/>
        <scheme val="minor"/>
      </rPr>
      <t>CV,XB</t>
    </r>
    <r>
      <rPr>
        <sz val="11"/>
        <rFont val="Calibri"/>
        <family val="2"/>
        <charset val="238"/>
        <scheme val="minor"/>
      </rPr>
      <t xml:space="preserve"> + X</t>
    </r>
    <r>
      <rPr>
        <vertAlign val="subscript"/>
        <sz val="11"/>
        <rFont val="Calibri"/>
        <family val="2"/>
        <charset val="238"/>
        <scheme val="minor"/>
      </rPr>
      <t>B,e</t>
    </r>
    <r>
      <rPr>
        <sz val="11"/>
        <rFont val="Calibri"/>
        <family val="2"/>
        <charset val="238"/>
        <scheme val="minor"/>
      </rPr>
      <t>/i</t>
    </r>
    <r>
      <rPr>
        <vertAlign val="subscript"/>
        <sz val="11"/>
        <rFont val="Calibri"/>
        <family val="2"/>
        <charset val="238"/>
        <scheme val="minor"/>
      </rPr>
      <t>CV,XBe</t>
    </r>
    <r>
      <rPr>
        <sz val="11"/>
        <rFont val="Calibri"/>
        <family val="2"/>
        <scheme val="minor"/>
      </rPr>
      <t xml:space="preserve"> + X</t>
    </r>
    <r>
      <rPr>
        <vertAlign val="subscript"/>
        <sz val="11"/>
        <rFont val="Calibri"/>
        <family val="2"/>
        <scheme val="minor"/>
      </rPr>
      <t>U</t>
    </r>
    <r>
      <rPr>
        <sz val="11"/>
        <rFont val="Calibri"/>
        <family val="2"/>
        <scheme val="minor"/>
      </rPr>
      <t>/i</t>
    </r>
    <r>
      <rPr>
        <vertAlign val="subscript"/>
        <sz val="11"/>
        <rFont val="Calibri"/>
        <family val="2"/>
        <scheme val="minor"/>
      </rPr>
      <t>CV,XU</t>
    </r>
    <r>
      <rPr>
        <sz val="11"/>
        <rFont val="Calibri"/>
        <family val="2"/>
        <scheme val="minor"/>
      </rPr>
      <t xml:space="preserve"> + X</t>
    </r>
    <r>
      <rPr>
        <vertAlign val="subscript"/>
        <sz val="11"/>
        <rFont val="Calibri"/>
        <family val="2"/>
        <scheme val="minor"/>
      </rPr>
      <t>STO</t>
    </r>
    <r>
      <rPr>
        <sz val="11"/>
        <rFont val="Calibri"/>
        <family val="2"/>
        <scheme val="minor"/>
      </rPr>
      <t>/i</t>
    </r>
    <r>
      <rPr>
        <vertAlign val="subscript"/>
        <sz val="11"/>
        <rFont val="Calibri"/>
        <family val="2"/>
        <scheme val="minor"/>
      </rPr>
      <t>CV,BIO</t>
    </r>
    <r>
      <rPr>
        <sz val="11"/>
        <rFont val="Calibri"/>
        <family val="2"/>
        <scheme val="minor"/>
      </rPr>
      <t xml:space="preserve"> + X</t>
    </r>
    <r>
      <rPr>
        <vertAlign val="subscript"/>
        <sz val="11"/>
        <rFont val="Calibri"/>
        <family val="2"/>
        <scheme val="minor"/>
      </rPr>
      <t>PHA,PAO</t>
    </r>
    <r>
      <rPr>
        <sz val="11"/>
        <rFont val="Calibri"/>
        <family val="2"/>
        <scheme val="minor"/>
      </rPr>
      <t>/i</t>
    </r>
    <r>
      <rPr>
        <vertAlign val="subscript"/>
        <sz val="11"/>
        <rFont val="Calibri"/>
        <family val="2"/>
        <scheme val="minor"/>
      </rPr>
      <t>CV,PHA</t>
    </r>
    <r>
      <rPr>
        <sz val="11"/>
        <rFont val="Calibri"/>
        <family val="2"/>
        <scheme val="minor"/>
      </rPr>
      <t xml:space="preserve"> + X</t>
    </r>
    <r>
      <rPr>
        <vertAlign val="subscript"/>
        <sz val="11"/>
        <rFont val="Calibri"/>
        <family val="2"/>
        <scheme val="minor"/>
      </rPr>
      <t>PHA,GAO</t>
    </r>
    <r>
      <rPr>
        <sz val="11"/>
        <rFont val="Calibri"/>
        <family val="2"/>
        <charset val="238"/>
        <scheme val="minor"/>
      </rPr>
      <t>/i</t>
    </r>
    <r>
      <rPr>
        <vertAlign val="subscript"/>
        <sz val="11"/>
        <rFont val="Calibri"/>
        <family val="2"/>
        <charset val="238"/>
        <scheme val="minor"/>
      </rPr>
      <t>CV,PHA</t>
    </r>
    <r>
      <rPr>
        <sz val="11"/>
        <rFont val="Calibri"/>
        <family val="2"/>
        <scheme val="minor"/>
      </rPr>
      <t xml:space="preserve"> + X</t>
    </r>
    <r>
      <rPr>
        <vertAlign val="subscript"/>
        <sz val="11"/>
        <rFont val="Calibri"/>
        <family val="2"/>
        <scheme val="minor"/>
      </rPr>
      <t>E,ana</t>
    </r>
    <r>
      <rPr>
        <sz val="11"/>
        <rFont val="Calibri"/>
        <family val="2"/>
        <scheme val="minor"/>
      </rPr>
      <t>/i</t>
    </r>
    <r>
      <rPr>
        <vertAlign val="subscript"/>
        <sz val="11"/>
        <rFont val="Calibri"/>
        <family val="2"/>
        <scheme val="minor"/>
      </rPr>
      <t>CV,XE</t>
    </r>
    <r>
      <rPr>
        <sz val="11"/>
        <rFont val="Calibri"/>
        <family val="2"/>
        <scheme val="minor"/>
      </rPr>
      <t xml:space="preserve"> + X</t>
    </r>
    <r>
      <rPr>
        <vertAlign val="subscript"/>
        <sz val="11"/>
        <rFont val="Calibri"/>
        <family val="2"/>
        <scheme val="minor"/>
      </rPr>
      <t>E</t>
    </r>
    <r>
      <rPr>
        <sz val="11"/>
        <rFont val="Calibri"/>
        <family val="2"/>
        <scheme val="minor"/>
      </rPr>
      <t>/i</t>
    </r>
    <r>
      <rPr>
        <vertAlign val="subscript"/>
        <sz val="11"/>
        <rFont val="Calibri"/>
        <family val="2"/>
        <scheme val="minor"/>
      </rPr>
      <t>CV,XE</t>
    </r>
    <r>
      <rPr>
        <sz val="11"/>
        <rFont val="Calibri"/>
        <family val="2"/>
        <scheme val="minor"/>
      </rPr>
      <t xml:space="preserve"> + f</t>
    </r>
    <r>
      <rPr>
        <vertAlign val="subscript"/>
        <sz val="11"/>
        <rFont val="Calibri"/>
        <family val="2"/>
        <scheme val="minor"/>
      </rPr>
      <t>H2O,HFO,VSS</t>
    </r>
    <r>
      <rPr>
        <sz val="11"/>
        <rFont val="Calibri"/>
        <family val="2"/>
        <scheme val="minor"/>
      </rPr>
      <t>*X</t>
    </r>
    <r>
      <rPr>
        <vertAlign val="subscript"/>
        <sz val="11"/>
        <rFont val="Calibri"/>
        <family val="2"/>
        <scheme val="minor"/>
      </rPr>
      <t>HFO</t>
    </r>
    <r>
      <rPr>
        <sz val="11"/>
        <rFont val="Calibri"/>
        <family val="2"/>
        <scheme val="minor"/>
      </rPr>
      <t>*MM</t>
    </r>
    <r>
      <rPr>
        <vertAlign val="subscript"/>
        <sz val="11"/>
        <rFont val="Calibri"/>
        <family val="2"/>
        <scheme val="minor"/>
      </rPr>
      <t>FeOH3</t>
    </r>
    <r>
      <rPr>
        <sz val="11"/>
        <rFont val="Calibri"/>
        <family val="2"/>
        <scheme val="minor"/>
      </rPr>
      <t>/AM</t>
    </r>
    <r>
      <rPr>
        <vertAlign val="subscript"/>
        <sz val="11"/>
        <rFont val="Calibri"/>
        <family val="2"/>
        <scheme val="minor"/>
      </rPr>
      <t>Fe</t>
    </r>
    <r>
      <rPr>
        <sz val="11"/>
        <rFont val="Calibri"/>
        <family val="2"/>
        <charset val="238"/>
        <scheme val="minor"/>
      </rPr>
      <t xml:space="preserve"> + f</t>
    </r>
    <r>
      <rPr>
        <vertAlign val="subscript"/>
        <sz val="11"/>
        <rFont val="Calibri"/>
        <family val="2"/>
        <scheme val="minor"/>
      </rPr>
      <t>H2O,HAO,VSS</t>
    </r>
    <r>
      <rPr>
        <sz val="11"/>
        <rFont val="Calibri"/>
        <family val="2"/>
        <charset val="238"/>
        <scheme val="minor"/>
      </rPr>
      <t>*X</t>
    </r>
    <r>
      <rPr>
        <vertAlign val="subscript"/>
        <sz val="11"/>
        <rFont val="Calibri"/>
        <family val="2"/>
        <scheme val="minor"/>
      </rPr>
      <t>HAO</t>
    </r>
    <r>
      <rPr>
        <sz val="11"/>
        <rFont val="Calibri"/>
        <family val="2"/>
        <charset val="238"/>
        <scheme val="minor"/>
      </rPr>
      <t>*MM</t>
    </r>
    <r>
      <rPr>
        <vertAlign val="subscript"/>
        <sz val="11"/>
        <rFont val="Calibri"/>
        <family val="2"/>
        <scheme val="minor"/>
      </rPr>
      <t>AlOH3</t>
    </r>
    <r>
      <rPr>
        <sz val="11"/>
        <rFont val="Calibri"/>
        <family val="2"/>
        <charset val="238"/>
        <scheme val="minor"/>
      </rPr>
      <t>/AM</t>
    </r>
    <r>
      <rPr>
        <vertAlign val="subscript"/>
        <sz val="11"/>
        <rFont val="Calibri"/>
        <family val="2"/>
        <scheme val="minor"/>
      </rPr>
      <t>Al</t>
    </r>
  </si>
  <si>
    <r>
      <t>Y</t>
    </r>
    <r>
      <rPr>
        <vertAlign val="subscript"/>
        <sz val="11"/>
        <rFont val="Calibri"/>
        <family val="2"/>
        <scheme val="minor"/>
      </rPr>
      <t>BOD,ult</t>
    </r>
    <r>
      <rPr>
        <sz val="11"/>
        <rFont val="Calibri"/>
        <family val="2"/>
        <scheme val="minor"/>
      </rPr>
      <t xml:space="preserve"> * (X</t>
    </r>
    <r>
      <rPr>
        <vertAlign val="subscript"/>
        <sz val="11"/>
        <rFont val="Calibri"/>
        <family val="2"/>
        <scheme val="minor"/>
      </rPr>
      <t>BIO</t>
    </r>
    <r>
      <rPr>
        <sz val="11"/>
        <rFont val="Calibri"/>
        <family val="2"/>
        <scheme val="minor"/>
      </rPr>
      <t xml:space="preserve"> + X</t>
    </r>
    <r>
      <rPr>
        <vertAlign val="subscript"/>
        <sz val="11"/>
        <rFont val="Calibri"/>
        <family val="2"/>
        <scheme val="minor"/>
      </rPr>
      <t>B</t>
    </r>
    <r>
      <rPr>
        <sz val="11"/>
        <rFont val="Calibri"/>
        <family val="2"/>
        <scheme val="minor"/>
      </rPr>
      <t xml:space="preserve"> + X</t>
    </r>
    <r>
      <rPr>
        <vertAlign val="subscript"/>
        <sz val="11"/>
        <rFont val="Calibri"/>
        <family val="2"/>
        <charset val="238"/>
        <scheme val="minor"/>
      </rPr>
      <t>B,e</t>
    </r>
    <r>
      <rPr>
        <sz val="11"/>
        <rFont val="Calibri"/>
        <family val="2"/>
        <scheme val="minor"/>
      </rPr>
      <t xml:space="preserve"> + X</t>
    </r>
    <r>
      <rPr>
        <vertAlign val="subscript"/>
        <sz val="11"/>
        <rFont val="Calibri"/>
        <family val="2"/>
        <scheme val="minor"/>
      </rPr>
      <t xml:space="preserve">PHA,PAO </t>
    </r>
    <r>
      <rPr>
        <sz val="11"/>
        <rFont val="Calibri"/>
        <family val="2"/>
        <scheme val="minor"/>
      </rPr>
      <t>+ X</t>
    </r>
    <r>
      <rPr>
        <vertAlign val="subscript"/>
        <sz val="11"/>
        <rFont val="Calibri"/>
        <family val="2"/>
        <scheme val="minor"/>
      </rPr>
      <t>PHA,GAO</t>
    </r>
    <r>
      <rPr>
        <sz val="11"/>
        <rFont val="Calibri"/>
        <family val="2"/>
        <charset val="238"/>
        <scheme val="minor"/>
      </rPr>
      <t xml:space="preserve"> + X</t>
    </r>
    <r>
      <rPr>
        <vertAlign val="subscript"/>
        <sz val="11"/>
        <rFont val="Calibri"/>
        <family val="2"/>
        <scheme val="minor"/>
      </rPr>
      <t>STO</t>
    </r>
    <r>
      <rPr>
        <sz val="11"/>
        <rFont val="Calibri"/>
        <family val="2"/>
        <scheme val="minor"/>
      </rPr>
      <t>)</t>
    </r>
  </si>
  <si>
    <r>
      <t>q</t>
    </r>
    <r>
      <rPr>
        <vertAlign val="subscript"/>
        <sz val="11"/>
        <color indexed="8"/>
        <rFont val="Calibri"/>
        <family val="2"/>
        <scheme val="minor"/>
      </rPr>
      <t>HYD,XBe,T</t>
    </r>
  </si>
  <si>
    <t>Rate of hydrolysis for XB,e (temperature corrected)</t>
  </si>
  <si>
    <r>
      <t>q</t>
    </r>
    <r>
      <rPr>
        <vertAlign val="subscript"/>
        <sz val="11"/>
        <color indexed="8"/>
        <rFont val="Calibri"/>
        <family val="2"/>
        <scheme val="minor"/>
      </rPr>
      <t>HYD,XBe</t>
    </r>
    <r>
      <rPr>
        <sz val="11"/>
        <color indexed="8"/>
        <rFont val="Calibri"/>
        <family val="2"/>
        <scheme val="minor"/>
      </rPr>
      <t>*Arrh(θ</t>
    </r>
    <r>
      <rPr>
        <vertAlign val="subscript"/>
        <sz val="11"/>
        <color indexed="8"/>
        <rFont val="Calibri"/>
        <family val="2"/>
        <scheme val="minor"/>
      </rPr>
      <t>q,HYD</t>
    </r>
    <r>
      <rPr>
        <sz val="11"/>
        <color indexed="8"/>
        <rFont val="Calibri"/>
        <family val="2"/>
        <scheme val="minor"/>
      </rPr>
      <t>; T; T</t>
    </r>
    <r>
      <rPr>
        <vertAlign val="subscript"/>
        <sz val="11"/>
        <color indexed="8"/>
        <rFont val="Calibri"/>
        <family val="2"/>
        <scheme val="minor"/>
      </rPr>
      <t>base</t>
    </r>
    <r>
      <rPr>
        <sz val="11"/>
        <color indexed="8"/>
        <rFont val="Calibri"/>
        <family val="2"/>
        <scheme val="minor"/>
      </rPr>
      <t>)</t>
    </r>
  </si>
  <si>
    <r>
      <t>q</t>
    </r>
    <r>
      <rPr>
        <vertAlign val="subscript"/>
        <sz val="11"/>
        <color indexed="8"/>
        <rFont val="Calibri"/>
        <family val="2"/>
        <scheme val="minor"/>
      </rPr>
      <t>HYD,XB,T</t>
    </r>
  </si>
  <si>
    <r>
      <t>q</t>
    </r>
    <r>
      <rPr>
        <vertAlign val="subscript"/>
        <sz val="11"/>
        <color indexed="8"/>
        <rFont val="Calibri"/>
        <family val="2"/>
        <scheme val="minor"/>
      </rPr>
      <t>HYD,XB</t>
    </r>
    <r>
      <rPr>
        <sz val="11"/>
        <color indexed="8"/>
        <rFont val="Calibri"/>
        <family val="2"/>
        <scheme val="minor"/>
      </rPr>
      <t>*Arrh(θ</t>
    </r>
    <r>
      <rPr>
        <vertAlign val="subscript"/>
        <sz val="11"/>
        <color indexed="8"/>
        <rFont val="Calibri"/>
        <family val="2"/>
        <scheme val="minor"/>
      </rPr>
      <t>q,HYD</t>
    </r>
    <r>
      <rPr>
        <sz val="11"/>
        <color indexed="8"/>
        <rFont val="Calibri"/>
        <family val="2"/>
        <scheme val="minor"/>
      </rPr>
      <t>; T; T</t>
    </r>
    <r>
      <rPr>
        <vertAlign val="subscript"/>
        <sz val="11"/>
        <color indexed="8"/>
        <rFont val="Calibri"/>
        <family val="2"/>
        <scheme val="minor"/>
      </rPr>
      <t>base</t>
    </r>
    <r>
      <rPr>
        <sz val="11"/>
        <color indexed="8"/>
        <rFont val="Calibri"/>
        <family val="2"/>
        <scheme val="minor"/>
      </rPr>
      <t>)</t>
    </r>
  </si>
  <si>
    <r>
      <t>MRsat</t>
    </r>
    <r>
      <rPr>
        <vertAlign val="subscript"/>
        <sz val="11"/>
        <rFont val="Calibri"/>
        <family val="2"/>
        <scheme val="minor"/>
      </rPr>
      <t>XBe,XHET,KHYD</t>
    </r>
  </si>
  <si>
    <t>Saturation term for slowly biodegradable substrate from biomass decay (hydrolysis)</t>
  </si>
  <si>
    <r>
      <t>MRsat(X</t>
    </r>
    <r>
      <rPr>
        <vertAlign val="subscript"/>
        <sz val="11"/>
        <rFont val="Calibri"/>
        <family val="2"/>
        <scheme val="minor"/>
      </rPr>
      <t>B,e</t>
    </r>
    <r>
      <rPr>
        <sz val="11"/>
        <rFont val="Calibri"/>
        <family val="2"/>
        <scheme val="minor"/>
      </rPr>
      <t>;X</t>
    </r>
    <r>
      <rPr>
        <vertAlign val="subscript"/>
        <sz val="11"/>
        <rFont val="Calibri"/>
        <family val="2"/>
        <scheme val="minor"/>
      </rPr>
      <t>HET</t>
    </r>
    <r>
      <rPr>
        <sz val="11"/>
        <rFont val="Calibri"/>
        <family val="2"/>
        <scheme val="minor"/>
      </rPr>
      <t>;K</t>
    </r>
    <r>
      <rPr>
        <vertAlign val="subscript"/>
        <sz val="11"/>
        <rFont val="Calibri"/>
        <family val="2"/>
        <scheme val="minor"/>
      </rPr>
      <t>HYD</t>
    </r>
    <r>
      <rPr>
        <sz val="11"/>
        <rFont val="Calibri"/>
        <family val="2"/>
        <scheme val="minor"/>
      </rPr>
      <t>)</t>
    </r>
  </si>
  <si>
    <r>
      <t>Msat</t>
    </r>
    <r>
      <rPr>
        <vertAlign val="subscript"/>
        <sz val="11"/>
        <rFont val="Calibri"/>
        <family val="2"/>
        <scheme val="minor"/>
      </rPr>
      <t>XBe,KXBe,HYD</t>
    </r>
  </si>
  <si>
    <t>Saturation term for slowly biodegradable substrate from biomass decay in low biomass condition (hydrolysis)</t>
  </si>
  <si>
    <r>
      <t>Msat(X</t>
    </r>
    <r>
      <rPr>
        <vertAlign val="subscript"/>
        <sz val="11"/>
        <rFont val="Calibri"/>
        <family val="2"/>
        <scheme val="minor"/>
      </rPr>
      <t>B,e</t>
    </r>
    <r>
      <rPr>
        <sz val="11"/>
        <rFont val="Calibri"/>
        <family val="2"/>
        <scheme val="minor"/>
      </rPr>
      <t>;K</t>
    </r>
    <r>
      <rPr>
        <vertAlign val="subscript"/>
        <sz val="11"/>
        <rFont val="Calibri"/>
        <family val="2"/>
        <scheme val="minor"/>
      </rPr>
      <t>XBe,HYD</t>
    </r>
    <r>
      <rPr>
        <sz val="11"/>
        <rFont val="Calibri"/>
        <family val="2"/>
        <scheme val="minor"/>
      </rPr>
      <t>)</t>
    </r>
  </si>
  <si>
    <r>
      <t>i</t>
    </r>
    <r>
      <rPr>
        <vertAlign val="subscript"/>
        <sz val="11"/>
        <rFont val="Calibri"/>
        <family val="2"/>
      </rPr>
      <t>CIT,ALGAE</t>
    </r>
    <r>
      <rPr>
        <sz val="11"/>
        <rFont val="Calibri"/>
        <family val="2"/>
      </rPr>
      <t>-(1-f</t>
    </r>
    <r>
      <rPr>
        <vertAlign val="subscript"/>
        <sz val="11"/>
        <rFont val="Calibri"/>
        <family val="2"/>
      </rPr>
      <t>E</t>
    </r>
    <r>
      <rPr>
        <sz val="11"/>
        <rFont val="Calibri"/>
        <family val="2"/>
      </rPr>
      <t>)*i</t>
    </r>
    <r>
      <rPr>
        <vertAlign val="subscript"/>
        <sz val="11"/>
        <rFont val="Calibri"/>
        <family val="2"/>
      </rPr>
      <t>CIT,XBe</t>
    </r>
    <r>
      <rPr>
        <sz val="11"/>
        <rFont val="Calibri"/>
        <family val="2"/>
      </rPr>
      <t>-f</t>
    </r>
    <r>
      <rPr>
        <vertAlign val="subscript"/>
        <sz val="11"/>
        <rFont val="Calibri"/>
        <family val="2"/>
      </rPr>
      <t>E</t>
    </r>
    <r>
      <rPr>
        <sz val="11"/>
        <rFont val="Calibri"/>
        <family val="2"/>
      </rPr>
      <t>*i</t>
    </r>
    <r>
      <rPr>
        <vertAlign val="subscript"/>
        <sz val="11"/>
        <rFont val="Calibri"/>
        <family val="2"/>
      </rPr>
      <t>CIT,BIO</t>
    </r>
  </si>
  <si>
    <r>
      <t>i</t>
    </r>
    <r>
      <rPr>
        <vertAlign val="subscript"/>
        <sz val="11"/>
        <color indexed="8"/>
        <rFont val="Calibri"/>
        <family val="2"/>
      </rPr>
      <t>CIT,BIO</t>
    </r>
    <r>
      <rPr>
        <sz val="11"/>
        <color indexed="8"/>
        <rFont val="Calibri"/>
        <family val="2"/>
      </rPr>
      <t>-f</t>
    </r>
    <r>
      <rPr>
        <vertAlign val="subscript"/>
        <sz val="11"/>
        <color indexed="8"/>
        <rFont val="Calibri"/>
        <family val="2"/>
      </rPr>
      <t>E</t>
    </r>
    <r>
      <rPr>
        <sz val="11"/>
        <color indexed="8"/>
        <rFont val="Calibri"/>
        <family val="2"/>
      </rPr>
      <t>*(1-f</t>
    </r>
    <r>
      <rPr>
        <vertAlign val="subscript"/>
        <sz val="11"/>
        <color indexed="8"/>
        <rFont val="Calibri"/>
        <family val="2"/>
      </rPr>
      <t>C</t>
    </r>
    <r>
      <rPr>
        <sz val="11"/>
        <color indexed="8"/>
        <rFont val="Calibri"/>
        <family val="2"/>
      </rPr>
      <t>)*i</t>
    </r>
    <r>
      <rPr>
        <vertAlign val="subscript"/>
        <sz val="11"/>
        <color indexed="8"/>
        <rFont val="Calibri"/>
        <family val="2"/>
      </rPr>
      <t>CIT,BIO</t>
    </r>
    <r>
      <rPr>
        <sz val="11"/>
        <color indexed="8"/>
        <rFont val="Calibri"/>
        <family val="2"/>
      </rPr>
      <t>-(1-f</t>
    </r>
    <r>
      <rPr>
        <vertAlign val="subscript"/>
        <sz val="11"/>
        <color indexed="8"/>
        <rFont val="Calibri"/>
        <family val="2"/>
      </rPr>
      <t>E</t>
    </r>
    <r>
      <rPr>
        <sz val="11"/>
        <color indexed="8"/>
        <rFont val="Calibri"/>
        <family val="2"/>
      </rPr>
      <t>)*(1-f</t>
    </r>
    <r>
      <rPr>
        <vertAlign val="subscript"/>
        <sz val="11"/>
        <color indexed="8"/>
        <rFont val="Calibri"/>
        <family val="2"/>
      </rPr>
      <t>C</t>
    </r>
    <r>
      <rPr>
        <sz val="11"/>
        <color indexed="8"/>
        <rFont val="Calibri"/>
        <family val="2"/>
      </rPr>
      <t>)*i</t>
    </r>
    <r>
      <rPr>
        <vertAlign val="subscript"/>
        <sz val="11"/>
        <color indexed="8"/>
        <rFont val="Calibri"/>
        <family val="2"/>
      </rPr>
      <t>CIT,XBe</t>
    </r>
    <r>
      <rPr>
        <sz val="11"/>
        <color indexed="8"/>
        <rFont val="Calibri"/>
        <family val="2"/>
      </rPr>
      <t>-(1-f</t>
    </r>
    <r>
      <rPr>
        <vertAlign val="subscript"/>
        <sz val="11"/>
        <color indexed="8"/>
        <rFont val="Calibri"/>
        <family val="2"/>
      </rPr>
      <t>E</t>
    </r>
    <r>
      <rPr>
        <sz val="11"/>
        <color indexed="8"/>
        <rFont val="Calibri"/>
        <family val="2"/>
      </rPr>
      <t>)*f</t>
    </r>
    <r>
      <rPr>
        <vertAlign val="subscript"/>
        <sz val="11"/>
        <color indexed="8"/>
        <rFont val="Calibri"/>
        <family val="2"/>
      </rPr>
      <t>C</t>
    </r>
    <r>
      <rPr>
        <sz val="11"/>
        <color indexed="8"/>
        <rFont val="Calibri"/>
        <family val="2"/>
      </rPr>
      <t>*i</t>
    </r>
    <r>
      <rPr>
        <vertAlign val="subscript"/>
        <sz val="11"/>
        <color indexed="8"/>
        <rFont val="Calibri"/>
        <family val="2"/>
      </rPr>
      <t>CIT,XBe</t>
    </r>
    <r>
      <rPr>
        <sz val="11"/>
        <color indexed="8"/>
        <rFont val="Calibri"/>
        <family val="2"/>
      </rPr>
      <t>-f</t>
    </r>
    <r>
      <rPr>
        <vertAlign val="subscript"/>
        <sz val="11"/>
        <color indexed="8"/>
        <rFont val="Calibri"/>
        <family val="2"/>
      </rPr>
      <t>E</t>
    </r>
    <r>
      <rPr>
        <sz val="11"/>
        <color indexed="8"/>
        <rFont val="Calibri"/>
        <family val="2"/>
      </rPr>
      <t>*f</t>
    </r>
    <r>
      <rPr>
        <vertAlign val="subscript"/>
        <sz val="11"/>
        <color indexed="8"/>
        <rFont val="Calibri"/>
        <family val="2"/>
      </rPr>
      <t>C</t>
    </r>
    <r>
      <rPr>
        <sz val="11"/>
        <color indexed="8"/>
        <rFont val="Calibri"/>
        <family val="2"/>
      </rPr>
      <t>*i</t>
    </r>
    <r>
      <rPr>
        <vertAlign val="subscript"/>
        <sz val="11"/>
        <color indexed="8"/>
        <rFont val="Calibri"/>
        <family val="2"/>
      </rPr>
      <t>CIT,XBe</t>
    </r>
  </si>
  <si>
    <r>
      <t>i</t>
    </r>
    <r>
      <rPr>
        <vertAlign val="subscript"/>
        <sz val="11"/>
        <color indexed="8"/>
        <rFont val="Calibri"/>
        <family val="2"/>
      </rPr>
      <t>CIT,BIO</t>
    </r>
    <r>
      <rPr>
        <sz val="11"/>
        <color indexed="8"/>
        <rFont val="Calibri"/>
        <family val="2"/>
      </rPr>
      <t>-f</t>
    </r>
    <r>
      <rPr>
        <vertAlign val="subscript"/>
        <sz val="11"/>
        <color indexed="8"/>
        <rFont val="Calibri"/>
        <family val="2"/>
      </rPr>
      <t>E</t>
    </r>
    <r>
      <rPr>
        <sz val="11"/>
        <color indexed="8"/>
        <rFont val="Calibri"/>
        <family val="2"/>
      </rPr>
      <t>*(1-f</t>
    </r>
    <r>
      <rPr>
        <vertAlign val="subscript"/>
        <sz val="11"/>
        <color indexed="8"/>
        <rFont val="Calibri"/>
        <family val="2"/>
      </rPr>
      <t>C</t>
    </r>
    <r>
      <rPr>
        <sz val="11"/>
        <color indexed="8"/>
        <rFont val="Calibri"/>
        <family val="2"/>
      </rPr>
      <t>)*i</t>
    </r>
    <r>
      <rPr>
        <vertAlign val="subscript"/>
        <sz val="11"/>
        <color indexed="8"/>
        <rFont val="Calibri"/>
        <family val="2"/>
      </rPr>
      <t>CIT,BIO</t>
    </r>
    <r>
      <rPr>
        <sz val="11"/>
        <color indexed="8"/>
        <rFont val="Calibri"/>
        <family val="2"/>
      </rPr>
      <t>-(1-f</t>
    </r>
    <r>
      <rPr>
        <vertAlign val="subscript"/>
        <sz val="11"/>
        <color indexed="8"/>
        <rFont val="Calibri"/>
        <family val="2"/>
      </rPr>
      <t>E</t>
    </r>
    <r>
      <rPr>
        <sz val="11"/>
        <color indexed="8"/>
        <rFont val="Calibri"/>
        <family val="2"/>
      </rPr>
      <t>)*(1-f</t>
    </r>
    <r>
      <rPr>
        <vertAlign val="subscript"/>
        <sz val="11"/>
        <color indexed="8"/>
        <rFont val="Calibri"/>
        <family val="2"/>
      </rPr>
      <t>C</t>
    </r>
    <r>
      <rPr>
        <sz val="11"/>
        <color indexed="8"/>
        <rFont val="Calibri"/>
        <family val="2"/>
      </rPr>
      <t>)*i</t>
    </r>
    <r>
      <rPr>
        <vertAlign val="subscript"/>
        <sz val="11"/>
        <color indexed="8"/>
        <rFont val="Calibri"/>
        <family val="2"/>
      </rPr>
      <t>CIT,XBe</t>
    </r>
    <r>
      <rPr>
        <sz val="11"/>
        <color indexed="8"/>
        <rFont val="Calibri"/>
        <family val="2"/>
      </rPr>
      <t>-(1-f</t>
    </r>
    <r>
      <rPr>
        <vertAlign val="subscript"/>
        <sz val="11"/>
        <color indexed="8"/>
        <rFont val="Calibri"/>
        <family val="2"/>
      </rPr>
      <t>E</t>
    </r>
    <r>
      <rPr>
        <sz val="11"/>
        <color indexed="8"/>
        <rFont val="Calibri"/>
        <family val="2"/>
      </rPr>
      <t>)*f</t>
    </r>
    <r>
      <rPr>
        <vertAlign val="subscript"/>
        <sz val="11"/>
        <color indexed="8"/>
        <rFont val="Calibri"/>
        <family val="2"/>
      </rPr>
      <t>C</t>
    </r>
    <r>
      <rPr>
        <sz val="11"/>
        <color indexed="8"/>
        <rFont val="Calibri"/>
        <family val="2"/>
      </rPr>
      <t>*i</t>
    </r>
    <r>
      <rPr>
        <vertAlign val="subscript"/>
        <sz val="11"/>
        <color indexed="8"/>
        <rFont val="Calibri"/>
        <family val="2"/>
      </rPr>
      <t>CIT,XBe</t>
    </r>
    <r>
      <rPr>
        <sz val="11"/>
        <color indexed="8"/>
        <rFont val="Calibri"/>
        <family val="2"/>
      </rPr>
      <t>-f</t>
    </r>
    <r>
      <rPr>
        <vertAlign val="subscript"/>
        <sz val="11"/>
        <color indexed="8"/>
        <rFont val="Calibri"/>
        <family val="2"/>
      </rPr>
      <t>E</t>
    </r>
    <r>
      <rPr>
        <sz val="11"/>
        <color indexed="8"/>
        <rFont val="Calibri"/>
        <family val="2"/>
      </rPr>
      <t>*f</t>
    </r>
    <r>
      <rPr>
        <vertAlign val="subscript"/>
        <sz val="11"/>
        <color indexed="8"/>
        <rFont val="Calibri"/>
        <family val="2"/>
      </rPr>
      <t>C</t>
    </r>
    <r>
      <rPr>
        <sz val="11"/>
        <color indexed="8"/>
        <rFont val="Calibri"/>
        <family val="2"/>
      </rPr>
      <t>*i</t>
    </r>
    <r>
      <rPr>
        <vertAlign val="subscript"/>
        <sz val="11"/>
        <color indexed="8"/>
        <rFont val="Calibri"/>
        <family val="2"/>
      </rPr>
      <t>CIT,XBe</t>
    </r>
    <r>
      <rPr>
        <sz val="11"/>
        <color indexed="8"/>
        <rFont val="Calibri"/>
        <family val="2"/>
      </rPr>
      <t>+(i</t>
    </r>
    <r>
      <rPr>
        <vertAlign val="subscript"/>
        <sz val="11"/>
        <color indexed="8"/>
        <rFont val="Calibri"/>
        <family val="2"/>
      </rPr>
      <t>CIT,STC</t>
    </r>
    <r>
      <rPr>
        <sz val="11"/>
        <color indexed="8"/>
        <rFont val="Calibri"/>
        <family val="2"/>
      </rPr>
      <t>-i</t>
    </r>
    <r>
      <rPr>
        <vertAlign val="subscript"/>
        <sz val="11"/>
        <color indexed="8"/>
        <rFont val="Calibri"/>
        <family val="2"/>
      </rPr>
      <t>CIT,VFA</t>
    </r>
    <r>
      <rPr>
        <sz val="11"/>
        <color indexed="8"/>
        <rFont val="Calibri"/>
        <family val="2"/>
      </rPr>
      <t>)*X</t>
    </r>
    <r>
      <rPr>
        <vertAlign val="subscript"/>
        <sz val="11"/>
        <color indexed="8"/>
        <rFont val="Calibri"/>
        <family val="2"/>
      </rPr>
      <t>STC</t>
    </r>
    <r>
      <rPr>
        <sz val="11"/>
        <color indexed="8"/>
        <rFont val="Calibri"/>
        <family val="2"/>
      </rPr>
      <t>/X</t>
    </r>
    <r>
      <rPr>
        <vertAlign val="subscript"/>
        <sz val="11"/>
        <color indexed="8"/>
        <rFont val="Calibri"/>
        <family val="2"/>
      </rPr>
      <t>CASTO</t>
    </r>
  </si>
  <si>
    <r>
      <t>i</t>
    </r>
    <r>
      <rPr>
        <vertAlign val="subscript"/>
        <sz val="11"/>
        <color indexed="8"/>
        <rFont val="Calibri"/>
        <family val="2"/>
      </rPr>
      <t>CIT,BIO</t>
    </r>
    <r>
      <rPr>
        <sz val="11"/>
        <color indexed="8"/>
        <rFont val="Calibri"/>
        <family val="2"/>
      </rPr>
      <t>-f</t>
    </r>
    <r>
      <rPr>
        <vertAlign val="subscript"/>
        <sz val="11"/>
        <color indexed="8"/>
        <rFont val="Calibri"/>
        <family val="2"/>
      </rPr>
      <t>E</t>
    </r>
    <r>
      <rPr>
        <sz val="11"/>
        <color indexed="8"/>
        <rFont val="Calibri"/>
        <family val="2"/>
      </rPr>
      <t>*(1-f</t>
    </r>
    <r>
      <rPr>
        <vertAlign val="subscript"/>
        <sz val="11"/>
        <color indexed="8"/>
        <rFont val="Calibri"/>
        <family val="2"/>
      </rPr>
      <t>C</t>
    </r>
    <r>
      <rPr>
        <sz val="11"/>
        <color indexed="8"/>
        <rFont val="Calibri"/>
        <family val="2"/>
      </rPr>
      <t>)*i</t>
    </r>
    <r>
      <rPr>
        <vertAlign val="subscript"/>
        <sz val="11"/>
        <color indexed="8"/>
        <rFont val="Calibri"/>
        <family val="2"/>
      </rPr>
      <t>CIT,BIO</t>
    </r>
    <r>
      <rPr>
        <sz val="11"/>
        <color indexed="8"/>
        <rFont val="Calibri"/>
        <family val="2"/>
      </rPr>
      <t>-(1-f</t>
    </r>
    <r>
      <rPr>
        <vertAlign val="subscript"/>
        <sz val="11"/>
        <color indexed="8"/>
        <rFont val="Calibri"/>
        <family val="2"/>
      </rPr>
      <t>E</t>
    </r>
    <r>
      <rPr>
        <sz val="11"/>
        <color indexed="8"/>
        <rFont val="Calibri"/>
        <family val="2"/>
      </rPr>
      <t>)*(1-f</t>
    </r>
    <r>
      <rPr>
        <vertAlign val="subscript"/>
        <sz val="11"/>
        <color indexed="8"/>
        <rFont val="Calibri"/>
        <family val="2"/>
      </rPr>
      <t>C</t>
    </r>
    <r>
      <rPr>
        <sz val="11"/>
        <color indexed="8"/>
        <rFont val="Calibri"/>
        <family val="2"/>
      </rPr>
      <t>)*i</t>
    </r>
    <r>
      <rPr>
        <vertAlign val="subscript"/>
        <sz val="11"/>
        <color indexed="8"/>
        <rFont val="Calibri"/>
        <family val="2"/>
      </rPr>
      <t>CIT,XBe</t>
    </r>
    <r>
      <rPr>
        <sz val="11"/>
        <color indexed="8"/>
        <rFont val="Calibri"/>
        <family val="2"/>
      </rPr>
      <t>-(1-f</t>
    </r>
    <r>
      <rPr>
        <vertAlign val="subscript"/>
        <sz val="11"/>
        <color indexed="8"/>
        <rFont val="Calibri"/>
        <family val="2"/>
      </rPr>
      <t>E</t>
    </r>
    <r>
      <rPr>
        <sz val="11"/>
        <color indexed="8"/>
        <rFont val="Calibri"/>
        <family val="2"/>
      </rPr>
      <t>)*f</t>
    </r>
    <r>
      <rPr>
        <vertAlign val="subscript"/>
        <sz val="11"/>
        <color indexed="8"/>
        <rFont val="Calibri"/>
        <family val="2"/>
      </rPr>
      <t>C</t>
    </r>
    <r>
      <rPr>
        <sz val="11"/>
        <color indexed="8"/>
        <rFont val="Calibri"/>
        <family val="2"/>
      </rPr>
      <t>*i</t>
    </r>
    <r>
      <rPr>
        <vertAlign val="subscript"/>
        <sz val="11"/>
        <color indexed="8"/>
        <rFont val="Calibri"/>
        <family val="2"/>
      </rPr>
      <t>CIT,XBe</t>
    </r>
    <r>
      <rPr>
        <sz val="11"/>
        <color indexed="8"/>
        <rFont val="Calibri"/>
        <family val="2"/>
      </rPr>
      <t>-f</t>
    </r>
    <r>
      <rPr>
        <vertAlign val="subscript"/>
        <sz val="11"/>
        <color indexed="8"/>
        <rFont val="Calibri"/>
        <family val="2"/>
      </rPr>
      <t>E</t>
    </r>
    <r>
      <rPr>
        <sz val="11"/>
        <color indexed="8"/>
        <rFont val="Calibri"/>
        <family val="2"/>
      </rPr>
      <t>*f</t>
    </r>
    <r>
      <rPr>
        <vertAlign val="subscript"/>
        <sz val="11"/>
        <color indexed="8"/>
        <rFont val="Calibri"/>
        <family val="2"/>
      </rPr>
      <t>C</t>
    </r>
    <r>
      <rPr>
        <sz val="11"/>
        <color indexed="8"/>
        <rFont val="Calibri"/>
        <family val="2"/>
      </rPr>
      <t>*i</t>
    </r>
    <r>
      <rPr>
        <vertAlign val="subscript"/>
        <sz val="11"/>
        <color indexed="8"/>
        <rFont val="Calibri"/>
        <family val="2"/>
      </rPr>
      <t>CIT,XBe</t>
    </r>
    <r>
      <rPr>
        <sz val="11"/>
        <color indexed="8"/>
        <rFont val="Calibri"/>
        <family val="2"/>
      </rPr>
      <t>+(i</t>
    </r>
    <r>
      <rPr>
        <vertAlign val="subscript"/>
        <sz val="11"/>
        <color indexed="8"/>
        <rFont val="Calibri"/>
        <family val="2"/>
      </rPr>
      <t>CIT,SB,mono</t>
    </r>
    <r>
      <rPr>
        <sz val="11"/>
        <color indexed="8"/>
        <rFont val="Calibri"/>
        <family val="2"/>
      </rPr>
      <t>-i</t>
    </r>
    <r>
      <rPr>
        <vertAlign val="subscript"/>
        <sz val="11"/>
        <color indexed="8"/>
        <rFont val="Calibri"/>
        <family val="2"/>
      </rPr>
      <t>CIT,SB,poly</t>
    </r>
    <r>
      <rPr>
        <sz val="11"/>
        <color indexed="8"/>
        <rFont val="Calibri"/>
        <family val="2"/>
      </rPr>
      <t>)*X</t>
    </r>
    <r>
      <rPr>
        <vertAlign val="subscript"/>
        <sz val="11"/>
        <color indexed="8"/>
        <rFont val="Calibri"/>
        <family val="2"/>
      </rPr>
      <t>STO</t>
    </r>
    <r>
      <rPr>
        <sz val="11"/>
        <color indexed="8"/>
        <rFont val="Calibri"/>
        <family val="2"/>
      </rPr>
      <t>/X</t>
    </r>
    <r>
      <rPr>
        <vertAlign val="subscript"/>
        <sz val="11"/>
        <color indexed="8"/>
        <rFont val="Calibri"/>
        <family val="2"/>
      </rPr>
      <t>AHO</t>
    </r>
  </si>
  <si>
    <r>
      <t>X</t>
    </r>
    <r>
      <rPr>
        <vertAlign val="subscript"/>
        <sz val="11"/>
        <rFont val="Calibri"/>
        <family val="2"/>
      </rPr>
      <t>N,Be</t>
    </r>
    <r>
      <rPr>
        <sz val="11"/>
        <rFont val="Calibri"/>
        <family val="2"/>
      </rPr>
      <t>/X</t>
    </r>
    <r>
      <rPr>
        <vertAlign val="subscript"/>
        <sz val="11"/>
        <rFont val="Calibri"/>
        <family val="2"/>
      </rPr>
      <t>B,e</t>
    </r>
  </si>
  <si>
    <r>
      <t>-X</t>
    </r>
    <r>
      <rPr>
        <vertAlign val="subscript"/>
        <sz val="11"/>
        <rFont val="Calibri"/>
        <family val="2"/>
      </rPr>
      <t>N,Be</t>
    </r>
    <r>
      <rPr>
        <sz val="11"/>
        <rFont val="Calibri"/>
        <family val="2"/>
      </rPr>
      <t>/X</t>
    </r>
    <r>
      <rPr>
        <vertAlign val="subscript"/>
        <sz val="11"/>
        <rFont val="Calibri"/>
        <family val="2"/>
      </rPr>
      <t>B,e</t>
    </r>
  </si>
  <si>
    <r>
      <t>X</t>
    </r>
    <r>
      <rPr>
        <vertAlign val="subscript"/>
        <sz val="11"/>
        <rFont val="Calibri"/>
        <family val="2"/>
      </rPr>
      <t>P,Be</t>
    </r>
    <r>
      <rPr>
        <sz val="11"/>
        <rFont val="Calibri"/>
        <family val="2"/>
      </rPr>
      <t>/X</t>
    </r>
    <r>
      <rPr>
        <vertAlign val="subscript"/>
        <sz val="11"/>
        <rFont val="Calibri"/>
        <family val="2"/>
      </rPr>
      <t>B,e</t>
    </r>
  </si>
  <si>
    <r>
      <t>-X</t>
    </r>
    <r>
      <rPr>
        <vertAlign val="subscript"/>
        <sz val="11"/>
        <rFont val="Calibri"/>
        <family val="2"/>
      </rPr>
      <t>P,Be</t>
    </r>
    <r>
      <rPr>
        <sz val="11"/>
        <rFont val="Calibri"/>
        <family val="2"/>
      </rPr>
      <t>/X</t>
    </r>
    <r>
      <rPr>
        <vertAlign val="subscript"/>
        <sz val="11"/>
        <rFont val="Calibri"/>
        <family val="2"/>
      </rPr>
      <t>B,e</t>
    </r>
  </si>
  <si>
    <r>
      <t>q</t>
    </r>
    <r>
      <rPr>
        <vertAlign val="subscript"/>
        <sz val="11"/>
        <rFont val="Calibri"/>
        <family val="2"/>
      </rPr>
      <t>HYD,XBe,T</t>
    </r>
    <r>
      <rPr>
        <sz val="11"/>
        <rFont val="Calibri"/>
        <family val="2"/>
      </rPr>
      <t>*X</t>
    </r>
    <r>
      <rPr>
        <vertAlign val="subscript"/>
        <sz val="11"/>
        <rFont val="Calibri"/>
        <family val="2"/>
      </rPr>
      <t>HET</t>
    </r>
    <r>
      <rPr>
        <sz val="11"/>
        <rFont val="Calibri"/>
        <family val="2"/>
      </rPr>
      <t>*(Logsat</t>
    </r>
    <r>
      <rPr>
        <vertAlign val="subscript"/>
        <sz val="11"/>
        <rFont val="Calibri"/>
        <family val="2"/>
      </rPr>
      <t>XHET,HYD,lim</t>
    </r>
    <r>
      <rPr>
        <sz val="11"/>
        <rFont val="Calibri"/>
        <family val="2"/>
      </rPr>
      <t>*MRsat</t>
    </r>
    <r>
      <rPr>
        <vertAlign val="subscript"/>
        <sz val="11"/>
        <rFont val="Calibri"/>
        <family val="2"/>
      </rPr>
      <t>XBe,XHET,KHYD</t>
    </r>
    <r>
      <rPr>
        <sz val="11"/>
        <rFont val="Calibri"/>
        <family val="2"/>
      </rPr>
      <t>+Loginh</t>
    </r>
    <r>
      <rPr>
        <vertAlign val="subscript"/>
        <sz val="11"/>
        <rFont val="Calibri"/>
        <family val="2"/>
      </rPr>
      <t>XHET,HYD,lim</t>
    </r>
    <r>
      <rPr>
        <sz val="11"/>
        <rFont val="Calibri"/>
        <family val="2"/>
      </rPr>
      <t>*Msat</t>
    </r>
    <r>
      <rPr>
        <vertAlign val="subscript"/>
        <sz val="11"/>
        <rFont val="Calibri"/>
        <family val="2"/>
      </rPr>
      <t>XBe,KXBe,HYD</t>
    </r>
    <r>
      <rPr>
        <sz val="11"/>
        <rFont val="Calibri"/>
        <family val="2"/>
      </rPr>
      <t>)*(Msat</t>
    </r>
    <r>
      <rPr>
        <vertAlign val="subscript"/>
        <sz val="11"/>
        <rFont val="Calibri"/>
        <family val="2"/>
      </rPr>
      <t>SO2,KO2,OHO</t>
    </r>
    <r>
      <rPr>
        <sz val="11"/>
        <rFont val="Calibri"/>
        <family val="2"/>
      </rPr>
      <t>+η</t>
    </r>
    <r>
      <rPr>
        <vertAlign val="subscript"/>
        <sz val="11"/>
        <rFont val="Calibri"/>
        <family val="2"/>
      </rPr>
      <t>HYD,anox</t>
    </r>
    <r>
      <rPr>
        <sz val="11"/>
        <rFont val="Calibri"/>
        <family val="2"/>
      </rPr>
      <t>*(Msat</t>
    </r>
    <r>
      <rPr>
        <vertAlign val="subscript"/>
        <sz val="11"/>
        <rFont val="Calibri"/>
        <family val="2"/>
        <charset val="238"/>
      </rPr>
      <t>SNO2,KNO2,OHO</t>
    </r>
    <r>
      <rPr>
        <sz val="11"/>
        <rFont val="Calibri"/>
        <family val="2"/>
      </rPr>
      <t>+Msat</t>
    </r>
    <r>
      <rPr>
        <vertAlign val="subscript"/>
        <sz val="11"/>
        <rFont val="Calibri"/>
        <family val="2"/>
        <charset val="238"/>
      </rPr>
      <t>SNO3,KNO3,OHO</t>
    </r>
    <r>
      <rPr>
        <sz val="11"/>
        <rFont val="Calibri"/>
        <family val="2"/>
      </rPr>
      <t>*Minh</t>
    </r>
    <r>
      <rPr>
        <vertAlign val="subscript"/>
        <sz val="11"/>
        <rFont val="Calibri"/>
        <family val="2"/>
        <charset val="238"/>
      </rPr>
      <t>SNO2,KNO2,OHO</t>
    </r>
    <r>
      <rPr>
        <sz val="11"/>
        <rFont val="Calibri"/>
        <family val="2"/>
      </rPr>
      <t>)*Minh</t>
    </r>
    <r>
      <rPr>
        <vertAlign val="subscript"/>
        <sz val="11"/>
        <rFont val="Calibri"/>
        <family val="2"/>
      </rPr>
      <t>SO2,KO2,OHO</t>
    </r>
    <r>
      <rPr>
        <sz val="11"/>
        <rFont val="Calibri"/>
        <family val="2"/>
      </rPr>
      <t>+η</t>
    </r>
    <r>
      <rPr>
        <vertAlign val="subscript"/>
        <sz val="11"/>
        <rFont val="Calibri"/>
        <family val="2"/>
      </rPr>
      <t>HYD,ana</t>
    </r>
    <r>
      <rPr>
        <sz val="11"/>
        <rFont val="Calibri"/>
        <family val="2"/>
      </rPr>
      <t>*Minh</t>
    </r>
    <r>
      <rPr>
        <vertAlign val="subscript"/>
        <sz val="11"/>
        <rFont val="Calibri"/>
        <family val="2"/>
        <charset val="238"/>
      </rPr>
      <t>SNO3,KNO3,OHO</t>
    </r>
    <r>
      <rPr>
        <sz val="11"/>
        <rFont val="Calibri"/>
        <family val="2"/>
      </rPr>
      <t>*Minh</t>
    </r>
    <r>
      <rPr>
        <vertAlign val="subscript"/>
        <sz val="11"/>
        <rFont val="Calibri"/>
        <family val="2"/>
        <charset val="238"/>
      </rPr>
      <t>SNO2,KNO2,OHO</t>
    </r>
    <r>
      <rPr>
        <sz val="11"/>
        <rFont val="Calibri"/>
        <family val="2"/>
      </rPr>
      <t>*Minh</t>
    </r>
    <r>
      <rPr>
        <vertAlign val="subscript"/>
        <sz val="11"/>
        <rFont val="Calibri"/>
        <family val="2"/>
      </rPr>
      <t>SO2,KO2,OHO</t>
    </r>
    <r>
      <rPr>
        <sz val="11"/>
        <rFont val="Calibri"/>
        <family val="2"/>
      </rPr>
      <t>)</t>
    </r>
  </si>
  <si>
    <r>
      <t>i</t>
    </r>
    <r>
      <rPr>
        <vertAlign val="subscript"/>
        <sz val="11"/>
        <rFont val="Calibri"/>
        <family val="2"/>
      </rPr>
      <t>CIT,XBe</t>
    </r>
    <r>
      <rPr>
        <sz val="11"/>
        <rFont val="Calibri"/>
        <family val="2"/>
      </rPr>
      <t>-i</t>
    </r>
    <r>
      <rPr>
        <vertAlign val="subscript"/>
        <sz val="11"/>
        <rFont val="Calibri"/>
        <family val="2"/>
      </rPr>
      <t>CIT,SB</t>
    </r>
    <r>
      <rPr>
        <vertAlign val="subscript"/>
        <sz val="11"/>
        <rFont val="Calibri"/>
        <family val="2"/>
        <charset val="238"/>
      </rPr>
      <t>,poly</t>
    </r>
  </si>
  <si>
    <r>
      <t>q</t>
    </r>
    <r>
      <rPr>
        <vertAlign val="subscript"/>
        <sz val="11"/>
        <rFont val="Calibri"/>
        <family val="2"/>
      </rPr>
      <t>HYD,XB,T</t>
    </r>
    <r>
      <rPr>
        <sz val="11"/>
        <rFont val="Calibri"/>
        <family val="2"/>
      </rPr>
      <t>*X</t>
    </r>
    <r>
      <rPr>
        <vertAlign val="subscript"/>
        <sz val="11"/>
        <rFont val="Calibri"/>
        <family val="2"/>
      </rPr>
      <t>HET</t>
    </r>
    <r>
      <rPr>
        <sz val="11"/>
        <rFont val="Calibri"/>
        <family val="2"/>
      </rPr>
      <t>*(Logsat</t>
    </r>
    <r>
      <rPr>
        <vertAlign val="subscript"/>
        <sz val="11"/>
        <rFont val="Calibri"/>
        <family val="2"/>
      </rPr>
      <t>XHET,HYD,lim</t>
    </r>
    <r>
      <rPr>
        <sz val="11"/>
        <rFont val="Calibri"/>
        <family val="2"/>
      </rPr>
      <t>*MRsat</t>
    </r>
    <r>
      <rPr>
        <vertAlign val="subscript"/>
        <sz val="11"/>
        <rFont val="Calibri"/>
        <family val="2"/>
      </rPr>
      <t>XB,XHET,KHYD</t>
    </r>
    <r>
      <rPr>
        <sz val="11"/>
        <rFont val="Calibri"/>
        <family val="2"/>
      </rPr>
      <t>+Loginh</t>
    </r>
    <r>
      <rPr>
        <vertAlign val="subscript"/>
        <sz val="11"/>
        <rFont val="Calibri"/>
        <family val="2"/>
      </rPr>
      <t>XHET,HYD,lim</t>
    </r>
    <r>
      <rPr>
        <sz val="11"/>
        <rFont val="Calibri"/>
        <family val="2"/>
      </rPr>
      <t>*Msat</t>
    </r>
    <r>
      <rPr>
        <vertAlign val="subscript"/>
        <sz val="11"/>
        <rFont val="Calibri"/>
        <family val="2"/>
      </rPr>
      <t>XB,KXB,HYD</t>
    </r>
    <r>
      <rPr>
        <sz val="11"/>
        <rFont val="Calibri"/>
        <family val="2"/>
      </rPr>
      <t>)*(Msat</t>
    </r>
    <r>
      <rPr>
        <vertAlign val="subscript"/>
        <sz val="11"/>
        <rFont val="Calibri"/>
        <family val="2"/>
      </rPr>
      <t>SO2,KO2,OHO</t>
    </r>
    <r>
      <rPr>
        <sz val="11"/>
        <rFont val="Calibri"/>
        <family val="2"/>
      </rPr>
      <t>+η</t>
    </r>
    <r>
      <rPr>
        <vertAlign val="subscript"/>
        <sz val="11"/>
        <rFont val="Calibri"/>
        <family val="2"/>
      </rPr>
      <t>HYD,anox</t>
    </r>
    <r>
      <rPr>
        <sz val="11"/>
        <rFont val="Calibri"/>
        <family val="2"/>
      </rPr>
      <t>*(Msat</t>
    </r>
    <r>
      <rPr>
        <vertAlign val="subscript"/>
        <sz val="11"/>
        <rFont val="Calibri"/>
        <family val="2"/>
      </rPr>
      <t>SNO2,KNO2,OHO</t>
    </r>
    <r>
      <rPr>
        <sz val="11"/>
        <rFont val="Calibri"/>
        <family val="2"/>
      </rPr>
      <t>+Msat</t>
    </r>
    <r>
      <rPr>
        <vertAlign val="subscript"/>
        <sz val="11"/>
        <rFont val="Calibri"/>
        <family val="2"/>
      </rPr>
      <t>SNO3,KNO3,OHO</t>
    </r>
    <r>
      <rPr>
        <sz val="11"/>
        <rFont val="Calibri"/>
        <family val="2"/>
      </rPr>
      <t>*Minh</t>
    </r>
    <r>
      <rPr>
        <vertAlign val="subscript"/>
        <sz val="11"/>
        <rFont val="Calibri"/>
        <family val="2"/>
      </rPr>
      <t>SNO2,KNO2,OHO</t>
    </r>
    <r>
      <rPr>
        <sz val="11"/>
        <rFont val="Calibri"/>
        <family val="2"/>
      </rPr>
      <t>)*Minh</t>
    </r>
    <r>
      <rPr>
        <vertAlign val="subscript"/>
        <sz val="11"/>
        <rFont val="Calibri"/>
        <family val="2"/>
      </rPr>
      <t>SO2,KO2,OHO</t>
    </r>
    <r>
      <rPr>
        <sz val="11"/>
        <rFont val="Calibri"/>
        <family val="2"/>
      </rPr>
      <t>+η</t>
    </r>
    <r>
      <rPr>
        <vertAlign val="subscript"/>
        <sz val="11"/>
        <rFont val="Calibri"/>
        <family val="2"/>
      </rPr>
      <t>HYD,ana</t>
    </r>
    <r>
      <rPr>
        <sz val="11"/>
        <rFont val="Calibri"/>
        <family val="2"/>
      </rPr>
      <t>*Minh</t>
    </r>
    <r>
      <rPr>
        <vertAlign val="subscript"/>
        <sz val="11"/>
        <rFont val="Calibri"/>
        <family val="2"/>
      </rPr>
      <t>SNO3,KNO3,OHO</t>
    </r>
    <r>
      <rPr>
        <sz val="11"/>
        <rFont val="Calibri"/>
        <family val="2"/>
      </rPr>
      <t>*Minh</t>
    </r>
    <r>
      <rPr>
        <vertAlign val="subscript"/>
        <sz val="11"/>
        <rFont val="Calibri"/>
        <family val="2"/>
      </rPr>
      <t>SNO2,KNO2,OHO</t>
    </r>
    <r>
      <rPr>
        <sz val="11"/>
        <rFont val="Calibri"/>
        <family val="2"/>
      </rPr>
      <t>*Minh</t>
    </r>
    <r>
      <rPr>
        <vertAlign val="subscript"/>
        <sz val="11"/>
        <rFont val="Calibri"/>
        <family val="2"/>
      </rPr>
      <t>SO2,KO2,OHO</t>
    </r>
    <r>
      <rPr>
        <sz val="11"/>
        <rFont val="Calibri"/>
        <family val="2"/>
      </rPr>
      <t>)</t>
    </r>
  </si>
  <si>
    <r>
      <t>q</t>
    </r>
    <r>
      <rPr>
        <vertAlign val="subscript"/>
        <sz val="11"/>
        <rFont val="Calibri"/>
        <family val="2"/>
      </rPr>
      <t>HYD,XBe,T</t>
    </r>
    <r>
      <rPr>
        <sz val="11"/>
        <rFont val="Calibri"/>
        <family val="2"/>
      </rPr>
      <t>*X</t>
    </r>
    <r>
      <rPr>
        <vertAlign val="subscript"/>
        <sz val="11"/>
        <rFont val="Calibri"/>
        <family val="2"/>
      </rPr>
      <t>HET</t>
    </r>
    <r>
      <rPr>
        <sz val="11"/>
        <rFont val="Calibri"/>
        <family val="2"/>
      </rPr>
      <t>*(Logsat</t>
    </r>
    <r>
      <rPr>
        <vertAlign val="subscript"/>
        <sz val="11"/>
        <rFont val="Calibri"/>
        <family val="2"/>
      </rPr>
      <t>XHET,HYD,lim</t>
    </r>
    <r>
      <rPr>
        <sz val="11"/>
        <rFont val="Calibri"/>
        <family val="2"/>
      </rPr>
      <t>*MRsat</t>
    </r>
    <r>
      <rPr>
        <vertAlign val="subscript"/>
        <sz val="11"/>
        <rFont val="Calibri"/>
        <family val="2"/>
      </rPr>
      <t>XEana,XHET,KHYD</t>
    </r>
    <r>
      <rPr>
        <sz val="11"/>
        <rFont val="Calibri"/>
        <family val="2"/>
      </rPr>
      <t>+Loginh</t>
    </r>
    <r>
      <rPr>
        <vertAlign val="subscript"/>
        <sz val="11"/>
        <rFont val="Calibri"/>
        <family val="2"/>
      </rPr>
      <t>XHET,HYD,lim</t>
    </r>
    <r>
      <rPr>
        <sz val="11"/>
        <rFont val="Calibri"/>
        <family val="2"/>
      </rPr>
      <t>*Msat</t>
    </r>
    <r>
      <rPr>
        <vertAlign val="subscript"/>
        <sz val="11"/>
        <rFont val="Calibri"/>
        <family val="2"/>
      </rPr>
      <t>XEana,KXEana,HYD</t>
    </r>
    <r>
      <rPr>
        <sz val="11"/>
        <rFont val="Calibri"/>
        <family val="2"/>
      </rPr>
      <t>)*(Msat</t>
    </r>
    <r>
      <rPr>
        <vertAlign val="subscript"/>
        <sz val="11"/>
        <rFont val="Calibri"/>
        <family val="2"/>
      </rPr>
      <t>SO2,KO2,OHO</t>
    </r>
    <r>
      <rPr>
        <sz val="11"/>
        <rFont val="Calibri"/>
        <family val="2"/>
      </rPr>
      <t>+η</t>
    </r>
    <r>
      <rPr>
        <vertAlign val="subscript"/>
        <sz val="11"/>
        <rFont val="Calibri"/>
        <family val="2"/>
      </rPr>
      <t>HYD,anox</t>
    </r>
    <r>
      <rPr>
        <sz val="11"/>
        <rFont val="Calibri"/>
        <family val="2"/>
      </rPr>
      <t>*(Msat</t>
    </r>
    <r>
      <rPr>
        <vertAlign val="subscript"/>
        <sz val="11"/>
        <rFont val="Calibri"/>
        <family val="2"/>
      </rPr>
      <t>SNO2,KNO2,OHO</t>
    </r>
    <r>
      <rPr>
        <sz val="11"/>
        <rFont val="Calibri"/>
        <family val="2"/>
      </rPr>
      <t>+Minh</t>
    </r>
    <r>
      <rPr>
        <vertAlign val="subscript"/>
        <sz val="11"/>
        <rFont val="Calibri"/>
        <family val="2"/>
      </rPr>
      <t>SNO2,KNO2,OHO</t>
    </r>
    <r>
      <rPr>
        <sz val="11"/>
        <rFont val="Calibri"/>
        <family val="2"/>
      </rPr>
      <t>*Msat</t>
    </r>
    <r>
      <rPr>
        <vertAlign val="subscript"/>
        <sz val="11"/>
        <rFont val="Calibri"/>
        <family val="2"/>
      </rPr>
      <t>SNO3,KNO3,OHO)</t>
    </r>
    <r>
      <rPr>
        <sz val="11"/>
        <rFont val="Calibri"/>
        <family val="2"/>
      </rPr>
      <t>*Minh</t>
    </r>
    <r>
      <rPr>
        <vertAlign val="subscript"/>
        <sz val="11"/>
        <rFont val="Calibri"/>
        <family val="2"/>
      </rPr>
      <t>SO2,KO2,OHO</t>
    </r>
    <r>
      <rPr>
        <sz val="11"/>
        <rFont val="Calibri"/>
        <family val="2"/>
      </rPr>
      <t>)</t>
    </r>
  </si>
  <si>
    <r>
      <t>X</t>
    </r>
    <r>
      <rPr>
        <vertAlign val="subscript"/>
        <sz val="11"/>
        <rFont val="Calibri"/>
        <family val="2"/>
        <charset val="238"/>
      </rPr>
      <t>B</t>
    </r>
    <r>
      <rPr>
        <sz val="11"/>
        <rFont val="Calibri"/>
        <family val="2"/>
      </rPr>
      <t xml:space="preserve"> hydrolysis</t>
    </r>
  </si>
  <si>
    <r>
      <t>X</t>
    </r>
    <r>
      <rPr>
        <vertAlign val="subscript"/>
        <sz val="11"/>
        <rFont val="Calibri"/>
        <family val="2"/>
        <charset val="238"/>
      </rPr>
      <t>B,e</t>
    </r>
    <r>
      <rPr>
        <sz val="11"/>
        <rFont val="Calibri"/>
        <family val="2"/>
      </rPr>
      <t xml:space="preserve"> hydrolysis</t>
    </r>
  </si>
  <si>
    <r>
      <t>S</t>
    </r>
    <r>
      <rPr>
        <vertAlign val="subscript"/>
        <sz val="11"/>
        <rFont val="Calibri"/>
        <family val="2"/>
        <charset val="238"/>
      </rPr>
      <t>N,B</t>
    </r>
    <r>
      <rPr>
        <sz val="11"/>
        <rFont val="Calibri"/>
        <family val="2"/>
      </rPr>
      <t xml:space="preserve"> ammonification</t>
    </r>
  </si>
  <si>
    <r>
      <t>X</t>
    </r>
    <r>
      <rPr>
        <vertAlign val="subscript"/>
        <sz val="11"/>
        <rFont val="Calibri"/>
        <family val="2"/>
        <charset val="238"/>
      </rPr>
      <t>E</t>
    </r>
    <r>
      <rPr>
        <sz val="11"/>
        <rFont val="Calibri"/>
        <family val="2"/>
      </rPr>
      <t xml:space="preserve"> conversion</t>
    </r>
  </si>
  <si>
    <r>
      <t>X</t>
    </r>
    <r>
      <rPr>
        <vertAlign val="subscript"/>
        <sz val="11"/>
        <rFont val="Calibri"/>
        <family val="2"/>
        <charset val="238"/>
      </rPr>
      <t>E,ana</t>
    </r>
    <r>
      <rPr>
        <sz val="11"/>
        <rFont val="Calibri"/>
        <family val="2"/>
      </rPr>
      <t xml:space="preserve"> hydrolysis</t>
    </r>
  </si>
  <si>
    <r>
      <t>X</t>
    </r>
    <r>
      <rPr>
        <vertAlign val="subscript"/>
        <sz val="11"/>
        <rFont val="Calibri"/>
        <family val="2"/>
        <charset val="238"/>
      </rPr>
      <t>U</t>
    </r>
    <r>
      <rPr>
        <sz val="11"/>
        <rFont val="Calibri"/>
        <family val="2"/>
      </rPr>
      <t xml:space="preserve"> conversion</t>
    </r>
  </si>
  <si>
    <r>
      <t>i</t>
    </r>
    <r>
      <rPr>
        <vertAlign val="subscript"/>
        <sz val="11"/>
        <rFont val="Calibri"/>
        <family val="2"/>
        <charset val="238"/>
        <scheme val="minor"/>
      </rPr>
      <t>CIT,XBe</t>
    </r>
  </si>
  <si>
    <r>
      <t>X</t>
    </r>
    <r>
      <rPr>
        <vertAlign val="subscript"/>
        <sz val="11"/>
        <rFont val="Calibri"/>
        <family val="2"/>
      </rPr>
      <t>PP</t>
    </r>
    <r>
      <rPr>
        <sz val="11"/>
        <rFont val="Calibri"/>
        <family val="2"/>
      </rPr>
      <t>*AM</t>
    </r>
    <r>
      <rPr>
        <vertAlign val="subscript"/>
        <sz val="11"/>
        <rFont val="Calibri"/>
        <family val="2"/>
      </rPr>
      <t>Ca</t>
    </r>
    <r>
      <rPr>
        <sz val="11"/>
        <rFont val="Calibri"/>
        <family val="2"/>
      </rPr>
      <t>/AM</t>
    </r>
    <r>
      <rPr>
        <vertAlign val="subscript"/>
        <sz val="11"/>
        <rFont val="Calibri"/>
        <family val="2"/>
      </rPr>
      <t>P</t>
    </r>
    <r>
      <rPr>
        <sz val="11"/>
        <rFont val="Calibri"/>
        <family val="2"/>
      </rPr>
      <t>*i</t>
    </r>
    <r>
      <rPr>
        <vertAlign val="subscript"/>
        <sz val="11"/>
        <rFont val="Calibri"/>
        <family val="2"/>
      </rPr>
      <t>Ca,PP</t>
    </r>
    <r>
      <rPr>
        <sz val="11"/>
        <rFont val="Calibri"/>
        <family val="2"/>
      </rPr>
      <t>/X</t>
    </r>
    <r>
      <rPr>
        <vertAlign val="subscript"/>
        <sz val="11"/>
        <rFont val="Calibri"/>
        <family val="2"/>
      </rPr>
      <t>CASTO</t>
    </r>
  </si>
  <si>
    <r>
      <t>X</t>
    </r>
    <r>
      <rPr>
        <vertAlign val="subscript"/>
        <sz val="11"/>
        <rFont val="Calibri"/>
        <family val="2"/>
      </rPr>
      <t>PP</t>
    </r>
    <r>
      <rPr>
        <sz val="11"/>
        <rFont val="Calibri"/>
        <family val="2"/>
      </rPr>
      <t>*AM</t>
    </r>
    <r>
      <rPr>
        <vertAlign val="subscript"/>
        <sz val="11"/>
        <rFont val="Calibri"/>
        <family val="2"/>
      </rPr>
      <t>Mg</t>
    </r>
    <r>
      <rPr>
        <sz val="11"/>
        <rFont val="Calibri"/>
        <family val="2"/>
      </rPr>
      <t>/AM</t>
    </r>
    <r>
      <rPr>
        <vertAlign val="subscript"/>
        <sz val="11"/>
        <rFont val="Calibri"/>
        <family val="2"/>
      </rPr>
      <t>P</t>
    </r>
    <r>
      <rPr>
        <sz val="11"/>
        <rFont val="Calibri"/>
        <family val="2"/>
      </rPr>
      <t>*i</t>
    </r>
    <r>
      <rPr>
        <vertAlign val="subscript"/>
        <sz val="11"/>
        <rFont val="Calibri"/>
        <family val="2"/>
      </rPr>
      <t>Mg,PP</t>
    </r>
    <r>
      <rPr>
        <sz val="11"/>
        <rFont val="Calibri"/>
        <family val="2"/>
      </rPr>
      <t>/X</t>
    </r>
    <r>
      <rPr>
        <vertAlign val="subscript"/>
        <sz val="11"/>
        <rFont val="Calibri"/>
        <family val="2"/>
      </rPr>
      <t>CASTO</t>
    </r>
  </si>
  <si>
    <r>
      <t>f(X</t>
    </r>
    <r>
      <rPr>
        <vertAlign val="subscript"/>
        <sz val="11"/>
        <rFont val="Calibri"/>
        <family val="2"/>
      </rPr>
      <t>INORG</t>
    </r>
    <r>
      <rPr>
        <sz val="11"/>
        <rFont val="Calibri"/>
        <family val="2"/>
      </rPr>
      <t>);f(X</t>
    </r>
    <r>
      <rPr>
        <vertAlign val="subscript"/>
        <sz val="11"/>
        <rFont val="Calibri"/>
        <family val="2"/>
      </rPr>
      <t>PP</t>
    </r>
    <r>
      <rPr>
        <sz val="11"/>
        <rFont val="Calibri"/>
        <family val="2"/>
      </rPr>
      <t>);f(X</t>
    </r>
    <r>
      <rPr>
        <vertAlign val="subscript"/>
        <sz val="11"/>
        <rFont val="Calibri"/>
        <family val="2"/>
      </rPr>
      <t>PHA,PAO</t>
    </r>
    <r>
      <rPr>
        <sz val="11"/>
        <rFont val="Calibri"/>
        <family val="2"/>
      </rPr>
      <t>);f(X</t>
    </r>
    <r>
      <rPr>
        <vertAlign val="subscript"/>
        <sz val="11"/>
        <rFont val="Calibri"/>
        <family val="2"/>
        <charset val="238"/>
      </rPr>
      <t>PHA,GAO</t>
    </r>
    <r>
      <rPr>
        <sz val="11"/>
        <rFont val="Calibri"/>
        <family val="2"/>
      </rPr>
      <t>)</t>
    </r>
  </si>
  <si>
    <r>
      <t>S</t>
    </r>
    <r>
      <rPr>
        <vertAlign val="subscript"/>
        <sz val="11"/>
        <rFont val="Calibri"/>
        <family val="2"/>
      </rPr>
      <t>B,mono</t>
    </r>
    <r>
      <rPr>
        <sz val="11"/>
        <rFont val="Calibri"/>
        <family val="2"/>
      </rPr>
      <t xml:space="preserve"> + S</t>
    </r>
    <r>
      <rPr>
        <vertAlign val="subscript"/>
        <sz val="11"/>
        <rFont val="Calibri"/>
        <family val="2"/>
      </rPr>
      <t>B,poly</t>
    </r>
    <r>
      <rPr>
        <sz val="11"/>
        <rFont val="Calibri"/>
        <family val="2"/>
      </rPr>
      <t xml:space="preserve"> + S</t>
    </r>
    <r>
      <rPr>
        <vertAlign val="subscript"/>
        <sz val="11"/>
        <rFont val="Calibri"/>
        <family val="2"/>
      </rPr>
      <t xml:space="preserve">VFA </t>
    </r>
    <r>
      <rPr>
        <sz val="11"/>
        <rFont val="Calibri"/>
        <family val="2"/>
      </rPr>
      <t>+ S</t>
    </r>
    <r>
      <rPr>
        <vertAlign val="subscript"/>
        <sz val="11"/>
        <rFont val="Calibri"/>
        <family val="2"/>
      </rPr>
      <t>MEOL</t>
    </r>
  </si>
  <si>
    <r>
      <t>X</t>
    </r>
    <r>
      <rPr>
        <vertAlign val="subscript"/>
        <sz val="11"/>
        <rFont val="Calibri"/>
        <family val="2"/>
        <scheme val="minor"/>
      </rPr>
      <t>OHO</t>
    </r>
    <r>
      <rPr>
        <sz val="11"/>
        <rFont val="Calibri"/>
        <family val="2"/>
        <scheme val="minor"/>
      </rPr>
      <t xml:space="preserve"> + X</t>
    </r>
    <r>
      <rPr>
        <vertAlign val="subscript"/>
        <sz val="11"/>
        <rFont val="Calibri"/>
        <family val="2"/>
        <scheme val="minor"/>
      </rPr>
      <t>AHO</t>
    </r>
    <r>
      <rPr>
        <sz val="11"/>
        <rFont val="Calibri"/>
        <family val="2"/>
        <scheme val="minor"/>
      </rPr>
      <t xml:space="preserve"> + X</t>
    </r>
    <r>
      <rPr>
        <vertAlign val="subscript"/>
        <sz val="11"/>
        <rFont val="Calibri"/>
        <family val="2"/>
        <scheme val="minor"/>
      </rPr>
      <t>CASTO</t>
    </r>
    <r>
      <rPr>
        <sz val="11"/>
        <rFont val="Calibri"/>
        <family val="2"/>
        <scheme val="minor"/>
      </rPr>
      <t xml:space="preserve"> + X</t>
    </r>
    <r>
      <rPr>
        <vertAlign val="subscript"/>
        <sz val="11"/>
        <rFont val="Calibri"/>
        <family val="2"/>
        <scheme val="minor"/>
      </rPr>
      <t>MEOLO</t>
    </r>
    <r>
      <rPr>
        <sz val="11"/>
        <rFont val="Calibri"/>
        <family val="2"/>
        <scheme val="minor"/>
      </rPr>
      <t xml:space="preserve"> + X</t>
    </r>
    <r>
      <rPr>
        <vertAlign val="subscript"/>
        <sz val="11"/>
        <rFont val="Calibri"/>
        <family val="2"/>
        <scheme val="minor"/>
      </rPr>
      <t>AOB</t>
    </r>
    <r>
      <rPr>
        <sz val="11"/>
        <rFont val="Calibri"/>
        <family val="2"/>
        <scheme val="minor"/>
      </rPr>
      <t xml:space="preserve"> + X</t>
    </r>
    <r>
      <rPr>
        <vertAlign val="subscript"/>
        <sz val="11"/>
        <rFont val="Calibri"/>
        <family val="2"/>
        <scheme val="minor"/>
      </rPr>
      <t>NOB</t>
    </r>
    <r>
      <rPr>
        <sz val="11"/>
        <rFont val="Calibri"/>
        <family val="2"/>
        <scheme val="minor"/>
      </rPr>
      <t xml:space="preserve"> + X</t>
    </r>
    <r>
      <rPr>
        <vertAlign val="subscript"/>
        <sz val="11"/>
        <rFont val="Calibri"/>
        <family val="2"/>
        <scheme val="minor"/>
      </rPr>
      <t>AMX</t>
    </r>
    <r>
      <rPr>
        <sz val="11"/>
        <rFont val="Calibri"/>
        <family val="2"/>
        <scheme val="minor"/>
      </rPr>
      <t xml:space="preserve"> + X</t>
    </r>
    <r>
      <rPr>
        <vertAlign val="subscript"/>
        <sz val="11"/>
        <rFont val="Calibri"/>
        <family val="2"/>
        <scheme val="minor"/>
      </rPr>
      <t>AMETO</t>
    </r>
    <r>
      <rPr>
        <sz val="11"/>
        <rFont val="Calibri"/>
        <family val="2"/>
        <scheme val="minor"/>
      </rPr>
      <t xml:space="preserve"> + X</t>
    </r>
    <r>
      <rPr>
        <vertAlign val="subscript"/>
        <sz val="11"/>
        <rFont val="Calibri"/>
        <family val="2"/>
        <scheme val="minor"/>
      </rPr>
      <t>HMETO</t>
    </r>
    <r>
      <rPr>
        <sz val="11"/>
        <rFont val="Calibri"/>
        <family val="2"/>
        <scheme val="minor"/>
      </rPr>
      <t xml:space="preserve"> + X</t>
    </r>
    <r>
      <rPr>
        <vertAlign val="subscript"/>
        <sz val="11"/>
        <rFont val="Calibri"/>
        <family val="2"/>
        <scheme val="minor"/>
      </rPr>
      <t>ALGAE</t>
    </r>
  </si>
  <si>
    <t>r111</t>
  </si>
  <si>
    <r>
      <t>COUR + NOUR - (v84_S</t>
    </r>
    <r>
      <rPr>
        <vertAlign val="subscript"/>
        <sz val="11"/>
        <rFont val="Calibri"/>
        <family val="2"/>
        <charset val="238"/>
        <scheme val="minor"/>
      </rPr>
      <t>O2</t>
    </r>
    <r>
      <rPr>
        <sz val="11"/>
        <rFont val="Calibri"/>
        <family val="2"/>
        <scheme val="minor"/>
      </rPr>
      <t>*r84)</t>
    </r>
  </si>
  <si>
    <r>
      <t>-(v3_S</t>
    </r>
    <r>
      <rPr>
        <vertAlign val="subscript"/>
        <sz val="11"/>
        <rFont val="Calibri"/>
        <family val="2"/>
        <scheme val="minor"/>
      </rPr>
      <t>NO3</t>
    </r>
    <r>
      <rPr>
        <sz val="11"/>
        <rFont val="Calibri"/>
        <family val="2"/>
        <scheme val="minor"/>
      </rPr>
      <t xml:space="preserve"> * r3 + v6_S</t>
    </r>
    <r>
      <rPr>
        <vertAlign val="subscript"/>
        <sz val="11"/>
        <rFont val="Calibri"/>
        <family val="2"/>
        <scheme val="minor"/>
      </rPr>
      <t>NO3</t>
    </r>
    <r>
      <rPr>
        <sz val="11"/>
        <rFont val="Calibri"/>
        <family val="2"/>
        <scheme val="minor"/>
      </rPr>
      <t xml:space="preserve"> * r6 + v18_S</t>
    </r>
    <r>
      <rPr>
        <vertAlign val="subscript"/>
        <sz val="11"/>
        <rFont val="Calibri"/>
        <family val="2"/>
        <scheme val="minor"/>
      </rPr>
      <t>NO3</t>
    </r>
    <r>
      <rPr>
        <sz val="11"/>
        <rFont val="Calibri"/>
        <family val="2"/>
        <scheme val="minor"/>
      </rPr>
      <t xml:space="preserve"> * r18 + v23_S</t>
    </r>
    <r>
      <rPr>
        <vertAlign val="subscript"/>
        <sz val="11"/>
        <rFont val="Calibri"/>
        <family val="2"/>
        <scheme val="minor"/>
      </rPr>
      <t>NO3</t>
    </r>
    <r>
      <rPr>
        <sz val="11"/>
        <rFont val="Calibri"/>
        <family val="2"/>
        <scheme val="minor"/>
      </rPr>
      <t xml:space="preserve"> * r23 + v26_S</t>
    </r>
    <r>
      <rPr>
        <vertAlign val="subscript"/>
        <sz val="11"/>
        <rFont val="Calibri"/>
        <family val="2"/>
        <charset val="238"/>
        <scheme val="minor"/>
      </rPr>
      <t>NO3</t>
    </r>
    <r>
      <rPr>
        <sz val="11"/>
        <rFont val="Calibri"/>
        <family val="2"/>
        <scheme val="minor"/>
      </rPr>
      <t xml:space="preserve"> * r26 + v29_S</t>
    </r>
    <r>
      <rPr>
        <vertAlign val="subscript"/>
        <sz val="11"/>
        <rFont val="Calibri"/>
        <family val="2"/>
        <scheme val="minor"/>
      </rPr>
      <t>NO3</t>
    </r>
    <r>
      <rPr>
        <sz val="11"/>
        <rFont val="Calibri"/>
        <family val="2"/>
        <scheme val="minor"/>
      </rPr>
      <t xml:space="preserve"> * r29 + v34_S</t>
    </r>
    <r>
      <rPr>
        <vertAlign val="subscript"/>
        <sz val="11"/>
        <rFont val="Calibri"/>
        <family val="2"/>
        <scheme val="minor"/>
      </rPr>
      <t>NO3</t>
    </r>
    <r>
      <rPr>
        <sz val="11"/>
        <rFont val="Calibri"/>
        <family val="2"/>
        <scheme val="minor"/>
      </rPr>
      <t xml:space="preserve"> * r34 + v75_S</t>
    </r>
    <r>
      <rPr>
        <vertAlign val="subscript"/>
        <sz val="11"/>
        <rFont val="Calibri"/>
        <family val="2"/>
        <scheme val="minor"/>
      </rPr>
      <t>NO3</t>
    </r>
    <r>
      <rPr>
        <sz val="11"/>
        <rFont val="Calibri"/>
        <family val="2"/>
        <scheme val="minor"/>
      </rPr>
      <t xml:space="preserve"> * r75)</t>
    </r>
  </si>
  <si>
    <r>
      <t>-(v2_S</t>
    </r>
    <r>
      <rPr>
        <vertAlign val="subscript"/>
        <sz val="11"/>
        <rFont val="Calibri"/>
        <family val="2"/>
        <scheme val="minor"/>
      </rPr>
      <t>NO2</t>
    </r>
    <r>
      <rPr>
        <sz val="11"/>
        <rFont val="Calibri"/>
        <family val="2"/>
        <scheme val="minor"/>
      </rPr>
      <t xml:space="preserve"> * r2 + v5_S</t>
    </r>
    <r>
      <rPr>
        <vertAlign val="subscript"/>
        <sz val="11"/>
        <rFont val="Calibri"/>
        <family val="2"/>
        <scheme val="minor"/>
      </rPr>
      <t>NO2</t>
    </r>
    <r>
      <rPr>
        <sz val="11"/>
        <rFont val="Calibri"/>
        <family val="2"/>
        <scheme val="minor"/>
      </rPr>
      <t xml:space="preserve"> * r5 + v17_S</t>
    </r>
    <r>
      <rPr>
        <vertAlign val="subscript"/>
        <sz val="11"/>
        <rFont val="Calibri"/>
        <family val="2"/>
        <scheme val="minor"/>
      </rPr>
      <t>NO2</t>
    </r>
    <r>
      <rPr>
        <sz val="11"/>
        <rFont val="Calibri"/>
        <family val="2"/>
        <scheme val="minor"/>
      </rPr>
      <t xml:space="preserve"> * r17 + v22_S</t>
    </r>
    <r>
      <rPr>
        <vertAlign val="subscript"/>
        <sz val="11"/>
        <rFont val="Calibri"/>
        <family val="2"/>
        <scheme val="minor"/>
      </rPr>
      <t>NO2</t>
    </r>
    <r>
      <rPr>
        <sz val="11"/>
        <rFont val="Calibri"/>
        <family val="2"/>
        <scheme val="minor"/>
      </rPr>
      <t xml:space="preserve"> * r22 + v25_S</t>
    </r>
    <r>
      <rPr>
        <vertAlign val="subscript"/>
        <sz val="11"/>
        <rFont val="Calibri"/>
        <family val="2"/>
        <charset val="238"/>
        <scheme val="minor"/>
      </rPr>
      <t>NO2</t>
    </r>
    <r>
      <rPr>
        <sz val="11"/>
        <rFont val="Calibri"/>
        <family val="2"/>
        <scheme val="minor"/>
      </rPr>
      <t xml:space="preserve"> * r25 + v28_S</t>
    </r>
    <r>
      <rPr>
        <vertAlign val="subscript"/>
        <sz val="11"/>
        <rFont val="Calibri"/>
        <family val="2"/>
        <scheme val="minor"/>
      </rPr>
      <t>NO2</t>
    </r>
    <r>
      <rPr>
        <sz val="11"/>
        <rFont val="Calibri"/>
        <family val="2"/>
        <scheme val="minor"/>
      </rPr>
      <t xml:space="preserve"> * r28 + v33_S</t>
    </r>
    <r>
      <rPr>
        <vertAlign val="subscript"/>
        <sz val="11"/>
        <rFont val="Calibri"/>
        <family val="2"/>
        <scheme val="minor"/>
      </rPr>
      <t>NO2</t>
    </r>
    <r>
      <rPr>
        <sz val="11"/>
        <rFont val="Calibri"/>
        <family val="2"/>
        <scheme val="minor"/>
      </rPr>
      <t xml:space="preserve"> * r33 + v45_S</t>
    </r>
    <r>
      <rPr>
        <vertAlign val="subscript"/>
        <sz val="11"/>
        <rFont val="Calibri"/>
        <family val="2"/>
        <scheme val="minor"/>
      </rPr>
      <t>NO2</t>
    </r>
    <r>
      <rPr>
        <sz val="11"/>
        <rFont val="Calibri"/>
        <family val="2"/>
        <scheme val="minor"/>
      </rPr>
      <t xml:space="preserve"> * r45 + v48_S</t>
    </r>
    <r>
      <rPr>
        <vertAlign val="subscript"/>
        <sz val="11"/>
        <rFont val="Calibri"/>
        <family val="2"/>
        <scheme val="minor"/>
      </rPr>
      <t>NO2</t>
    </r>
    <r>
      <rPr>
        <sz val="11"/>
        <rFont val="Calibri"/>
        <family val="2"/>
        <scheme val="minor"/>
      </rPr>
      <t xml:space="preserve"> * r48 + v74_S</t>
    </r>
    <r>
      <rPr>
        <vertAlign val="subscript"/>
        <sz val="11"/>
        <rFont val="Calibri"/>
        <family val="2"/>
        <scheme val="minor"/>
      </rPr>
      <t>NO2</t>
    </r>
    <r>
      <rPr>
        <sz val="11"/>
        <rFont val="Calibri"/>
        <family val="2"/>
        <scheme val="minor"/>
      </rPr>
      <t xml:space="preserve"> * r74)</t>
    </r>
  </si>
  <si>
    <r>
      <t>i</t>
    </r>
    <r>
      <rPr>
        <vertAlign val="subscript"/>
        <sz val="11"/>
        <rFont val="Calibri"/>
        <family val="2"/>
        <scheme val="minor"/>
      </rPr>
      <t>N,BIO</t>
    </r>
    <r>
      <rPr>
        <sz val="11"/>
        <rFont val="Calibri"/>
        <family val="2"/>
        <scheme val="minor"/>
      </rPr>
      <t xml:space="preserve"> * (r1 + r2 + r3 + r4 + r5 + r6 + r7 + r8 + r9 + r17 + r18 + r21 + r22 + r23 + r27 + r28 + r29 + r37 + r38 + r45 + r51 + r54) + i</t>
    </r>
    <r>
      <rPr>
        <vertAlign val="subscript"/>
        <sz val="11"/>
        <rFont val="Calibri"/>
        <family val="2"/>
        <charset val="238"/>
        <scheme val="minor"/>
      </rPr>
      <t>N,AHO</t>
    </r>
    <r>
      <rPr>
        <sz val="11"/>
        <rFont val="Calibri"/>
        <family val="2"/>
        <scheme val="minor"/>
      </rPr>
      <t xml:space="preserve"> * r14 - (v42_S</t>
    </r>
    <r>
      <rPr>
        <vertAlign val="subscript"/>
        <sz val="11"/>
        <rFont val="Calibri"/>
        <family val="2"/>
        <scheme val="minor"/>
      </rPr>
      <t>NHx</t>
    </r>
    <r>
      <rPr>
        <sz val="11"/>
        <rFont val="Calibri"/>
        <family val="2"/>
        <scheme val="minor"/>
      </rPr>
      <t xml:space="preserve"> * r42 + v48_S</t>
    </r>
    <r>
      <rPr>
        <vertAlign val="subscript"/>
        <sz val="11"/>
        <rFont val="Calibri"/>
        <family val="2"/>
        <scheme val="minor"/>
      </rPr>
      <t>NHx</t>
    </r>
    <r>
      <rPr>
        <sz val="11"/>
        <rFont val="Calibri"/>
        <family val="2"/>
        <scheme val="minor"/>
      </rPr>
      <t xml:space="preserve"> * r48 + v95_S</t>
    </r>
    <r>
      <rPr>
        <vertAlign val="subscript"/>
        <sz val="11"/>
        <rFont val="Calibri"/>
        <family val="2"/>
        <scheme val="minor"/>
      </rPr>
      <t>NHx</t>
    </r>
    <r>
      <rPr>
        <sz val="11"/>
        <rFont val="Calibri"/>
        <family val="2"/>
        <scheme val="minor"/>
      </rPr>
      <t xml:space="preserve"> * r95)</t>
    </r>
  </si>
  <si>
    <r>
      <t>-(v78_S</t>
    </r>
    <r>
      <rPr>
        <vertAlign val="subscript"/>
        <sz val="11"/>
        <rFont val="Calibri"/>
        <family val="2"/>
        <scheme val="minor"/>
      </rPr>
      <t>PO4</t>
    </r>
    <r>
      <rPr>
        <sz val="11"/>
        <rFont val="Calibri"/>
        <family val="2"/>
        <scheme val="minor"/>
      </rPr>
      <t xml:space="preserve"> * r78 + v79_S</t>
    </r>
    <r>
      <rPr>
        <vertAlign val="subscript"/>
        <sz val="11"/>
        <rFont val="Calibri"/>
        <family val="2"/>
        <scheme val="minor"/>
      </rPr>
      <t>PO4</t>
    </r>
    <r>
      <rPr>
        <sz val="11"/>
        <rFont val="Calibri"/>
        <family val="2"/>
        <scheme val="minor"/>
      </rPr>
      <t xml:space="preserve"> * r79 + v87_S</t>
    </r>
    <r>
      <rPr>
        <vertAlign val="subscript"/>
        <sz val="11"/>
        <rFont val="Calibri"/>
        <family val="2"/>
        <charset val="238"/>
        <scheme val="minor"/>
      </rPr>
      <t>PO4</t>
    </r>
    <r>
      <rPr>
        <sz val="11"/>
        <rFont val="Calibri"/>
        <family val="2"/>
        <scheme val="minor"/>
      </rPr>
      <t xml:space="preserve"> * r87 + v88_S</t>
    </r>
    <r>
      <rPr>
        <vertAlign val="subscript"/>
        <sz val="11"/>
        <rFont val="Calibri"/>
        <family val="2"/>
        <charset val="238"/>
        <scheme val="minor"/>
      </rPr>
      <t>PO4</t>
    </r>
    <r>
      <rPr>
        <sz val="11"/>
        <rFont val="Calibri"/>
        <family val="2"/>
        <scheme val="minor"/>
      </rPr>
      <t xml:space="preserve"> * r88 + v93_S</t>
    </r>
    <r>
      <rPr>
        <vertAlign val="subscript"/>
        <sz val="11"/>
        <rFont val="Calibri"/>
        <family val="2"/>
        <scheme val="minor"/>
      </rPr>
      <t>PO4</t>
    </r>
    <r>
      <rPr>
        <sz val="11"/>
        <rFont val="Calibri"/>
        <family val="2"/>
        <scheme val="minor"/>
      </rPr>
      <t xml:space="preserve"> * r93 + v94_S</t>
    </r>
    <r>
      <rPr>
        <vertAlign val="subscript"/>
        <sz val="11"/>
        <rFont val="Calibri"/>
        <family val="2"/>
        <charset val="238"/>
        <scheme val="minor"/>
      </rPr>
      <t>PO4</t>
    </r>
    <r>
      <rPr>
        <sz val="11"/>
        <rFont val="Calibri"/>
        <family val="2"/>
        <scheme val="minor"/>
      </rPr>
      <t xml:space="preserve"> * r94 + v95_S</t>
    </r>
    <r>
      <rPr>
        <vertAlign val="subscript"/>
        <sz val="11"/>
        <rFont val="Calibri"/>
        <family val="2"/>
        <scheme val="minor"/>
      </rPr>
      <t>PO4</t>
    </r>
    <r>
      <rPr>
        <sz val="11"/>
        <rFont val="Calibri"/>
        <family val="2"/>
        <scheme val="minor"/>
      </rPr>
      <t xml:space="preserve"> * r95 + v96_S</t>
    </r>
    <r>
      <rPr>
        <vertAlign val="subscript"/>
        <sz val="11"/>
        <rFont val="Calibri"/>
        <family val="2"/>
        <scheme val="minor"/>
      </rPr>
      <t>PO4</t>
    </r>
    <r>
      <rPr>
        <sz val="11"/>
        <rFont val="Calibri"/>
        <family val="2"/>
        <scheme val="minor"/>
      </rPr>
      <t xml:space="preserve"> * r96)</t>
    </r>
  </si>
  <si>
    <r>
      <t>v30_S</t>
    </r>
    <r>
      <rPr>
        <vertAlign val="subscript"/>
        <sz val="11"/>
        <rFont val="Calibri"/>
        <family val="2"/>
        <scheme val="minor"/>
      </rPr>
      <t>PO4</t>
    </r>
    <r>
      <rPr>
        <sz val="11"/>
        <rFont val="Calibri"/>
        <family val="2"/>
        <scheme val="minor"/>
      </rPr>
      <t xml:space="preserve"> * r30 + v36_S</t>
    </r>
    <r>
      <rPr>
        <vertAlign val="subscript"/>
        <sz val="11"/>
        <rFont val="Calibri"/>
        <family val="2"/>
        <charset val="238"/>
        <scheme val="minor"/>
      </rPr>
      <t>PO4</t>
    </r>
    <r>
      <rPr>
        <sz val="11"/>
        <rFont val="Calibri"/>
        <family val="2"/>
        <scheme val="minor"/>
      </rPr>
      <t xml:space="preserve"> * r36 + v39_S</t>
    </r>
    <r>
      <rPr>
        <vertAlign val="subscript"/>
        <sz val="11"/>
        <rFont val="Calibri"/>
        <family val="2"/>
        <scheme val="minor"/>
      </rPr>
      <t>PO4</t>
    </r>
    <r>
      <rPr>
        <sz val="11"/>
        <rFont val="Calibri"/>
        <family val="2"/>
        <scheme val="minor"/>
      </rPr>
      <t xml:space="preserve"> * r39 + v40_S</t>
    </r>
    <r>
      <rPr>
        <vertAlign val="subscript"/>
        <sz val="11"/>
        <rFont val="Calibri"/>
        <family val="2"/>
        <scheme val="minor"/>
      </rPr>
      <t>PO4</t>
    </r>
    <r>
      <rPr>
        <sz val="11"/>
        <rFont val="Calibri"/>
        <family val="2"/>
        <scheme val="minor"/>
      </rPr>
      <t xml:space="preserve"> * r40 + v69_S</t>
    </r>
    <r>
      <rPr>
        <vertAlign val="subscript"/>
        <sz val="11"/>
        <rFont val="Calibri"/>
        <family val="2"/>
        <scheme val="minor"/>
      </rPr>
      <t>PO4</t>
    </r>
    <r>
      <rPr>
        <sz val="11"/>
        <rFont val="Calibri"/>
        <family val="2"/>
        <scheme val="minor"/>
      </rPr>
      <t xml:space="preserve"> * r69 + v74_S</t>
    </r>
    <r>
      <rPr>
        <vertAlign val="subscript"/>
        <sz val="11"/>
        <rFont val="Calibri"/>
        <family val="2"/>
        <scheme val="minor"/>
      </rPr>
      <t>PO4</t>
    </r>
    <r>
      <rPr>
        <sz val="11"/>
        <rFont val="Calibri"/>
        <family val="2"/>
        <scheme val="minor"/>
      </rPr>
      <t xml:space="preserve"> * r74 + v75_S</t>
    </r>
    <r>
      <rPr>
        <vertAlign val="subscript"/>
        <sz val="11"/>
        <rFont val="Calibri"/>
        <family val="2"/>
        <scheme val="minor"/>
      </rPr>
      <t>PO4</t>
    </r>
    <r>
      <rPr>
        <sz val="11"/>
        <rFont val="Calibri"/>
        <family val="2"/>
        <scheme val="minor"/>
      </rPr>
      <t xml:space="preserve"> * r75 + v80_S</t>
    </r>
    <r>
      <rPr>
        <vertAlign val="subscript"/>
        <sz val="11"/>
        <rFont val="Calibri"/>
        <family val="2"/>
        <scheme val="minor"/>
      </rPr>
      <t>PO4</t>
    </r>
    <r>
      <rPr>
        <sz val="11"/>
        <rFont val="Calibri"/>
        <family val="2"/>
        <scheme val="minor"/>
      </rPr>
      <t xml:space="preserve"> * r80 + v81_S</t>
    </r>
    <r>
      <rPr>
        <vertAlign val="subscript"/>
        <sz val="11"/>
        <rFont val="Calibri"/>
        <family val="2"/>
        <scheme val="minor"/>
      </rPr>
      <t>PO4</t>
    </r>
    <r>
      <rPr>
        <sz val="11"/>
        <rFont val="Calibri"/>
        <family val="2"/>
        <scheme val="minor"/>
      </rPr>
      <t xml:space="preserve"> * r81 + v82_S</t>
    </r>
    <r>
      <rPr>
        <vertAlign val="subscript"/>
        <sz val="11"/>
        <rFont val="Calibri"/>
        <family val="2"/>
        <scheme val="minor"/>
      </rPr>
      <t>PO4</t>
    </r>
    <r>
      <rPr>
        <sz val="11"/>
        <rFont val="Calibri"/>
        <family val="2"/>
        <scheme val="minor"/>
      </rPr>
      <t xml:space="preserve"> * r82 + v83_S</t>
    </r>
    <r>
      <rPr>
        <vertAlign val="subscript"/>
        <sz val="11"/>
        <rFont val="Calibri"/>
        <family val="2"/>
        <scheme val="minor"/>
      </rPr>
      <t>PO4</t>
    </r>
    <r>
      <rPr>
        <sz val="11"/>
        <rFont val="Calibri"/>
        <family val="2"/>
        <scheme val="minor"/>
      </rPr>
      <t xml:space="preserve"> * r83 + v89_S</t>
    </r>
    <r>
      <rPr>
        <vertAlign val="subscript"/>
        <sz val="11"/>
        <rFont val="Calibri"/>
        <family val="2"/>
        <charset val="238"/>
        <scheme val="minor"/>
      </rPr>
      <t>PO4</t>
    </r>
    <r>
      <rPr>
        <sz val="11"/>
        <rFont val="Calibri"/>
        <family val="2"/>
        <scheme val="minor"/>
      </rPr>
      <t xml:space="preserve"> * r89 + v90_S</t>
    </r>
    <r>
      <rPr>
        <vertAlign val="subscript"/>
        <sz val="11"/>
        <rFont val="Calibri"/>
        <family val="2"/>
        <charset val="238"/>
        <scheme val="minor"/>
      </rPr>
      <t>PO4</t>
    </r>
    <r>
      <rPr>
        <sz val="11"/>
        <rFont val="Calibri"/>
        <family val="2"/>
        <scheme val="minor"/>
      </rPr>
      <t xml:space="preserve"> * r90 + v91_S</t>
    </r>
    <r>
      <rPr>
        <vertAlign val="subscript"/>
        <sz val="11"/>
        <rFont val="Calibri"/>
        <family val="2"/>
        <charset val="238"/>
        <scheme val="minor"/>
      </rPr>
      <t>PO4</t>
    </r>
    <r>
      <rPr>
        <sz val="11"/>
        <rFont val="Calibri"/>
        <family val="2"/>
        <scheme val="minor"/>
      </rPr>
      <t xml:space="preserve"> * r91</t>
    </r>
  </si>
  <si>
    <t>Intracellular water of biomass in volatile solids</t>
  </si>
  <si>
    <r>
      <t>(X</t>
    </r>
    <r>
      <rPr>
        <vertAlign val="subscript"/>
        <sz val="11"/>
        <rFont val="Calibri"/>
        <family val="2"/>
        <charset val="238"/>
        <scheme val="minor"/>
      </rPr>
      <t>VSS,BIO</t>
    </r>
    <r>
      <rPr>
        <sz val="11"/>
        <rFont val="Calibri"/>
        <family val="2"/>
        <charset val="238"/>
        <scheme val="minor"/>
      </rPr>
      <t>*(i</t>
    </r>
    <r>
      <rPr>
        <vertAlign val="subscript"/>
        <sz val="11"/>
        <rFont val="Calibri"/>
        <family val="2"/>
        <charset val="238"/>
        <scheme val="minor"/>
      </rPr>
      <t>vw,BIO</t>
    </r>
    <r>
      <rPr>
        <sz val="11"/>
        <rFont val="Calibri"/>
        <family val="2"/>
        <charset val="238"/>
        <scheme val="minor"/>
      </rPr>
      <t>+i</t>
    </r>
    <r>
      <rPr>
        <vertAlign val="subscript"/>
        <sz val="11"/>
        <rFont val="Calibri"/>
        <family val="2"/>
        <charset val="238"/>
        <scheme val="minor"/>
      </rPr>
      <t>iw,BIO</t>
    </r>
    <r>
      <rPr>
        <sz val="11"/>
        <rFont val="Calibri"/>
        <family val="2"/>
        <charset val="238"/>
        <scheme val="minor"/>
      </rPr>
      <t>+i</t>
    </r>
    <r>
      <rPr>
        <vertAlign val="subscript"/>
        <sz val="11"/>
        <rFont val="Calibri"/>
        <family val="2"/>
        <charset val="238"/>
        <scheme val="minor"/>
      </rPr>
      <t>wh,BIO</t>
    </r>
    <r>
      <rPr>
        <sz val="11"/>
        <rFont val="Calibri"/>
        <family val="2"/>
        <charset val="238"/>
        <scheme val="minor"/>
      </rPr>
      <t>)</t>
    </r>
    <r>
      <rPr>
        <vertAlign val="subscript"/>
        <sz val="11"/>
        <rFont val="Calibri"/>
        <family val="2"/>
        <charset val="238"/>
        <scheme val="minor"/>
      </rPr>
      <t xml:space="preserve"> </t>
    </r>
    <r>
      <rPr>
        <sz val="11"/>
        <rFont val="Calibri"/>
        <family val="2"/>
        <charset val="238"/>
        <scheme val="minor"/>
      </rPr>
      <t>+</t>
    </r>
    <r>
      <rPr>
        <sz val="11"/>
        <color rgb="FFFF0000"/>
        <rFont val="Calibri"/>
        <family val="2"/>
        <scheme val="minor"/>
      </rPr>
      <t xml:space="preserve"> i</t>
    </r>
    <r>
      <rPr>
        <vertAlign val="subscript"/>
        <sz val="11"/>
        <color rgb="FFFF0000"/>
        <rFont val="Calibri"/>
        <family val="2"/>
        <scheme val="minor"/>
      </rPr>
      <t>EPS,XBIO</t>
    </r>
    <r>
      <rPr>
        <sz val="11"/>
        <color rgb="FFFF0000"/>
        <rFont val="Calibri"/>
        <family val="2"/>
        <scheme val="minor"/>
      </rPr>
      <t>*X</t>
    </r>
    <r>
      <rPr>
        <vertAlign val="subscript"/>
        <sz val="11"/>
        <color rgb="FFFF0000"/>
        <rFont val="Calibri"/>
        <family val="2"/>
        <scheme val="minor"/>
      </rPr>
      <t>VSS,BIO</t>
    </r>
    <r>
      <rPr>
        <sz val="11"/>
        <rFont val="Calibri"/>
        <family val="2"/>
        <charset val="238"/>
        <scheme val="minor"/>
      </rPr>
      <t xml:space="preserve"> * (i</t>
    </r>
    <r>
      <rPr>
        <vertAlign val="subscript"/>
        <sz val="11"/>
        <rFont val="Calibri"/>
        <family val="2"/>
        <charset val="238"/>
        <scheme val="minor"/>
      </rPr>
      <t>vw,EPS</t>
    </r>
    <r>
      <rPr>
        <sz val="11"/>
        <rFont val="Calibri"/>
        <family val="2"/>
        <charset val="238"/>
        <scheme val="minor"/>
      </rPr>
      <t xml:space="preserve"> + i</t>
    </r>
    <r>
      <rPr>
        <vertAlign val="subscript"/>
        <sz val="11"/>
        <rFont val="Calibri"/>
        <family val="2"/>
        <charset val="238"/>
        <scheme val="minor"/>
      </rPr>
      <t>wh,EPS</t>
    </r>
    <r>
      <rPr>
        <sz val="11"/>
        <rFont val="Calibri"/>
        <family val="2"/>
        <charset val="238"/>
        <scheme val="minor"/>
      </rPr>
      <t>) + X</t>
    </r>
    <r>
      <rPr>
        <vertAlign val="subscript"/>
        <sz val="11"/>
        <rFont val="Calibri"/>
        <family val="2"/>
        <charset val="238"/>
        <scheme val="minor"/>
      </rPr>
      <t>E</t>
    </r>
    <r>
      <rPr>
        <sz val="11"/>
        <rFont val="Calibri"/>
        <family val="2"/>
        <charset val="238"/>
        <scheme val="minor"/>
      </rPr>
      <t>/i</t>
    </r>
    <r>
      <rPr>
        <vertAlign val="subscript"/>
        <sz val="11"/>
        <rFont val="Calibri"/>
        <family val="2"/>
        <charset val="238"/>
        <scheme val="minor"/>
      </rPr>
      <t>CV,XE</t>
    </r>
    <r>
      <rPr>
        <sz val="11"/>
        <rFont val="Calibri"/>
        <family val="2"/>
        <charset val="238"/>
        <scheme val="minor"/>
      </rPr>
      <t xml:space="preserve"> * (i</t>
    </r>
    <r>
      <rPr>
        <vertAlign val="subscript"/>
        <sz val="11"/>
        <rFont val="Calibri"/>
        <family val="2"/>
        <charset val="238"/>
        <scheme val="minor"/>
      </rPr>
      <t>vw,XE</t>
    </r>
    <r>
      <rPr>
        <sz val="11"/>
        <rFont val="Calibri"/>
        <family val="2"/>
        <charset val="238"/>
        <scheme val="minor"/>
      </rPr>
      <t>+i</t>
    </r>
    <r>
      <rPr>
        <vertAlign val="subscript"/>
        <sz val="11"/>
        <rFont val="Calibri"/>
        <family val="2"/>
        <charset val="238"/>
        <scheme val="minor"/>
      </rPr>
      <t>wh,XE</t>
    </r>
    <r>
      <rPr>
        <sz val="11"/>
        <rFont val="Calibri"/>
        <family val="2"/>
        <charset val="238"/>
        <scheme val="minor"/>
      </rPr>
      <t xml:space="preserve">) + </t>
    </r>
    <r>
      <rPr>
        <sz val="11"/>
        <color rgb="FFFF0000"/>
        <rFont val="Calibri"/>
        <family val="2"/>
        <scheme val="minor"/>
      </rPr>
      <t>i</t>
    </r>
    <r>
      <rPr>
        <vertAlign val="subscript"/>
        <sz val="11"/>
        <color rgb="FFFF0000"/>
        <rFont val="Calibri"/>
        <family val="2"/>
        <scheme val="minor"/>
      </rPr>
      <t>EPS,XE</t>
    </r>
    <r>
      <rPr>
        <sz val="11"/>
        <color rgb="FFFF0000"/>
        <rFont val="Calibri"/>
        <family val="2"/>
        <scheme val="minor"/>
      </rPr>
      <t>*X</t>
    </r>
    <r>
      <rPr>
        <vertAlign val="subscript"/>
        <sz val="11"/>
        <color rgb="FFFF0000"/>
        <rFont val="Calibri"/>
        <family val="2"/>
        <scheme val="minor"/>
      </rPr>
      <t>E</t>
    </r>
    <r>
      <rPr>
        <sz val="11"/>
        <color rgb="FFFF0000"/>
        <rFont val="Calibri"/>
        <family val="2"/>
        <scheme val="minor"/>
      </rPr>
      <t>/i</t>
    </r>
    <r>
      <rPr>
        <vertAlign val="subscript"/>
        <sz val="11"/>
        <color rgb="FFFF0000"/>
        <rFont val="Calibri"/>
        <family val="2"/>
        <scheme val="minor"/>
      </rPr>
      <t>CV,XE</t>
    </r>
    <r>
      <rPr>
        <sz val="11"/>
        <rFont val="Calibri"/>
        <family val="2"/>
        <charset val="238"/>
        <scheme val="minor"/>
      </rPr>
      <t xml:space="preserve"> * (i</t>
    </r>
    <r>
      <rPr>
        <vertAlign val="subscript"/>
        <sz val="11"/>
        <rFont val="Calibri"/>
        <family val="2"/>
        <charset val="238"/>
        <scheme val="minor"/>
      </rPr>
      <t>vw,EPS</t>
    </r>
    <r>
      <rPr>
        <sz val="11"/>
        <rFont val="Calibri"/>
        <family val="2"/>
        <charset val="238"/>
        <scheme val="minor"/>
      </rPr>
      <t xml:space="preserve"> + i</t>
    </r>
    <r>
      <rPr>
        <vertAlign val="subscript"/>
        <sz val="11"/>
        <rFont val="Calibri"/>
        <family val="2"/>
        <charset val="238"/>
        <scheme val="minor"/>
      </rPr>
      <t>wh,EPS</t>
    </r>
    <r>
      <rPr>
        <sz val="11"/>
        <rFont val="Calibri"/>
        <family val="2"/>
        <charset val="238"/>
        <scheme val="minor"/>
      </rPr>
      <t>) + X</t>
    </r>
    <r>
      <rPr>
        <vertAlign val="subscript"/>
        <sz val="11"/>
        <rFont val="Calibri"/>
        <family val="2"/>
        <charset val="238"/>
        <scheme val="minor"/>
      </rPr>
      <t>B</t>
    </r>
    <r>
      <rPr>
        <sz val="11"/>
        <rFont val="Calibri"/>
        <family val="2"/>
        <charset val="238"/>
        <scheme val="minor"/>
      </rPr>
      <t>/i</t>
    </r>
    <r>
      <rPr>
        <vertAlign val="subscript"/>
        <sz val="11"/>
        <rFont val="Calibri"/>
        <family val="2"/>
        <charset val="238"/>
        <scheme val="minor"/>
      </rPr>
      <t>CV,XB</t>
    </r>
    <r>
      <rPr>
        <sz val="11"/>
        <rFont val="Calibri"/>
        <family val="2"/>
        <charset val="238"/>
        <scheme val="minor"/>
      </rPr>
      <t xml:space="preserve"> *(i</t>
    </r>
    <r>
      <rPr>
        <vertAlign val="subscript"/>
        <sz val="11"/>
        <rFont val="Calibri"/>
        <family val="2"/>
        <charset val="238"/>
        <scheme val="minor"/>
      </rPr>
      <t>vw,XB</t>
    </r>
    <r>
      <rPr>
        <sz val="11"/>
        <rFont val="Calibri"/>
        <family val="2"/>
        <charset val="238"/>
        <scheme val="minor"/>
      </rPr>
      <t>+i</t>
    </r>
    <r>
      <rPr>
        <vertAlign val="subscript"/>
        <sz val="11"/>
        <rFont val="Calibri"/>
        <family val="2"/>
        <charset val="238"/>
        <scheme val="minor"/>
      </rPr>
      <t>wh,XB</t>
    </r>
    <r>
      <rPr>
        <sz val="11"/>
        <rFont val="Calibri"/>
        <family val="2"/>
        <charset val="238"/>
        <scheme val="minor"/>
      </rPr>
      <t>) + X</t>
    </r>
    <r>
      <rPr>
        <vertAlign val="subscript"/>
        <sz val="11"/>
        <rFont val="Calibri"/>
        <family val="2"/>
        <charset val="238"/>
        <scheme val="minor"/>
      </rPr>
      <t>B,e</t>
    </r>
    <r>
      <rPr>
        <sz val="11"/>
        <rFont val="Calibri"/>
        <family val="2"/>
        <charset val="238"/>
        <scheme val="minor"/>
      </rPr>
      <t>/i</t>
    </r>
    <r>
      <rPr>
        <vertAlign val="subscript"/>
        <sz val="11"/>
        <rFont val="Calibri"/>
        <family val="2"/>
        <charset val="238"/>
        <scheme val="minor"/>
      </rPr>
      <t>CV,XBe</t>
    </r>
    <r>
      <rPr>
        <sz val="11"/>
        <rFont val="Calibri"/>
        <family val="2"/>
        <charset val="238"/>
        <scheme val="minor"/>
      </rPr>
      <t xml:space="preserve"> *(i</t>
    </r>
    <r>
      <rPr>
        <vertAlign val="subscript"/>
        <sz val="11"/>
        <rFont val="Calibri"/>
        <family val="2"/>
        <charset val="238"/>
        <scheme val="minor"/>
      </rPr>
      <t>vw,XBe</t>
    </r>
    <r>
      <rPr>
        <sz val="11"/>
        <rFont val="Calibri"/>
        <family val="2"/>
        <charset val="238"/>
        <scheme val="minor"/>
      </rPr>
      <t>+i</t>
    </r>
    <r>
      <rPr>
        <vertAlign val="subscript"/>
        <sz val="11"/>
        <rFont val="Calibri"/>
        <family val="2"/>
        <charset val="238"/>
        <scheme val="minor"/>
      </rPr>
      <t>wh,XBe</t>
    </r>
    <r>
      <rPr>
        <sz val="11"/>
        <rFont val="Calibri"/>
        <family val="2"/>
        <charset val="238"/>
        <scheme val="minor"/>
      </rPr>
      <t>) + X</t>
    </r>
    <r>
      <rPr>
        <vertAlign val="subscript"/>
        <sz val="11"/>
        <rFont val="Calibri"/>
        <family val="2"/>
        <charset val="238"/>
        <scheme val="minor"/>
      </rPr>
      <t>U</t>
    </r>
    <r>
      <rPr>
        <sz val="11"/>
        <rFont val="Calibri"/>
        <family val="2"/>
        <charset val="238"/>
        <scheme val="minor"/>
      </rPr>
      <t>/i</t>
    </r>
    <r>
      <rPr>
        <vertAlign val="subscript"/>
        <sz val="11"/>
        <rFont val="Calibri"/>
        <family val="2"/>
        <charset val="238"/>
        <scheme val="minor"/>
      </rPr>
      <t>CV,XU</t>
    </r>
    <r>
      <rPr>
        <sz val="11"/>
        <rFont val="Calibri"/>
        <family val="2"/>
        <charset val="238"/>
        <scheme val="minor"/>
      </rPr>
      <t xml:space="preserve"> *(i</t>
    </r>
    <r>
      <rPr>
        <vertAlign val="subscript"/>
        <sz val="11"/>
        <rFont val="Calibri"/>
        <family val="2"/>
        <charset val="238"/>
        <scheme val="minor"/>
      </rPr>
      <t>vw,XU</t>
    </r>
    <r>
      <rPr>
        <sz val="11"/>
        <rFont val="Calibri"/>
        <family val="2"/>
        <charset val="238"/>
        <scheme val="minor"/>
      </rPr>
      <t>+i</t>
    </r>
    <r>
      <rPr>
        <vertAlign val="subscript"/>
        <sz val="11"/>
        <rFont val="Calibri"/>
        <family val="2"/>
        <charset val="238"/>
        <scheme val="minor"/>
      </rPr>
      <t>wh,XU</t>
    </r>
    <r>
      <rPr>
        <sz val="11"/>
        <rFont val="Calibri"/>
        <family val="2"/>
        <charset val="238"/>
        <scheme val="minor"/>
      </rPr>
      <t>) + X</t>
    </r>
    <r>
      <rPr>
        <vertAlign val="subscript"/>
        <sz val="11"/>
        <rFont val="Calibri"/>
        <family val="2"/>
        <charset val="238"/>
        <scheme val="minor"/>
      </rPr>
      <t>PHA,PAO</t>
    </r>
    <r>
      <rPr>
        <sz val="11"/>
        <rFont val="Calibri"/>
        <family val="2"/>
        <charset val="238"/>
        <scheme val="minor"/>
      </rPr>
      <t>/i</t>
    </r>
    <r>
      <rPr>
        <vertAlign val="subscript"/>
        <sz val="11"/>
        <rFont val="Calibri"/>
        <family val="2"/>
        <charset val="238"/>
        <scheme val="minor"/>
      </rPr>
      <t xml:space="preserve">CV,PHA </t>
    </r>
    <r>
      <rPr>
        <sz val="11"/>
        <rFont val="Calibri"/>
        <family val="2"/>
        <charset val="238"/>
        <scheme val="minor"/>
      </rPr>
      <t>* (i</t>
    </r>
    <r>
      <rPr>
        <vertAlign val="subscript"/>
        <sz val="11"/>
        <rFont val="Calibri"/>
        <family val="2"/>
        <charset val="238"/>
        <scheme val="minor"/>
      </rPr>
      <t>vw,PHA</t>
    </r>
    <r>
      <rPr>
        <sz val="11"/>
        <rFont val="Calibri"/>
        <family val="2"/>
        <charset val="238"/>
        <scheme val="minor"/>
      </rPr>
      <t>+i</t>
    </r>
    <r>
      <rPr>
        <vertAlign val="subscript"/>
        <sz val="11"/>
        <rFont val="Calibri"/>
        <family val="2"/>
        <charset val="238"/>
        <scheme val="minor"/>
      </rPr>
      <t>wh,PHA</t>
    </r>
    <r>
      <rPr>
        <sz val="11"/>
        <rFont val="Calibri"/>
        <family val="2"/>
        <charset val="238"/>
        <scheme val="minor"/>
      </rPr>
      <t>) + X</t>
    </r>
    <r>
      <rPr>
        <vertAlign val="subscript"/>
        <sz val="11"/>
        <rFont val="Calibri"/>
        <family val="2"/>
        <charset val="238"/>
        <scheme val="minor"/>
      </rPr>
      <t>PHA,GAO</t>
    </r>
    <r>
      <rPr>
        <sz val="11"/>
        <rFont val="Calibri"/>
        <family val="2"/>
        <charset val="238"/>
        <scheme val="minor"/>
      </rPr>
      <t>/i</t>
    </r>
    <r>
      <rPr>
        <vertAlign val="subscript"/>
        <sz val="11"/>
        <rFont val="Calibri"/>
        <family val="2"/>
        <charset val="238"/>
        <scheme val="minor"/>
      </rPr>
      <t xml:space="preserve">CV,PHA </t>
    </r>
    <r>
      <rPr>
        <sz val="11"/>
        <rFont val="Calibri"/>
        <family val="2"/>
        <charset val="238"/>
        <scheme val="minor"/>
      </rPr>
      <t>* (i</t>
    </r>
    <r>
      <rPr>
        <vertAlign val="subscript"/>
        <sz val="11"/>
        <rFont val="Calibri"/>
        <family val="2"/>
        <charset val="238"/>
        <scheme val="minor"/>
      </rPr>
      <t>vw,PHA</t>
    </r>
    <r>
      <rPr>
        <sz val="11"/>
        <rFont val="Calibri"/>
        <family val="2"/>
        <charset val="238"/>
        <scheme val="minor"/>
      </rPr>
      <t>+i</t>
    </r>
    <r>
      <rPr>
        <vertAlign val="subscript"/>
        <sz val="11"/>
        <rFont val="Calibri"/>
        <family val="2"/>
        <charset val="238"/>
        <scheme val="minor"/>
      </rPr>
      <t>wh,PHA</t>
    </r>
    <r>
      <rPr>
        <sz val="11"/>
        <rFont val="Calibri"/>
        <family val="2"/>
        <charset val="238"/>
        <scheme val="minor"/>
      </rPr>
      <t>) + C</t>
    </r>
    <r>
      <rPr>
        <vertAlign val="subscript"/>
        <sz val="11"/>
        <rFont val="Calibri"/>
        <family val="2"/>
        <charset val="238"/>
        <scheme val="minor"/>
      </rPr>
      <t>B</t>
    </r>
    <r>
      <rPr>
        <sz val="11"/>
        <rFont val="Calibri"/>
        <family val="2"/>
        <charset val="238"/>
        <scheme val="minor"/>
      </rPr>
      <t>/i</t>
    </r>
    <r>
      <rPr>
        <vertAlign val="subscript"/>
        <sz val="11"/>
        <rFont val="Calibri"/>
        <family val="2"/>
        <charset val="238"/>
        <scheme val="minor"/>
      </rPr>
      <t>CV,CB</t>
    </r>
    <r>
      <rPr>
        <sz val="11"/>
        <rFont val="Calibri"/>
        <family val="2"/>
        <charset val="238"/>
        <scheme val="minor"/>
      </rPr>
      <t xml:space="preserve"> *i</t>
    </r>
    <r>
      <rPr>
        <vertAlign val="subscript"/>
        <sz val="11"/>
        <rFont val="Calibri"/>
        <family val="2"/>
        <charset val="238"/>
        <scheme val="minor"/>
      </rPr>
      <t>vw,CB</t>
    </r>
    <r>
      <rPr>
        <sz val="11"/>
        <rFont val="Calibri"/>
        <family val="2"/>
        <charset val="238"/>
        <scheme val="minor"/>
      </rPr>
      <t xml:space="preserve"> + C</t>
    </r>
    <r>
      <rPr>
        <vertAlign val="subscript"/>
        <sz val="11"/>
        <rFont val="Calibri"/>
        <family val="2"/>
        <charset val="238"/>
        <scheme val="minor"/>
      </rPr>
      <t>U</t>
    </r>
    <r>
      <rPr>
        <sz val="11"/>
        <rFont val="Calibri"/>
        <family val="2"/>
        <charset val="238"/>
        <scheme val="minor"/>
      </rPr>
      <t>/i</t>
    </r>
    <r>
      <rPr>
        <vertAlign val="subscript"/>
        <sz val="11"/>
        <rFont val="Calibri"/>
        <family val="2"/>
        <charset val="238"/>
        <scheme val="minor"/>
      </rPr>
      <t>CV,CU</t>
    </r>
    <r>
      <rPr>
        <sz val="11"/>
        <rFont val="Calibri"/>
        <family val="2"/>
        <charset val="238"/>
        <scheme val="minor"/>
      </rPr>
      <t>*i</t>
    </r>
    <r>
      <rPr>
        <vertAlign val="subscript"/>
        <sz val="11"/>
        <rFont val="Calibri"/>
        <family val="2"/>
        <charset val="238"/>
        <scheme val="minor"/>
      </rPr>
      <t>vw,CU</t>
    </r>
    <r>
      <rPr>
        <sz val="11"/>
        <rFont val="Calibri"/>
        <family val="2"/>
        <charset val="238"/>
        <scheme val="minor"/>
      </rPr>
      <t>)/X</t>
    </r>
    <r>
      <rPr>
        <vertAlign val="subscript"/>
        <sz val="11"/>
        <rFont val="Calibri"/>
        <family val="2"/>
        <charset val="238"/>
        <scheme val="minor"/>
      </rPr>
      <t>VSS</t>
    </r>
  </si>
  <si>
    <t>Volatile suspended solids of EPS</t>
  </si>
  <si>
    <r>
      <t>(Msat</t>
    </r>
    <r>
      <rPr>
        <vertAlign val="subscript"/>
        <sz val="11"/>
        <rFont val="Calibri"/>
        <family val="2"/>
        <scheme val="minor"/>
      </rPr>
      <t>SO2,KO2,EPS</t>
    </r>
    <r>
      <rPr>
        <sz val="11"/>
        <rFont val="Calibri"/>
        <family val="2"/>
        <scheme val="minor"/>
      </rPr>
      <t>+η</t>
    </r>
    <r>
      <rPr>
        <vertAlign val="subscript"/>
        <sz val="11"/>
        <rFont val="Calibri"/>
        <family val="2"/>
        <scheme val="minor"/>
      </rPr>
      <t>EPS,anox</t>
    </r>
    <r>
      <rPr>
        <sz val="11"/>
        <rFont val="Calibri"/>
        <family val="2"/>
        <scheme val="minor"/>
      </rPr>
      <t>*Msat</t>
    </r>
    <r>
      <rPr>
        <vertAlign val="subscript"/>
        <sz val="11"/>
        <rFont val="Calibri"/>
        <family val="2"/>
        <scheme val="minor"/>
      </rPr>
      <t>SNO2,KNO2,EPS</t>
    </r>
    <r>
      <rPr>
        <sz val="11"/>
        <rFont val="Calibri"/>
        <family val="2"/>
        <scheme val="minor"/>
      </rPr>
      <t>*Minh</t>
    </r>
    <r>
      <rPr>
        <vertAlign val="subscript"/>
        <sz val="11"/>
        <rFont val="Calibri"/>
        <family val="2"/>
        <scheme val="minor"/>
      </rPr>
      <t>SO2,KO2,EPS</t>
    </r>
    <r>
      <rPr>
        <sz val="11"/>
        <rFont val="Calibri"/>
        <family val="2"/>
        <scheme val="minor"/>
      </rPr>
      <t>+η</t>
    </r>
    <r>
      <rPr>
        <vertAlign val="subscript"/>
        <sz val="11"/>
        <rFont val="Calibri"/>
        <family val="2"/>
        <scheme val="minor"/>
      </rPr>
      <t>EPS,anox</t>
    </r>
    <r>
      <rPr>
        <sz val="11"/>
        <rFont val="Calibri"/>
        <family val="2"/>
        <scheme val="minor"/>
      </rPr>
      <t>*Msat</t>
    </r>
    <r>
      <rPr>
        <vertAlign val="subscript"/>
        <sz val="11"/>
        <rFont val="Calibri"/>
        <family val="2"/>
        <scheme val="minor"/>
      </rPr>
      <t>SNO3,KNO3,EPS</t>
    </r>
    <r>
      <rPr>
        <sz val="11"/>
        <rFont val="Calibri"/>
        <family val="2"/>
        <scheme val="minor"/>
      </rPr>
      <t>*Minh</t>
    </r>
    <r>
      <rPr>
        <vertAlign val="subscript"/>
        <sz val="11"/>
        <rFont val="Calibri"/>
        <family val="2"/>
        <scheme val="minor"/>
      </rPr>
      <t>SNO2,KNO2,EPS</t>
    </r>
    <r>
      <rPr>
        <sz val="11"/>
        <rFont val="Calibri"/>
        <family val="2"/>
        <scheme val="minor"/>
      </rPr>
      <t>*Minh</t>
    </r>
    <r>
      <rPr>
        <vertAlign val="subscript"/>
        <sz val="11"/>
        <rFont val="Calibri"/>
        <family val="2"/>
        <scheme val="minor"/>
      </rPr>
      <t>SO2,KO2,EPS</t>
    </r>
    <r>
      <rPr>
        <sz val="11"/>
        <rFont val="Calibri"/>
        <family val="2"/>
        <scheme val="minor"/>
      </rPr>
      <t>+η</t>
    </r>
    <r>
      <rPr>
        <vertAlign val="subscript"/>
        <sz val="11"/>
        <rFont val="Calibri"/>
        <family val="2"/>
        <scheme val="minor"/>
      </rPr>
      <t>EPS,ana</t>
    </r>
    <r>
      <rPr>
        <sz val="11"/>
        <rFont val="Calibri"/>
        <family val="2"/>
        <scheme val="minor"/>
      </rPr>
      <t>*Minh</t>
    </r>
    <r>
      <rPr>
        <vertAlign val="subscript"/>
        <sz val="11"/>
        <rFont val="Calibri"/>
        <family val="2"/>
        <scheme val="minor"/>
      </rPr>
      <t>SNO3,KNO3,EPS</t>
    </r>
    <r>
      <rPr>
        <sz val="11"/>
        <rFont val="Calibri"/>
        <family val="2"/>
        <scheme val="minor"/>
      </rPr>
      <t>*Minh</t>
    </r>
    <r>
      <rPr>
        <vertAlign val="subscript"/>
        <sz val="11"/>
        <rFont val="Calibri"/>
        <family val="2"/>
        <scheme val="minor"/>
      </rPr>
      <t>SNO2,KNO2,EPS</t>
    </r>
    <r>
      <rPr>
        <sz val="11"/>
        <rFont val="Calibri"/>
        <family val="2"/>
        <scheme val="minor"/>
      </rPr>
      <t>*Minh</t>
    </r>
    <r>
      <rPr>
        <vertAlign val="subscript"/>
        <sz val="11"/>
        <rFont val="Calibri"/>
        <family val="2"/>
        <scheme val="minor"/>
      </rPr>
      <t>SO2,KiO2,EPS</t>
    </r>
    <r>
      <rPr>
        <sz val="11"/>
        <rFont val="Calibri"/>
        <family val="2"/>
        <scheme val="minor"/>
      </rPr>
      <t>)*i</t>
    </r>
    <r>
      <rPr>
        <vertAlign val="subscript"/>
        <sz val="11"/>
        <rFont val="Calibri"/>
        <family val="2"/>
        <scheme val="minor"/>
      </rPr>
      <t>EPS,XBIO</t>
    </r>
    <r>
      <rPr>
        <sz val="11"/>
        <rFont val="Calibri"/>
        <family val="2"/>
        <scheme val="minor"/>
      </rPr>
      <t>*</t>
    </r>
    <r>
      <rPr>
        <sz val="11"/>
        <color rgb="FFFF0000"/>
        <rFont val="Calibri"/>
        <family val="2"/>
        <scheme val="minor"/>
      </rPr>
      <t>X</t>
    </r>
    <r>
      <rPr>
        <vertAlign val="subscript"/>
        <sz val="11"/>
        <color rgb="FFFF0000"/>
        <rFont val="Calibri"/>
        <family val="2"/>
        <scheme val="minor"/>
      </rPr>
      <t>VSS,BIO</t>
    </r>
    <r>
      <rPr>
        <sz val="11"/>
        <rFont val="Calibri"/>
        <family val="2"/>
        <scheme val="minor"/>
      </rPr>
      <t>+i</t>
    </r>
    <r>
      <rPr>
        <vertAlign val="subscript"/>
        <sz val="11"/>
        <rFont val="Calibri"/>
        <family val="2"/>
        <scheme val="minor"/>
      </rPr>
      <t>EPS,XE</t>
    </r>
    <r>
      <rPr>
        <sz val="11"/>
        <rFont val="Calibri"/>
        <family val="2"/>
        <scheme val="minor"/>
      </rPr>
      <t>*</t>
    </r>
    <r>
      <rPr>
        <sz val="11"/>
        <color rgb="FFFF0000"/>
        <rFont val="Calibri"/>
        <family val="2"/>
        <scheme val="minor"/>
      </rPr>
      <t>X</t>
    </r>
    <r>
      <rPr>
        <vertAlign val="subscript"/>
        <sz val="11"/>
        <color rgb="FFFF0000"/>
        <rFont val="Calibri"/>
        <family val="2"/>
        <scheme val="minor"/>
      </rPr>
      <t>E</t>
    </r>
    <r>
      <rPr>
        <sz val="11"/>
        <color rgb="FFFF0000"/>
        <rFont val="Calibri"/>
        <family val="2"/>
        <scheme val="minor"/>
      </rPr>
      <t>/i</t>
    </r>
    <r>
      <rPr>
        <vertAlign val="subscript"/>
        <sz val="11"/>
        <color rgb="FFFF0000"/>
        <rFont val="Calibri"/>
        <family val="2"/>
        <scheme val="minor"/>
      </rPr>
      <t>CV,XE</t>
    </r>
  </si>
  <si>
    <r>
      <t>g VSS.m</t>
    </r>
    <r>
      <rPr>
        <vertAlign val="superscript"/>
        <sz val="11"/>
        <color rgb="FFFF0000"/>
        <rFont val="Calibri"/>
        <family val="2"/>
        <scheme val="minor"/>
      </rPr>
      <t>-3</t>
    </r>
  </si>
  <si>
    <r>
      <t>X</t>
    </r>
    <r>
      <rPr>
        <vertAlign val="subscript"/>
        <sz val="11"/>
        <rFont val="Calibri"/>
        <family val="2"/>
        <scheme val="minor"/>
      </rPr>
      <t>VSS,EPS</t>
    </r>
  </si>
  <si>
    <t>Assuming 80% of biomass cytoplasm is water(wet mass0.8/ dry mass0.2)</t>
  </si>
  <si>
    <r>
      <t>%v.v</t>
    </r>
    <r>
      <rPr>
        <vertAlign val="superscript"/>
        <sz val="11"/>
        <rFont val="Calibri"/>
        <family val="2"/>
        <scheme val="minor"/>
      </rPr>
      <t>-1</t>
    </r>
  </si>
  <si>
    <r>
      <t>µ</t>
    </r>
    <r>
      <rPr>
        <vertAlign val="subscript"/>
        <sz val="11"/>
        <rFont val="Calibri"/>
        <family val="2"/>
      </rPr>
      <t>OHO,T</t>
    </r>
    <r>
      <rPr>
        <sz val="11"/>
        <rFont val="Calibri"/>
        <family val="2"/>
      </rPr>
      <t>*X</t>
    </r>
    <r>
      <rPr>
        <vertAlign val="subscript"/>
        <sz val="11"/>
        <rFont val="Calibri"/>
        <family val="2"/>
      </rPr>
      <t>OHO</t>
    </r>
    <r>
      <rPr>
        <sz val="11"/>
        <rFont val="Calibri"/>
        <family val="2"/>
      </rPr>
      <t>*η</t>
    </r>
    <r>
      <rPr>
        <vertAlign val="subscript"/>
        <sz val="11"/>
        <rFont val="Calibri"/>
        <family val="2"/>
      </rPr>
      <t>OHO,anox</t>
    </r>
    <r>
      <rPr>
        <sz val="11"/>
        <rFont val="Calibri"/>
        <family val="2"/>
      </rPr>
      <t>*Msat</t>
    </r>
    <r>
      <rPr>
        <vertAlign val="subscript"/>
        <sz val="11"/>
        <rFont val="Calibri"/>
        <family val="2"/>
      </rPr>
      <t>SVFA,KVFA</t>
    </r>
    <r>
      <rPr>
        <sz val="11"/>
        <rFont val="Calibri"/>
        <family val="2"/>
      </rPr>
      <t>*</t>
    </r>
    <r>
      <rPr>
        <sz val="11"/>
        <color rgb="FFFF0000"/>
        <rFont val="Calibri"/>
        <family val="2"/>
        <charset val="238"/>
      </rPr>
      <t>Logsat</t>
    </r>
    <r>
      <rPr>
        <vertAlign val="subscript"/>
        <sz val="11"/>
        <color rgb="FFFF0000"/>
        <rFont val="Calibri"/>
        <family val="2"/>
        <charset val="238"/>
      </rPr>
      <t>SNO3,KNO3,OHO</t>
    </r>
    <r>
      <rPr>
        <sz val="11"/>
        <color rgb="FFFF0000"/>
        <rFont val="Calibri"/>
        <family val="2"/>
        <charset val="238"/>
      </rPr>
      <t>*(Loginh</t>
    </r>
    <r>
      <rPr>
        <vertAlign val="subscript"/>
        <sz val="11"/>
        <color rgb="FFFF0000"/>
        <rFont val="Calibri"/>
        <family val="2"/>
        <charset val="238"/>
      </rPr>
      <t>SVFA,KVFA,OHO,SNO2</t>
    </r>
    <r>
      <rPr>
        <sz val="11"/>
        <color rgb="FFFF0000"/>
        <rFont val="Calibri"/>
        <family val="2"/>
        <charset val="238"/>
      </rPr>
      <t>+Minh</t>
    </r>
    <r>
      <rPr>
        <vertAlign val="subscript"/>
        <sz val="11"/>
        <color rgb="FFFF0000"/>
        <rFont val="Calibri"/>
        <family val="2"/>
        <charset val="238"/>
      </rPr>
      <t>SNO2,KNO2,OHO</t>
    </r>
    <r>
      <rPr>
        <sz val="11"/>
        <color rgb="FFFF0000"/>
        <rFont val="Calibri"/>
        <family val="2"/>
        <charset val="238"/>
      </rPr>
      <t>*Logsat</t>
    </r>
    <r>
      <rPr>
        <vertAlign val="subscript"/>
        <sz val="11"/>
        <color rgb="FFFF0000"/>
        <rFont val="Calibri"/>
        <family val="2"/>
        <charset val="238"/>
      </rPr>
      <t>SVFA,KVFA,OHO,SNO2</t>
    </r>
    <r>
      <rPr>
        <sz val="11"/>
        <color rgb="FFFF0000"/>
        <rFont val="Calibri"/>
        <family val="2"/>
        <charset val="238"/>
      </rPr>
      <t>)</t>
    </r>
    <r>
      <rPr>
        <sz val="11"/>
        <rFont val="Calibri"/>
        <family val="2"/>
      </rPr>
      <t>*Minh</t>
    </r>
    <r>
      <rPr>
        <vertAlign val="subscript"/>
        <sz val="11"/>
        <rFont val="Calibri"/>
        <family val="2"/>
      </rPr>
      <t>SO2,KO2,OHO</t>
    </r>
    <r>
      <rPr>
        <sz val="11"/>
        <rFont val="Calibri"/>
        <family val="2"/>
      </rPr>
      <t>*Msat</t>
    </r>
    <r>
      <rPr>
        <vertAlign val="subscript"/>
        <sz val="11"/>
        <rFont val="Calibri"/>
        <family val="2"/>
      </rPr>
      <t>SNHx,KNHx,BIO</t>
    </r>
    <r>
      <rPr>
        <sz val="11"/>
        <rFont val="Calibri"/>
        <family val="2"/>
      </rPr>
      <t>*Msat</t>
    </r>
    <r>
      <rPr>
        <vertAlign val="subscript"/>
        <sz val="11"/>
        <rFont val="Calibri"/>
        <family val="2"/>
      </rPr>
      <t>SPO4,KPO4,BIO</t>
    </r>
    <r>
      <rPr>
        <sz val="11"/>
        <rFont val="Calibri"/>
        <family val="2"/>
      </rPr>
      <t>*Msat</t>
    </r>
    <r>
      <rPr>
        <vertAlign val="subscript"/>
        <sz val="11"/>
        <rFont val="Calibri"/>
        <family val="2"/>
      </rPr>
      <t>SCAT,KCAT</t>
    </r>
    <r>
      <rPr>
        <sz val="11"/>
        <rFont val="Calibri"/>
        <family val="2"/>
      </rPr>
      <t>*Msat</t>
    </r>
    <r>
      <rPr>
        <vertAlign val="subscript"/>
        <sz val="11"/>
        <rFont val="Calibri"/>
        <family val="2"/>
      </rPr>
      <t>SAN,KAN</t>
    </r>
    <r>
      <rPr>
        <sz val="11"/>
        <rFont val="Calibri"/>
        <family val="2"/>
      </rPr>
      <t>*Msat</t>
    </r>
    <r>
      <rPr>
        <vertAlign val="subscript"/>
        <sz val="11"/>
        <rFont val="Calibri"/>
        <family val="2"/>
      </rPr>
      <t>SCa,KCa</t>
    </r>
    <r>
      <rPr>
        <sz val="11"/>
        <rFont val="Calibri"/>
        <family val="2"/>
      </rPr>
      <t>*Msat</t>
    </r>
    <r>
      <rPr>
        <vertAlign val="subscript"/>
        <sz val="11"/>
        <rFont val="Calibri"/>
        <family val="2"/>
      </rPr>
      <t>SMg,KMg</t>
    </r>
    <r>
      <rPr>
        <sz val="11"/>
        <rFont val="Calibri"/>
        <family val="2"/>
      </rPr>
      <t>*Bellinh</t>
    </r>
    <r>
      <rPr>
        <vertAlign val="subscript"/>
        <sz val="11"/>
        <rFont val="Calibri"/>
        <family val="2"/>
      </rPr>
      <t>pH</t>
    </r>
  </si>
  <si>
    <r>
      <t>µ</t>
    </r>
    <r>
      <rPr>
        <vertAlign val="subscript"/>
        <sz val="11"/>
        <rFont val="Calibri"/>
        <family val="2"/>
      </rPr>
      <t>MEOLO,T</t>
    </r>
    <r>
      <rPr>
        <sz val="11"/>
        <rFont val="Calibri"/>
        <family val="2"/>
      </rPr>
      <t>*X</t>
    </r>
    <r>
      <rPr>
        <vertAlign val="subscript"/>
        <sz val="11"/>
        <rFont val="Calibri"/>
        <family val="2"/>
      </rPr>
      <t>MEOLO</t>
    </r>
    <r>
      <rPr>
        <sz val="11"/>
        <rFont val="Calibri"/>
        <family val="2"/>
      </rPr>
      <t>*Msat</t>
    </r>
    <r>
      <rPr>
        <vertAlign val="subscript"/>
        <sz val="11"/>
        <rFont val="Calibri"/>
        <family val="2"/>
      </rPr>
      <t>SMEOL,KMEOL</t>
    </r>
    <r>
      <rPr>
        <sz val="11"/>
        <rFont val="Calibri"/>
        <family val="2"/>
      </rPr>
      <t>*Msat</t>
    </r>
    <r>
      <rPr>
        <vertAlign val="subscript"/>
        <sz val="11"/>
        <rFont val="Calibri"/>
        <family val="2"/>
      </rPr>
      <t>SNO3,KNO3,MEOLO</t>
    </r>
    <r>
      <rPr>
        <sz val="11"/>
        <rFont val="Calibri"/>
        <family val="2"/>
      </rPr>
      <t>*</t>
    </r>
    <r>
      <rPr>
        <sz val="11"/>
        <color rgb="FFFF0000"/>
        <rFont val="Calibri"/>
        <family val="2"/>
        <charset val="238"/>
      </rPr>
      <t>Logsat</t>
    </r>
    <r>
      <rPr>
        <vertAlign val="subscript"/>
        <sz val="11"/>
        <color rgb="FFFF0000"/>
        <rFont val="Calibri"/>
        <family val="2"/>
        <charset val="238"/>
      </rPr>
      <t>SNO3,KNO3,MEOLO</t>
    </r>
    <r>
      <rPr>
        <sz val="11"/>
        <color rgb="FFFF0000"/>
        <rFont val="Calibri"/>
        <family val="2"/>
        <charset val="238"/>
      </rPr>
      <t>*(Loginh</t>
    </r>
    <r>
      <rPr>
        <vertAlign val="subscript"/>
        <sz val="11"/>
        <color rgb="FFFF0000"/>
        <rFont val="Calibri"/>
        <family val="2"/>
        <charset val="238"/>
      </rPr>
      <t>SMEOL,KMEOL,SNO2</t>
    </r>
    <r>
      <rPr>
        <sz val="11"/>
        <color rgb="FFFF0000"/>
        <rFont val="Calibri"/>
        <family val="2"/>
        <charset val="238"/>
      </rPr>
      <t>+Minh</t>
    </r>
    <r>
      <rPr>
        <vertAlign val="subscript"/>
        <sz val="11"/>
        <color rgb="FFFF0000"/>
        <rFont val="Calibri"/>
        <family val="2"/>
        <charset val="238"/>
      </rPr>
      <t>SNO2,KNO2,MEOLO</t>
    </r>
    <r>
      <rPr>
        <sz val="11"/>
        <color rgb="FFFF0000"/>
        <rFont val="Calibri"/>
        <family val="2"/>
        <charset val="238"/>
      </rPr>
      <t>*Logsat</t>
    </r>
    <r>
      <rPr>
        <vertAlign val="subscript"/>
        <sz val="11"/>
        <color rgb="FFFF0000"/>
        <rFont val="Calibri"/>
        <family val="2"/>
        <charset val="238"/>
      </rPr>
      <t>SMEOL,KMEOL,SNO2</t>
    </r>
    <r>
      <rPr>
        <sz val="11"/>
        <color rgb="FFFF0000"/>
        <rFont val="Calibri"/>
        <family val="2"/>
        <charset val="238"/>
      </rPr>
      <t>)</t>
    </r>
    <r>
      <rPr>
        <sz val="11"/>
        <rFont val="Calibri"/>
        <family val="2"/>
      </rPr>
      <t>*Minh</t>
    </r>
    <r>
      <rPr>
        <vertAlign val="subscript"/>
        <sz val="11"/>
        <rFont val="Calibri"/>
        <family val="2"/>
      </rPr>
      <t>SO2,KiO2,MEOLO</t>
    </r>
    <r>
      <rPr>
        <sz val="11"/>
        <rFont val="Calibri"/>
        <family val="2"/>
      </rPr>
      <t>*Msat</t>
    </r>
    <r>
      <rPr>
        <vertAlign val="subscript"/>
        <sz val="11"/>
        <rFont val="Calibri"/>
        <family val="2"/>
      </rPr>
      <t>SNHx,KNHx,BIO</t>
    </r>
    <r>
      <rPr>
        <sz val="11"/>
        <rFont val="Calibri"/>
        <family val="2"/>
      </rPr>
      <t>*Msat</t>
    </r>
    <r>
      <rPr>
        <vertAlign val="subscript"/>
        <sz val="11"/>
        <rFont val="Calibri"/>
        <family val="2"/>
      </rPr>
      <t>SPO4,KPO4,BIO</t>
    </r>
    <r>
      <rPr>
        <sz val="11"/>
        <rFont val="Calibri"/>
        <family val="2"/>
      </rPr>
      <t>*Msat</t>
    </r>
    <r>
      <rPr>
        <vertAlign val="subscript"/>
        <sz val="11"/>
        <rFont val="Calibri"/>
        <family val="2"/>
      </rPr>
      <t>SCAT,KCAT</t>
    </r>
    <r>
      <rPr>
        <sz val="11"/>
        <rFont val="Calibri"/>
        <family val="2"/>
      </rPr>
      <t>*Msat</t>
    </r>
    <r>
      <rPr>
        <vertAlign val="subscript"/>
        <sz val="11"/>
        <rFont val="Calibri"/>
        <family val="2"/>
      </rPr>
      <t>SAN,KAN</t>
    </r>
    <r>
      <rPr>
        <sz val="11"/>
        <rFont val="Calibri"/>
        <family val="2"/>
      </rPr>
      <t>*Msat</t>
    </r>
    <r>
      <rPr>
        <vertAlign val="subscript"/>
        <sz val="11"/>
        <rFont val="Calibri"/>
        <family val="2"/>
      </rPr>
      <t>SCa,KCa</t>
    </r>
    <r>
      <rPr>
        <sz val="11"/>
        <rFont val="Calibri"/>
        <family val="2"/>
      </rPr>
      <t>*Msat</t>
    </r>
    <r>
      <rPr>
        <vertAlign val="subscript"/>
        <sz val="11"/>
        <rFont val="Calibri"/>
        <family val="2"/>
      </rPr>
      <t>SMg,KMg</t>
    </r>
    <r>
      <rPr>
        <sz val="11"/>
        <rFont val="Calibri"/>
        <family val="2"/>
      </rPr>
      <t>*Bellinh</t>
    </r>
    <r>
      <rPr>
        <vertAlign val="subscript"/>
        <sz val="11"/>
        <rFont val="Calibri"/>
        <family val="2"/>
      </rPr>
      <t>pH</t>
    </r>
  </si>
  <si>
    <r>
      <t>S</t>
    </r>
    <r>
      <rPr>
        <vertAlign val="subscript"/>
        <sz val="11"/>
        <rFont val="Calibri"/>
        <family val="2"/>
        <scheme val="minor"/>
      </rPr>
      <t>NHx</t>
    </r>
    <r>
      <rPr>
        <sz val="11"/>
        <rFont val="Calibri"/>
        <family val="2"/>
        <scheme val="minor"/>
      </rPr>
      <t xml:space="preserve"> + S</t>
    </r>
    <r>
      <rPr>
        <vertAlign val="subscript"/>
        <sz val="11"/>
        <rFont val="Calibri"/>
        <family val="2"/>
        <scheme val="minor"/>
      </rPr>
      <t>N,B</t>
    </r>
    <r>
      <rPr>
        <sz val="11"/>
        <rFont val="Calibri"/>
        <family val="2"/>
        <scheme val="minor"/>
      </rPr>
      <t xml:space="preserve"> + i</t>
    </r>
    <r>
      <rPr>
        <vertAlign val="subscript"/>
        <sz val="11"/>
        <rFont val="Calibri"/>
        <family val="2"/>
        <scheme val="minor"/>
      </rPr>
      <t>N,CB</t>
    </r>
    <r>
      <rPr>
        <sz val="11"/>
        <rFont val="Calibri"/>
        <family val="2"/>
        <scheme val="minor"/>
      </rPr>
      <t>*C</t>
    </r>
    <r>
      <rPr>
        <vertAlign val="subscript"/>
        <sz val="11"/>
        <rFont val="Calibri"/>
        <family val="2"/>
        <scheme val="minor"/>
      </rPr>
      <t>B</t>
    </r>
    <r>
      <rPr>
        <sz val="11"/>
        <rFont val="Calibri"/>
        <family val="2"/>
        <scheme val="minor"/>
      </rPr>
      <t xml:space="preserve"> + X</t>
    </r>
    <r>
      <rPr>
        <vertAlign val="subscript"/>
        <sz val="11"/>
        <rFont val="Calibri"/>
        <family val="2"/>
        <scheme val="minor"/>
      </rPr>
      <t>N,B</t>
    </r>
    <r>
      <rPr>
        <sz val="11"/>
        <rFont val="Calibri"/>
        <family val="2"/>
        <scheme val="minor"/>
      </rPr>
      <t xml:space="preserve"> + X</t>
    </r>
    <r>
      <rPr>
        <vertAlign val="subscript"/>
        <sz val="11"/>
        <rFont val="Calibri"/>
        <family val="2"/>
        <scheme val="minor"/>
      </rPr>
      <t>N,Be</t>
    </r>
    <r>
      <rPr>
        <sz val="11"/>
        <rFont val="Calibri"/>
        <family val="2"/>
        <scheme val="minor"/>
      </rPr>
      <t xml:space="preserve"> +i</t>
    </r>
    <r>
      <rPr>
        <vertAlign val="subscript"/>
        <sz val="11"/>
        <rFont val="Calibri"/>
        <family val="2"/>
        <scheme val="minor"/>
      </rPr>
      <t>N,SU</t>
    </r>
    <r>
      <rPr>
        <sz val="11"/>
        <rFont val="Calibri"/>
        <family val="2"/>
        <scheme val="minor"/>
      </rPr>
      <t>*S</t>
    </r>
    <r>
      <rPr>
        <vertAlign val="subscript"/>
        <sz val="11"/>
        <rFont val="Calibri"/>
        <family val="2"/>
        <scheme val="minor"/>
      </rPr>
      <t>U</t>
    </r>
    <r>
      <rPr>
        <sz val="11"/>
        <rFont val="Calibri"/>
        <family val="2"/>
        <scheme val="minor"/>
      </rPr>
      <t xml:space="preserve"> +i</t>
    </r>
    <r>
      <rPr>
        <vertAlign val="subscript"/>
        <sz val="11"/>
        <rFont val="Calibri"/>
        <family val="2"/>
        <scheme val="minor"/>
      </rPr>
      <t>N,CU</t>
    </r>
    <r>
      <rPr>
        <sz val="11"/>
        <rFont val="Calibri"/>
        <family val="2"/>
        <scheme val="minor"/>
      </rPr>
      <t>*C</t>
    </r>
    <r>
      <rPr>
        <vertAlign val="subscript"/>
        <sz val="11"/>
        <rFont val="Calibri"/>
        <family val="2"/>
        <scheme val="minor"/>
      </rPr>
      <t>U</t>
    </r>
    <r>
      <rPr>
        <sz val="11"/>
        <rFont val="Calibri"/>
        <family val="2"/>
        <scheme val="minor"/>
      </rPr>
      <t xml:space="preserve"> + X</t>
    </r>
    <r>
      <rPr>
        <vertAlign val="subscript"/>
        <sz val="11"/>
        <rFont val="Calibri"/>
        <family val="2"/>
        <scheme val="minor"/>
      </rPr>
      <t>N,U</t>
    </r>
    <r>
      <rPr>
        <sz val="11"/>
        <rFont val="Calibri"/>
        <family val="2"/>
        <scheme val="minor"/>
      </rPr>
      <t xml:space="preserve"> + i</t>
    </r>
    <r>
      <rPr>
        <vertAlign val="subscript"/>
        <sz val="11"/>
        <rFont val="Calibri"/>
        <family val="2"/>
        <scheme val="minor"/>
      </rPr>
      <t>N,BIO</t>
    </r>
    <r>
      <rPr>
        <sz val="11"/>
        <rFont val="Calibri"/>
        <family val="2"/>
        <scheme val="minor"/>
      </rPr>
      <t>*(X</t>
    </r>
    <r>
      <rPr>
        <vertAlign val="subscript"/>
        <sz val="11"/>
        <rFont val="Calibri"/>
        <family val="2"/>
        <scheme val="minor"/>
      </rPr>
      <t>OHO</t>
    </r>
    <r>
      <rPr>
        <sz val="11"/>
        <rFont val="Calibri"/>
        <family val="2"/>
        <scheme val="minor"/>
      </rPr>
      <t>+X</t>
    </r>
    <r>
      <rPr>
        <vertAlign val="subscript"/>
        <sz val="11"/>
        <rFont val="Calibri"/>
        <family val="2"/>
        <scheme val="minor"/>
      </rPr>
      <t>CASTO</t>
    </r>
    <r>
      <rPr>
        <sz val="11"/>
        <rFont val="Calibri"/>
        <family val="2"/>
        <scheme val="minor"/>
      </rPr>
      <t>+X</t>
    </r>
    <r>
      <rPr>
        <vertAlign val="subscript"/>
        <sz val="11"/>
        <rFont val="Calibri"/>
        <family val="2"/>
        <scheme val="minor"/>
      </rPr>
      <t>MEOLO</t>
    </r>
    <r>
      <rPr>
        <sz val="11"/>
        <rFont val="Calibri"/>
        <family val="2"/>
        <scheme val="minor"/>
      </rPr>
      <t>+X</t>
    </r>
    <r>
      <rPr>
        <vertAlign val="subscript"/>
        <sz val="11"/>
        <rFont val="Calibri"/>
        <family val="2"/>
        <scheme val="minor"/>
      </rPr>
      <t>AOB</t>
    </r>
    <r>
      <rPr>
        <sz val="11"/>
        <rFont val="Calibri"/>
        <family val="2"/>
        <scheme val="minor"/>
      </rPr>
      <t>+X</t>
    </r>
    <r>
      <rPr>
        <vertAlign val="subscript"/>
        <sz val="11"/>
        <rFont val="Calibri"/>
        <family val="2"/>
        <scheme val="minor"/>
      </rPr>
      <t>NOB</t>
    </r>
    <r>
      <rPr>
        <sz val="11"/>
        <rFont val="Calibri"/>
        <family val="2"/>
        <scheme val="minor"/>
      </rPr>
      <t>+X</t>
    </r>
    <r>
      <rPr>
        <vertAlign val="subscript"/>
        <sz val="11"/>
        <rFont val="Calibri"/>
        <family val="2"/>
        <scheme val="minor"/>
      </rPr>
      <t>AMX</t>
    </r>
    <r>
      <rPr>
        <sz val="11"/>
        <rFont val="Calibri"/>
        <family val="2"/>
        <scheme val="minor"/>
      </rPr>
      <t>+X</t>
    </r>
    <r>
      <rPr>
        <vertAlign val="subscript"/>
        <sz val="11"/>
        <rFont val="Calibri"/>
        <family val="2"/>
        <scheme val="minor"/>
      </rPr>
      <t>AMETO</t>
    </r>
    <r>
      <rPr>
        <sz val="11"/>
        <rFont val="Calibri"/>
        <family val="2"/>
        <scheme val="minor"/>
      </rPr>
      <t>+X</t>
    </r>
    <r>
      <rPr>
        <vertAlign val="subscript"/>
        <sz val="11"/>
        <rFont val="Calibri"/>
        <family val="2"/>
        <scheme val="minor"/>
      </rPr>
      <t>HMETO</t>
    </r>
    <r>
      <rPr>
        <sz val="11"/>
        <rFont val="Calibri"/>
        <family val="2"/>
        <scheme val="minor"/>
      </rPr>
      <t>) + i</t>
    </r>
    <r>
      <rPr>
        <vertAlign val="subscript"/>
        <sz val="11"/>
        <rFont val="Calibri"/>
        <family val="2"/>
        <scheme val="minor"/>
      </rPr>
      <t>N,AHO</t>
    </r>
    <r>
      <rPr>
        <sz val="11"/>
        <rFont val="Calibri"/>
        <family val="2"/>
        <scheme val="minor"/>
      </rPr>
      <t>*X</t>
    </r>
    <r>
      <rPr>
        <vertAlign val="subscript"/>
        <sz val="11"/>
        <rFont val="Calibri"/>
        <family val="2"/>
        <scheme val="minor"/>
      </rPr>
      <t>AHO</t>
    </r>
    <r>
      <rPr>
        <sz val="11"/>
        <rFont val="Calibri"/>
        <family val="2"/>
        <scheme val="minor"/>
      </rPr>
      <t xml:space="preserve"> + i</t>
    </r>
    <r>
      <rPr>
        <vertAlign val="subscript"/>
        <sz val="11"/>
        <rFont val="Calibri"/>
        <family val="2"/>
        <scheme val="minor"/>
      </rPr>
      <t>N,XE</t>
    </r>
    <r>
      <rPr>
        <sz val="11"/>
        <rFont val="Calibri"/>
        <family val="2"/>
        <scheme val="minor"/>
      </rPr>
      <t>*(X</t>
    </r>
    <r>
      <rPr>
        <vertAlign val="subscript"/>
        <sz val="11"/>
        <rFont val="Calibri"/>
        <family val="2"/>
        <scheme val="minor"/>
      </rPr>
      <t>E,ana</t>
    </r>
    <r>
      <rPr>
        <sz val="11"/>
        <rFont val="Calibri"/>
        <family val="2"/>
        <scheme val="minor"/>
      </rPr>
      <t>+X</t>
    </r>
    <r>
      <rPr>
        <vertAlign val="subscript"/>
        <sz val="11"/>
        <rFont val="Calibri"/>
        <family val="2"/>
        <scheme val="minor"/>
      </rPr>
      <t>E</t>
    </r>
    <r>
      <rPr>
        <sz val="11"/>
        <rFont val="Calibri"/>
        <family val="2"/>
        <scheme val="minor"/>
      </rPr>
      <t>) + i</t>
    </r>
    <r>
      <rPr>
        <vertAlign val="subscript"/>
        <sz val="11"/>
        <rFont val="Calibri"/>
        <family val="2"/>
        <scheme val="minor"/>
      </rPr>
      <t>N,XSTR</t>
    </r>
    <r>
      <rPr>
        <sz val="11"/>
        <rFont val="Calibri"/>
        <family val="2"/>
        <scheme val="minor"/>
      </rPr>
      <t>*X</t>
    </r>
    <r>
      <rPr>
        <vertAlign val="subscript"/>
        <sz val="11"/>
        <rFont val="Calibri"/>
        <family val="2"/>
        <scheme val="minor"/>
      </rPr>
      <t>STR</t>
    </r>
    <r>
      <rPr>
        <sz val="11"/>
        <rFont val="Calibri"/>
        <family val="2"/>
        <scheme val="minor"/>
      </rPr>
      <t xml:space="preserve"> </t>
    </r>
  </si>
  <si>
    <r>
      <t>S</t>
    </r>
    <r>
      <rPr>
        <vertAlign val="subscript"/>
        <sz val="11"/>
        <rFont val="Calibri"/>
        <family val="2"/>
        <scheme val="minor"/>
      </rPr>
      <t>N,B</t>
    </r>
    <r>
      <rPr>
        <sz val="11"/>
        <rFont val="Calibri"/>
        <family val="2"/>
        <scheme val="minor"/>
      </rPr>
      <t xml:space="preserve"> + i</t>
    </r>
    <r>
      <rPr>
        <vertAlign val="subscript"/>
        <sz val="11"/>
        <rFont val="Calibri"/>
        <family val="2"/>
        <scheme val="minor"/>
      </rPr>
      <t>N,CB</t>
    </r>
    <r>
      <rPr>
        <sz val="11"/>
        <rFont val="Calibri"/>
        <family val="2"/>
        <scheme val="minor"/>
      </rPr>
      <t>*C</t>
    </r>
    <r>
      <rPr>
        <vertAlign val="subscript"/>
        <sz val="11"/>
        <rFont val="Calibri"/>
        <family val="2"/>
        <scheme val="minor"/>
      </rPr>
      <t>B</t>
    </r>
    <r>
      <rPr>
        <sz val="11"/>
        <rFont val="Calibri"/>
        <family val="2"/>
        <scheme val="minor"/>
      </rPr>
      <t xml:space="preserve"> + X</t>
    </r>
    <r>
      <rPr>
        <vertAlign val="subscript"/>
        <sz val="11"/>
        <rFont val="Calibri"/>
        <family val="2"/>
        <scheme val="minor"/>
      </rPr>
      <t>N,B</t>
    </r>
    <r>
      <rPr>
        <sz val="11"/>
        <rFont val="Calibri"/>
        <family val="2"/>
        <scheme val="minor"/>
      </rPr>
      <t xml:space="preserve"> + X</t>
    </r>
    <r>
      <rPr>
        <vertAlign val="subscript"/>
        <sz val="11"/>
        <rFont val="Calibri"/>
        <family val="2"/>
        <scheme val="minor"/>
      </rPr>
      <t>N,Be</t>
    </r>
    <r>
      <rPr>
        <sz val="11"/>
        <rFont val="Calibri"/>
        <family val="2"/>
        <scheme val="minor"/>
      </rPr>
      <t xml:space="preserve"> + i</t>
    </r>
    <r>
      <rPr>
        <vertAlign val="subscript"/>
        <sz val="11"/>
        <rFont val="Calibri"/>
        <family val="2"/>
        <scheme val="minor"/>
      </rPr>
      <t>N,BIO</t>
    </r>
    <r>
      <rPr>
        <sz val="11"/>
        <rFont val="Calibri"/>
        <family val="2"/>
        <scheme val="minor"/>
      </rPr>
      <t>*X</t>
    </r>
    <r>
      <rPr>
        <vertAlign val="subscript"/>
        <sz val="11"/>
        <rFont val="Calibri"/>
        <family val="2"/>
        <scheme val="minor"/>
      </rPr>
      <t>BIO</t>
    </r>
  </si>
  <si>
    <r>
      <t>S</t>
    </r>
    <r>
      <rPr>
        <vertAlign val="subscript"/>
        <sz val="11"/>
        <rFont val="Calibri"/>
        <family val="2"/>
        <scheme val="minor"/>
      </rPr>
      <t>PO4</t>
    </r>
    <r>
      <rPr>
        <sz val="11"/>
        <rFont val="Calibri"/>
        <family val="2"/>
        <scheme val="minor"/>
      </rPr>
      <t xml:space="preserve"> + S</t>
    </r>
    <r>
      <rPr>
        <vertAlign val="subscript"/>
        <sz val="11"/>
        <rFont val="Calibri"/>
        <family val="2"/>
        <scheme val="minor"/>
      </rPr>
      <t>P,B</t>
    </r>
    <r>
      <rPr>
        <sz val="11"/>
        <rFont val="Calibri"/>
        <family val="2"/>
        <scheme val="minor"/>
      </rPr>
      <t xml:space="preserve"> + i</t>
    </r>
    <r>
      <rPr>
        <vertAlign val="subscript"/>
        <sz val="11"/>
        <rFont val="Calibri"/>
        <family val="2"/>
        <scheme val="minor"/>
      </rPr>
      <t>P,CB</t>
    </r>
    <r>
      <rPr>
        <sz val="11"/>
        <rFont val="Calibri"/>
        <family val="2"/>
        <scheme val="minor"/>
      </rPr>
      <t>*C</t>
    </r>
    <r>
      <rPr>
        <vertAlign val="subscript"/>
        <sz val="11"/>
        <rFont val="Calibri"/>
        <family val="2"/>
        <scheme val="minor"/>
      </rPr>
      <t>B</t>
    </r>
    <r>
      <rPr>
        <sz val="11"/>
        <rFont val="Calibri"/>
        <family val="2"/>
        <scheme val="minor"/>
      </rPr>
      <t xml:space="preserve"> + X</t>
    </r>
    <r>
      <rPr>
        <vertAlign val="subscript"/>
        <sz val="11"/>
        <rFont val="Calibri"/>
        <family val="2"/>
        <scheme val="minor"/>
      </rPr>
      <t>P,B</t>
    </r>
    <r>
      <rPr>
        <sz val="11"/>
        <rFont val="Calibri"/>
        <family val="2"/>
        <scheme val="minor"/>
      </rPr>
      <t xml:space="preserve"> + X</t>
    </r>
    <r>
      <rPr>
        <vertAlign val="subscript"/>
        <sz val="11"/>
        <rFont val="Calibri"/>
        <family val="2"/>
        <scheme val="minor"/>
      </rPr>
      <t>P,Be</t>
    </r>
    <r>
      <rPr>
        <sz val="11"/>
        <rFont val="Calibri"/>
        <family val="2"/>
        <scheme val="minor"/>
      </rPr>
      <t xml:space="preserve"> + i</t>
    </r>
    <r>
      <rPr>
        <vertAlign val="subscript"/>
        <sz val="11"/>
        <rFont val="Calibri"/>
        <family val="2"/>
        <scheme val="minor"/>
      </rPr>
      <t>P,SU</t>
    </r>
    <r>
      <rPr>
        <sz val="11"/>
        <rFont val="Calibri"/>
        <family val="2"/>
        <scheme val="minor"/>
      </rPr>
      <t>*S</t>
    </r>
    <r>
      <rPr>
        <vertAlign val="subscript"/>
        <sz val="11"/>
        <rFont val="Calibri"/>
        <family val="2"/>
        <scheme val="minor"/>
      </rPr>
      <t>U</t>
    </r>
    <r>
      <rPr>
        <sz val="11"/>
        <rFont val="Calibri"/>
        <family val="2"/>
        <scheme val="minor"/>
      </rPr>
      <t xml:space="preserve"> + X</t>
    </r>
    <r>
      <rPr>
        <vertAlign val="subscript"/>
        <sz val="11"/>
        <rFont val="Calibri"/>
        <family val="2"/>
        <scheme val="minor"/>
      </rPr>
      <t>P,U</t>
    </r>
    <r>
      <rPr>
        <sz val="11"/>
        <rFont val="Calibri"/>
        <family val="2"/>
        <scheme val="minor"/>
      </rPr>
      <t xml:space="preserve"> + i</t>
    </r>
    <r>
      <rPr>
        <vertAlign val="subscript"/>
        <sz val="11"/>
        <rFont val="Calibri"/>
        <family val="2"/>
        <scheme val="minor"/>
      </rPr>
      <t>P,CU</t>
    </r>
    <r>
      <rPr>
        <sz val="11"/>
        <rFont val="Calibri"/>
        <family val="2"/>
        <scheme val="minor"/>
      </rPr>
      <t>*C</t>
    </r>
    <r>
      <rPr>
        <vertAlign val="subscript"/>
        <sz val="11"/>
        <rFont val="Calibri"/>
        <family val="2"/>
        <scheme val="minor"/>
      </rPr>
      <t>U</t>
    </r>
    <r>
      <rPr>
        <sz val="11"/>
        <rFont val="Calibri"/>
        <family val="2"/>
        <scheme val="minor"/>
      </rPr>
      <t xml:space="preserve"> + X</t>
    </r>
    <r>
      <rPr>
        <vertAlign val="subscript"/>
        <sz val="11"/>
        <rFont val="Calibri"/>
        <family val="2"/>
        <scheme val="minor"/>
      </rPr>
      <t>PP</t>
    </r>
    <r>
      <rPr>
        <sz val="11"/>
        <rFont val="Calibri"/>
        <family val="2"/>
        <scheme val="minor"/>
      </rPr>
      <t xml:space="preserve"> + i</t>
    </r>
    <r>
      <rPr>
        <vertAlign val="subscript"/>
        <sz val="11"/>
        <rFont val="Calibri"/>
        <family val="2"/>
        <charset val="238"/>
        <scheme val="minor"/>
      </rPr>
      <t>P,BIO</t>
    </r>
    <r>
      <rPr>
        <sz val="11"/>
        <rFont val="Calibri"/>
        <family val="2"/>
        <scheme val="minor"/>
      </rPr>
      <t>*(X</t>
    </r>
    <r>
      <rPr>
        <vertAlign val="subscript"/>
        <sz val="11"/>
        <rFont val="Calibri"/>
        <family val="2"/>
        <charset val="238"/>
        <scheme val="minor"/>
      </rPr>
      <t>OHO</t>
    </r>
    <r>
      <rPr>
        <sz val="11"/>
        <rFont val="Calibri"/>
        <family val="2"/>
        <scheme val="minor"/>
      </rPr>
      <t>+X</t>
    </r>
    <r>
      <rPr>
        <vertAlign val="subscript"/>
        <sz val="11"/>
        <rFont val="Calibri"/>
        <family val="2"/>
        <charset val="238"/>
        <scheme val="minor"/>
      </rPr>
      <t>CASTO</t>
    </r>
    <r>
      <rPr>
        <sz val="11"/>
        <rFont val="Calibri"/>
        <family val="2"/>
        <scheme val="minor"/>
      </rPr>
      <t>+X</t>
    </r>
    <r>
      <rPr>
        <vertAlign val="subscript"/>
        <sz val="11"/>
        <rFont val="Calibri"/>
        <family val="2"/>
        <charset val="238"/>
        <scheme val="minor"/>
      </rPr>
      <t>MEOLO</t>
    </r>
    <r>
      <rPr>
        <sz val="11"/>
        <rFont val="Calibri"/>
        <family val="2"/>
        <scheme val="minor"/>
      </rPr>
      <t>+X</t>
    </r>
    <r>
      <rPr>
        <vertAlign val="subscript"/>
        <sz val="11"/>
        <rFont val="Calibri"/>
        <family val="2"/>
        <charset val="238"/>
        <scheme val="minor"/>
      </rPr>
      <t>AOB</t>
    </r>
    <r>
      <rPr>
        <sz val="11"/>
        <rFont val="Calibri"/>
        <family val="2"/>
        <scheme val="minor"/>
      </rPr>
      <t>+X</t>
    </r>
    <r>
      <rPr>
        <vertAlign val="subscript"/>
        <sz val="11"/>
        <rFont val="Calibri"/>
        <family val="2"/>
        <charset val="238"/>
        <scheme val="minor"/>
      </rPr>
      <t>NOB</t>
    </r>
    <r>
      <rPr>
        <sz val="11"/>
        <rFont val="Calibri"/>
        <family val="2"/>
        <scheme val="minor"/>
      </rPr>
      <t>+X</t>
    </r>
    <r>
      <rPr>
        <vertAlign val="subscript"/>
        <sz val="11"/>
        <rFont val="Calibri"/>
        <family val="2"/>
        <charset val="238"/>
        <scheme val="minor"/>
      </rPr>
      <t>AMX</t>
    </r>
    <r>
      <rPr>
        <sz val="11"/>
        <rFont val="Calibri"/>
        <family val="2"/>
        <scheme val="minor"/>
      </rPr>
      <t>+X</t>
    </r>
    <r>
      <rPr>
        <vertAlign val="subscript"/>
        <sz val="11"/>
        <rFont val="Calibri"/>
        <family val="2"/>
        <charset val="238"/>
        <scheme val="minor"/>
      </rPr>
      <t>AMETO</t>
    </r>
    <r>
      <rPr>
        <sz val="11"/>
        <rFont val="Calibri"/>
        <family val="2"/>
        <scheme val="minor"/>
      </rPr>
      <t>+X</t>
    </r>
    <r>
      <rPr>
        <vertAlign val="subscript"/>
        <sz val="11"/>
        <rFont val="Calibri"/>
        <family val="2"/>
        <charset val="238"/>
        <scheme val="minor"/>
      </rPr>
      <t>HMETO</t>
    </r>
    <r>
      <rPr>
        <sz val="11"/>
        <rFont val="Calibri"/>
        <family val="2"/>
        <scheme val="minor"/>
      </rPr>
      <t>+X</t>
    </r>
    <r>
      <rPr>
        <vertAlign val="subscript"/>
        <sz val="11"/>
        <rFont val="Calibri"/>
        <family val="2"/>
        <charset val="238"/>
        <scheme val="minor"/>
      </rPr>
      <t>E,ana</t>
    </r>
    <r>
      <rPr>
        <sz val="11"/>
        <rFont val="Calibri"/>
        <family val="2"/>
        <scheme val="minor"/>
      </rPr>
      <t>+X</t>
    </r>
    <r>
      <rPr>
        <vertAlign val="subscript"/>
        <sz val="11"/>
        <rFont val="Calibri"/>
        <family val="2"/>
        <charset val="238"/>
        <scheme val="minor"/>
      </rPr>
      <t>E</t>
    </r>
    <r>
      <rPr>
        <sz val="11"/>
        <rFont val="Calibri"/>
        <family val="2"/>
        <scheme val="minor"/>
      </rPr>
      <t>) + i</t>
    </r>
    <r>
      <rPr>
        <vertAlign val="subscript"/>
        <sz val="11"/>
        <rFont val="Calibri"/>
        <family val="2"/>
        <charset val="238"/>
        <scheme val="minor"/>
      </rPr>
      <t>P,AHO</t>
    </r>
    <r>
      <rPr>
        <sz val="11"/>
        <rFont val="Calibri"/>
        <family val="2"/>
        <scheme val="minor"/>
      </rPr>
      <t>*X</t>
    </r>
    <r>
      <rPr>
        <vertAlign val="subscript"/>
        <sz val="11"/>
        <rFont val="Calibri"/>
        <family val="2"/>
        <charset val="238"/>
        <scheme val="minor"/>
      </rPr>
      <t>AHO</t>
    </r>
    <r>
      <rPr>
        <sz val="11"/>
        <rFont val="Calibri"/>
        <family val="2"/>
        <scheme val="minor"/>
      </rPr>
      <t xml:space="preserve"> + X</t>
    </r>
    <r>
      <rPr>
        <vertAlign val="subscript"/>
        <sz val="11"/>
        <rFont val="Calibri"/>
        <family val="2"/>
        <charset val="238"/>
        <scheme val="minor"/>
      </rPr>
      <t>HFO,P</t>
    </r>
    <r>
      <rPr>
        <sz val="11"/>
        <rFont val="Calibri"/>
        <family val="2"/>
        <scheme val="minor"/>
      </rPr>
      <t xml:space="preserve"> + X</t>
    </r>
    <r>
      <rPr>
        <vertAlign val="subscript"/>
        <sz val="11"/>
        <rFont val="Calibri"/>
        <family val="2"/>
        <charset val="238"/>
        <scheme val="minor"/>
      </rPr>
      <t>HAO,P</t>
    </r>
    <r>
      <rPr>
        <sz val="11"/>
        <rFont val="Calibri"/>
        <family val="2"/>
        <scheme val="minor"/>
      </rPr>
      <t xml:space="preserve"> + i</t>
    </r>
    <r>
      <rPr>
        <vertAlign val="subscript"/>
        <sz val="11"/>
        <rFont val="Calibri"/>
        <family val="2"/>
        <scheme val="minor"/>
      </rPr>
      <t>P,XSTR</t>
    </r>
    <r>
      <rPr>
        <sz val="11"/>
        <rFont val="Calibri"/>
        <family val="2"/>
        <scheme val="minor"/>
      </rPr>
      <t>*X</t>
    </r>
    <r>
      <rPr>
        <vertAlign val="subscript"/>
        <sz val="11"/>
        <rFont val="Calibri"/>
        <family val="2"/>
        <scheme val="minor"/>
      </rPr>
      <t>STR</t>
    </r>
    <r>
      <rPr>
        <sz val="11"/>
        <rFont val="Calibri"/>
        <family val="2"/>
        <scheme val="minor"/>
      </rPr>
      <t xml:space="preserve"> + i</t>
    </r>
    <r>
      <rPr>
        <vertAlign val="subscript"/>
        <sz val="11"/>
        <rFont val="Calibri"/>
        <family val="2"/>
        <scheme val="minor"/>
      </rPr>
      <t>P,XACP</t>
    </r>
    <r>
      <rPr>
        <sz val="11"/>
        <rFont val="Calibri"/>
        <family val="2"/>
        <scheme val="minor"/>
      </rPr>
      <t>*X</t>
    </r>
    <r>
      <rPr>
        <vertAlign val="subscript"/>
        <sz val="11"/>
        <rFont val="Calibri"/>
        <family val="2"/>
        <scheme val="minor"/>
      </rPr>
      <t>ACP</t>
    </r>
    <r>
      <rPr>
        <sz val="11"/>
        <rFont val="Calibri"/>
        <family val="2"/>
        <scheme val="minor"/>
      </rPr>
      <t xml:space="preserve"> + i</t>
    </r>
    <r>
      <rPr>
        <vertAlign val="subscript"/>
        <sz val="11"/>
        <rFont val="Calibri"/>
        <family val="2"/>
        <scheme val="minor"/>
      </rPr>
      <t>P,XVivi</t>
    </r>
    <r>
      <rPr>
        <sz val="11"/>
        <rFont val="Calibri"/>
        <family val="2"/>
        <scheme val="minor"/>
      </rPr>
      <t>*X</t>
    </r>
    <r>
      <rPr>
        <vertAlign val="subscript"/>
        <sz val="11"/>
        <rFont val="Calibri"/>
        <family val="2"/>
        <scheme val="minor"/>
      </rPr>
      <t>Vivi</t>
    </r>
    <r>
      <rPr>
        <sz val="11"/>
        <rFont val="Calibri"/>
        <family val="2"/>
        <charset val="238"/>
        <scheme val="minor"/>
      </rPr>
      <t xml:space="preserve"> + i</t>
    </r>
    <r>
      <rPr>
        <vertAlign val="subscript"/>
        <sz val="11"/>
        <rFont val="Calibri"/>
        <family val="2"/>
        <scheme val="minor"/>
      </rPr>
      <t>P,XBSH</t>
    </r>
    <r>
      <rPr>
        <sz val="11"/>
        <rFont val="Calibri"/>
        <family val="2"/>
        <charset val="238"/>
        <scheme val="minor"/>
      </rPr>
      <t>*X</t>
    </r>
    <r>
      <rPr>
        <vertAlign val="subscript"/>
        <sz val="11"/>
        <rFont val="Calibri"/>
        <family val="2"/>
        <scheme val="minor"/>
      </rPr>
      <t>BSH</t>
    </r>
  </si>
  <si>
    <t>CASTO with Phosphorus accumulating metabolism (PAM)</t>
  </si>
  <si>
    <t>CASTO with Glycogen accumulating metabolism (GAM)</t>
  </si>
  <si>
    <r>
      <t>(i</t>
    </r>
    <r>
      <rPr>
        <vertAlign val="subscript"/>
        <sz val="11"/>
        <rFont val="Calibri"/>
        <family val="2"/>
        <scheme val="minor"/>
      </rPr>
      <t>CV,BIO</t>
    </r>
    <r>
      <rPr>
        <sz val="11"/>
        <rFont val="Calibri"/>
        <family val="2"/>
        <scheme val="minor"/>
      </rPr>
      <t>-i</t>
    </r>
    <r>
      <rPr>
        <vertAlign val="subscript"/>
        <sz val="11"/>
        <rFont val="Calibri"/>
        <family val="2"/>
        <scheme val="minor"/>
      </rPr>
      <t>CV,XE</t>
    </r>
    <r>
      <rPr>
        <sz val="11"/>
        <rFont val="Calibri"/>
        <family val="2"/>
        <scheme val="minor"/>
      </rPr>
      <t>*f</t>
    </r>
    <r>
      <rPr>
        <vertAlign val="subscript"/>
        <sz val="11"/>
        <rFont val="Calibri"/>
        <family val="2"/>
        <scheme val="minor"/>
      </rPr>
      <t>E</t>
    </r>
    <r>
      <rPr>
        <sz val="11"/>
        <rFont val="Calibri"/>
        <family val="2"/>
        <scheme val="minor"/>
      </rPr>
      <t>)/(1-f</t>
    </r>
    <r>
      <rPr>
        <vertAlign val="subscript"/>
        <sz val="11"/>
        <rFont val="Calibri"/>
        <family val="2"/>
        <scheme val="minor"/>
      </rPr>
      <t>E</t>
    </r>
    <r>
      <rPr>
        <sz val="11"/>
        <rFont val="Calibri"/>
        <family val="2"/>
        <scheme val="minor"/>
      </rPr>
      <t>)</t>
    </r>
  </si>
  <si>
    <r>
      <t>(i</t>
    </r>
    <r>
      <rPr>
        <vertAlign val="subscript"/>
        <sz val="11"/>
        <rFont val="Calibri"/>
        <family val="2"/>
      </rPr>
      <t>CIT,SB,poly</t>
    </r>
    <r>
      <rPr>
        <sz val="11"/>
        <rFont val="Calibri"/>
        <family val="2"/>
      </rPr>
      <t>-i</t>
    </r>
    <r>
      <rPr>
        <vertAlign val="subscript"/>
        <sz val="11"/>
        <rFont val="Calibri"/>
        <family val="2"/>
      </rPr>
      <t>CIT,VFA</t>
    </r>
    <r>
      <rPr>
        <sz val="11"/>
        <rFont val="Calibri"/>
        <family val="2"/>
      </rPr>
      <t>*(1-Y</t>
    </r>
    <r>
      <rPr>
        <vertAlign val="subscript"/>
        <sz val="11"/>
        <rFont val="Calibri"/>
        <family val="2"/>
      </rPr>
      <t>CASTO,SB,ana</t>
    </r>
    <r>
      <rPr>
        <sz val="11"/>
        <rFont val="Calibri"/>
        <family val="2"/>
      </rPr>
      <t>-Y</t>
    </r>
    <r>
      <rPr>
        <vertAlign val="subscript"/>
        <sz val="11"/>
        <rFont val="Calibri"/>
        <family val="2"/>
      </rPr>
      <t>CASTO,H2,ana,high</t>
    </r>
    <r>
      <rPr>
        <sz val="11"/>
        <rFont val="Calibri"/>
        <family val="2"/>
      </rPr>
      <t>)-i</t>
    </r>
    <r>
      <rPr>
        <vertAlign val="subscript"/>
        <sz val="11"/>
        <rFont val="Calibri"/>
        <family val="2"/>
      </rPr>
      <t>CIT,PHA</t>
    </r>
    <r>
      <rPr>
        <sz val="11"/>
        <rFont val="Calibri"/>
        <family val="2"/>
      </rPr>
      <t>*Y</t>
    </r>
    <r>
      <rPr>
        <vertAlign val="subscript"/>
        <sz val="11"/>
        <rFont val="Calibri"/>
        <family val="2"/>
      </rPr>
      <t>CASTO,SB,ana</t>
    </r>
    <r>
      <rPr>
        <sz val="11"/>
        <rFont val="Calibri"/>
        <family val="2"/>
      </rPr>
      <t>)/Y</t>
    </r>
    <r>
      <rPr>
        <vertAlign val="subscript"/>
        <sz val="11"/>
        <rFont val="Calibri"/>
        <family val="2"/>
      </rPr>
      <t>CASTO,SB,ana</t>
    </r>
  </si>
  <si>
    <r>
      <t>(i</t>
    </r>
    <r>
      <rPr>
        <vertAlign val="subscript"/>
        <sz val="11"/>
        <rFont val="Calibri"/>
        <family val="2"/>
      </rPr>
      <t>CIT,SB,poly</t>
    </r>
    <r>
      <rPr>
        <sz val="11"/>
        <rFont val="Calibri"/>
        <family val="2"/>
      </rPr>
      <t>-i</t>
    </r>
    <r>
      <rPr>
        <vertAlign val="subscript"/>
        <sz val="11"/>
        <rFont val="Calibri"/>
        <family val="2"/>
      </rPr>
      <t>CIT,VFA</t>
    </r>
    <r>
      <rPr>
        <sz val="11"/>
        <rFont val="Calibri"/>
        <family val="2"/>
      </rPr>
      <t>*(1-Y</t>
    </r>
    <r>
      <rPr>
        <vertAlign val="subscript"/>
        <sz val="11"/>
        <rFont val="Calibri"/>
        <family val="2"/>
      </rPr>
      <t>CASTO,SB,ana</t>
    </r>
    <r>
      <rPr>
        <sz val="11"/>
        <rFont val="Calibri"/>
        <family val="2"/>
      </rPr>
      <t>-Y</t>
    </r>
    <r>
      <rPr>
        <vertAlign val="subscript"/>
        <sz val="11"/>
        <rFont val="Calibri"/>
        <family val="2"/>
      </rPr>
      <t>CASTO,H2,ana,low</t>
    </r>
    <r>
      <rPr>
        <sz val="11"/>
        <rFont val="Calibri"/>
        <family val="2"/>
      </rPr>
      <t>)-i</t>
    </r>
    <r>
      <rPr>
        <vertAlign val="subscript"/>
        <sz val="11"/>
        <rFont val="Calibri"/>
        <family val="2"/>
      </rPr>
      <t>CIT,PHA</t>
    </r>
    <r>
      <rPr>
        <sz val="11"/>
        <rFont val="Calibri"/>
        <family val="2"/>
      </rPr>
      <t>*Y</t>
    </r>
    <r>
      <rPr>
        <vertAlign val="subscript"/>
        <sz val="11"/>
        <rFont val="Calibri"/>
        <family val="2"/>
      </rPr>
      <t>CASTO,SB,ana</t>
    </r>
    <r>
      <rPr>
        <sz val="11"/>
        <rFont val="Calibri"/>
        <family val="2"/>
      </rPr>
      <t>)/Y</t>
    </r>
    <r>
      <rPr>
        <vertAlign val="subscript"/>
        <sz val="11"/>
        <rFont val="Calibri"/>
        <family val="2"/>
      </rPr>
      <t>CASTO,SB,ana</t>
    </r>
  </si>
  <si>
    <t>previously 0,30</t>
  </si>
  <si>
    <t>Key(940)</t>
  </si>
  <si>
    <r>
      <t>K</t>
    </r>
    <r>
      <rPr>
        <vertAlign val="subscript"/>
        <sz val="11"/>
        <rFont val="Calibri"/>
        <family val="2"/>
        <scheme val="minor"/>
      </rPr>
      <t>ORP,ana</t>
    </r>
  </si>
  <si>
    <t>Half-saturation of anaerobic activity for anaerobic ORP</t>
  </si>
  <si>
    <r>
      <t>ratio</t>
    </r>
    <r>
      <rPr>
        <vertAlign val="subscript"/>
        <sz val="11"/>
        <rFont val="Calibri"/>
        <family val="2"/>
      </rPr>
      <t>AAR,rbCODDR</t>
    </r>
  </si>
  <si>
    <t>rbCODDR to AAR ratio</t>
  </si>
  <si>
    <t>AAR/rbCODDR</t>
  </si>
  <si>
    <r>
      <t>ORP</t>
    </r>
    <r>
      <rPr>
        <vertAlign val="subscript"/>
        <sz val="11"/>
        <rFont val="Calibri"/>
        <family val="2"/>
      </rPr>
      <t>ana</t>
    </r>
  </si>
  <si>
    <t>Oxidation-reduction potential due to anaerobic activity</t>
  </si>
  <si>
    <r>
      <t>ORP</t>
    </r>
    <r>
      <rPr>
        <vertAlign val="subscript"/>
        <sz val="11"/>
        <rFont val="Calibri"/>
        <family val="2"/>
        <scheme val="minor"/>
      </rPr>
      <t xml:space="preserve">base </t>
    </r>
    <r>
      <rPr>
        <sz val="11"/>
        <rFont val="Calibri"/>
        <family val="2"/>
        <scheme val="minor"/>
      </rPr>
      <t>* (ratio</t>
    </r>
    <r>
      <rPr>
        <vertAlign val="subscript"/>
        <sz val="11"/>
        <rFont val="Calibri"/>
        <family val="2"/>
        <scheme val="minor"/>
      </rPr>
      <t>AAR,rbCODDR</t>
    </r>
    <r>
      <rPr>
        <sz val="11"/>
        <rFont val="Calibri"/>
        <family val="2"/>
        <scheme val="minor"/>
      </rPr>
      <t>)/(K</t>
    </r>
    <r>
      <rPr>
        <vertAlign val="subscript"/>
        <sz val="11"/>
        <rFont val="Calibri"/>
        <family val="2"/>
        <scheme val="minor"/>
      </rPr>
      <t xml:space="preserve">ORP,ana </t>
    </r>
    <r>
      <rPr>
        <sz val="11"/>
        <rFont val="Calibri"/>
        <family val="2"/>
        <scheme val="minor"/>
      </rPr>
      <t>+ ratio</t>
    </r>
    <r>
      <rPr>
        <vertAlign val="subscript"/>
        <sz val="11"/>
        <rFont val="Calibri"/>
        <family val="2"/>
        <scheme val="minor"/>
      </rPr>
      <t>AAR,rbCODDR</t>
    </r>
    <r>
      <rPr>
        <sz val="11"/>
        <rFont val="Calibri"/>
        <family val="2"/>
        <scheme val="minor"/>
      </rPr>
      <t>)</t>
    </r>
  </si>
  <si>
    <r>
      <t>Max(ORP</t>
    </r>
    <r>
      <rPr>
        <vertAlign val="subscript"/>
        <sz val="11"/>
        <rFont val="Calibri"/>
        <family val="2"/>
        <scheme val="minor"/>
      </rPr>
      <t>O2;</t>
    </r>
    <r>
      <rPr>
        <sz val="11"/>
        <rFont val="Calibri"/>
        <family val="2"/>
        <scheme val="minor"/>
      </rPr>
      <t>ORP</t>
    </r>
    <r>
      <rPr>
        <vertAlign val="subscript"/>
        <sz val="11"/>
        <rFont val="Calibri"/>
        <family val="2"/>
        <scheme val="minor"/>
      </rPr>
      <t>NOx;</t>
    </r>
    <r>
      <rPr>
        <sz val="11"/>
        <rFont val="Calibri"/>
        <family val="2"/>
        <scheme val="minor"/>
      </rPr>
      <t>ORP</t>
    </r>
    <r>
      <rPr>
        <vertAlign val="subscript"/>
        <sz val="11"/>
        <rFont val="Calibri"/>
        <family val="2"/>
        <scheme val="minor"/>
      </rPr>
      <t>ana</t>
    </r>
    <r>
      <rPr>
        <sz val="11"/>
        <rFont val="Calibri"/>
        <family val="2"/>
        <scheme val="minor"/>
      </rPr>
      <t>)</t>
    </r>
  </si>
  <si>
    <t>rbCODDR</t>
  </si>
  <si>
    <t>rbCOD degradation rate (rbCODDR)</t>
  </si>
  <si>
    <r>
      <t>g COD.m</t>
    </r>
    <r>
      <rPr>
        <vertAlign val="superscript"/>
        <sz val="11"/>
        <rFont val="Calibri"/>
        <family val="2"/>
        <scheme val="minor"/>
      </rPr>
      <t>-3</t>
    </r>
    <r>
      <rPr>
        <sz val="11"/>
        <rFont val="Calibri"/>
        <family val="2"/>
        <scheme val="minor"/>
      </rPr>
      <t>.d</t>
    </r>
    <r>
      <rPr>
        <vertAlign val="superscript"/>
        <sz val="11"/>
        <rFont val="Calibri"/>
        <family val="2"/>
        <scheme val="minor"/>
      </rPr>
      <t>-1</t>
    </r>
  </si>
  <si>
    <t>AAR</t>
  </si>
  <si>
    <t>Anaerobic activity rate (AAR)</t>
  </si>
  <si>
    <r>
      <t>v7_S</t>
    </r>
    <r>
      <rPr>
        <vertAlign val="subscript"/>
        <sz val="11"/>
        <rFont val="Calibri"/>
        <family val="2"/>
        <scheme val="minor"/>
      </rPr>
      <t>H2</t>
    </r>
    <r>
      <rPr>
        <sz val="11"/>
        <rFont val="Calibri"/>
        <family val="2"/>
        <scheme val="minor"/>
      </rPr>
      <t xml:space="preserve"> * r7 + v8_S</t>
    </r>
    <r>
      <rPr>
        <vertAlign val="subscript"/>
        <sz val="11"/>
        <rFont val="Calibri"/>
        <family val="2"/>
        <scheme val="minor"/>
      </rPr>
      <t>H2</t>
    </r>
    <r>
      <rPr>
        <sz val="11"/>
        <rFont val="Calibri"/>
        <family val="2"/>
        <scheme val="minor"/>
      </rPr>
      <t xml:space="preserve"> * r8 + v37_S</t>
    </r>
    <r>
      <rPr>
        <vertAlign val="subscript"/>
        <sz val="11"/>
        <rFont val="Calibri"/>
        <family val="2"/>
        <scheme val="minor"/>
      </rPr>
      <t>H2</t>
    </r>
    <r>
      <rPr>
        <sz val="11"/>
        <rFont val="Calibri"/>
        <family val="2"/>
        <scheme val="minor"/>
      </rPr>
      <t xml:space="preserve"> * r37 + v38_S</t>
    </r>
    <r>
      <rPr>
        <vertAlign val="subscript"/>
        <sz val="11"/>
        <rFont val="Calibri"/>
        <family val="2"/>
        <scheme val="minor"/>
      </rPr>
      <t>H2</t>
    </r>
    <r>
      <rPr>
        <sz val="11"/>
        <rFont val="Calibri"/>
        <family val="2"/>
        <scheme val="minor"/>
      </rPr>
      <t xml:space="preserve"> * r38 + v51_S</t>
    </r>
    <r>
      <rPr>
        <vertAlign val="subscript"/>
        <sz val="11"/>
        <rFont val="Calibri"/>
        <family val="2"/>
        <scheme val="minor"/>
      </rPr>
      <t>CH4</t>
    </r>
    <r>
      <rPr>
        <sz val="11"/>
        <rFont val="Calibri"/>
        <family val="2"/>
        <scheme val="minor"/>
      </rPr>
      <t xml:space="preserve"> * r51 + v54_S</t>
    </r>
    <r>
      <rPr>
        <vertAlign val="subscript"/>
        <sz val="11"/>
        <rFont val="Calibri"/>
        <family val="2"/>
        <scheme val="minor"/>
      </rPr>
      <t>CH4</t>
    </r>
    <r>
      <rPr>
        <sz val="11"/>
        <rFont val="Calibri"/>
        <family val="2"/>
        <scheme val="minor"/>
      </rPr>
      <t xml:space="preserve"> * r54</t>
    </r>
  </si>
  <si>
    <r>
      <t>-(v1_S</t>
    </r>
    <r>
      <rPr>
        <vertAlign val="subscript"/>
        <sz val="11"/>
        <rFont val="Calibri"/>
        <family val="2"/>
        <scheme val="minor"/>
      </rPr>
      <t>VFA</t>
    </r>
    <r>
      <rPr>
        <sz val="11"/>
        <rFont val="Calibri"/>
        <family val="2"/>
        <scheme val="minor"/>
      </rPr>
      <t xml:space="preserve"> * r1 + v2_S</t>
    </r>
    <r>
      <rPr>
        <vertAlign val="subscript"/>
        <sz val="11"/>
        <rFont val="Calibri"/>
        <family val="2"/>
        <scheme val="minor"/>
      </rPr>
      <t>VFA</t>
    </r>
    <r>
      <rPr>
        <sz val="11"/>
        <rFont val="Calibri"/>
        <family val="2"/>
        <scheme val="minor"/>
      </rPr>
      <t xml:space="preserve"> * r2 + v3_S</t>
    </r>
    <r>
      <rPr>
        <vertAlign val="subscript"/>
        <sz val="11"/>
        <rFont val="Calibri"/>
        <family val="2"/>
        <scheme val="minor"/>
      </rPr>
      <t>VFA</t>
    </r>
    <r>
      <rPr>
        <sz val="11"/>
        <rFont val="Calibri"/>
        <family val="2"/>
        <scheme val="minor"/>
      </rPr>
      <t xml:space="preserve"> * r3 + v13_S</t>
    </r>
    <r>
      <rPr>
        <vertAlign val="subscript"/>
        <sz val="11"/>
        <rFont val="Calibri"/>
        <family val="2"/>
        <scheme val="minor"/>
      </rPr>
      <t>VFA</t>
    </r>
    <r>
      <rPr>
        <sz val="11"/>
        <rFont val="Calibri"/>
        <family val="2"/>
        <scheme val="minor"/>
      </rPr>
      <t xml:space="preserve"> * r13 + v30_S</t>
    </r>
    <r>
      <rPr>
        <vertAlign val="subscript"/>
        <sz val="11"/>
        <rFont val="Calibri"/>
        <family val="2"/>
        <scheme val="minor"/>
      </rPr>
      <t>VFA</t>
    </r>
    <r>
      <rPr>
        <sz val="11"/>
        <rFont val="Calibri"/>
        <family val="2"/>
        <scheme val="minor"/>
      </rPr>
      <t xml:space="preserve"> * 30 + v31_S</t>
    </r>
    <r>
      <rPr>
        <vertAlign val="subscript"/>
        <sz val="11"/>
        <rFont val="Calibri"/>
        <family val="2"/>
        <scheme val="minor"/>
      </rPr>
      <t>VFA</t>
    </r>
    <r>
      <rPr>
        <sz val="11"/>
        <rFont val="Calibri"/>
        <family val="2"/>
        <scheme val="minor"/>
      </rPr>
      <t xml:space="preserve"> * r31 + v51_S</t>
    </r>
    <r>
      <rPr>
        <vertAlign val="subscript"/>
        <sz val="11"/>
        <rFont val="Calibri"/>
        <family val="2"/>
        <scheme val="minor"/>
      </rPr>
      <t>VFA</t>
    </r>
    <r>
      <rPr>
        <sz val="11"/>
        <rFont val="Calibri"/>
        <family val="2"/>
        <scheme val="minor"/>
      </rPr>
      <t xml:space="preserve"> * r51   + v4_S</t>
    </r>
    <r>
      <rPr>
        <vertAlign val="subscript"/>
        <sz val="11"/>
        <rFont val="Calibri"/>
        <family val="2"/>
        <scheme val="minor"/>
      </rPr>
      <t>B,poly</t>
    </r>
    <r>
      <rPr>
        <sz val="11"/>
        <rFont val="Calibri"/>
        <family val="2"/>
        <scheme val="minor"/>
      </rPr>
      <t xml:space="preserve"> * r4 + v5_S</t>
    </r>
    <r>
      <rPr>
        <vertAlign val="subscript"/>
        <sz val="11"/>
        <rFont val="Calibri"/>
        <family val="2"/>
        <scheme val="minor"/>
      </rPr>
      <t>B,poly</t>
    </r>
    <r>
      <rPr>
        <sz val="11"/>
        <rFont val="Calibri"/>
        <family val="2"/>
        <scheme val="minor"/>
      </rPr>
      <t xml:space="preserve"> * r5 + v6_S</t>
    </r>
    <r>
      <rPr>
        <vertAlign val="subscript"/>
        <sz val="11"/>
        <rFont val="Calibri"/>
        <family val="2"/>
        <scheme val="minor"/>
      </rPr>
      <t>B,poly</t>
    </r>
    <r>
      <rPr>
        <sz val="11"/>
        <rFont val="Calibri"/>
        <family val="2"/>
        <scheme val="minor"/>
      </rPr>
      <t xml:space="preserve"> * r6 + v7_S</t>
    </r>
    <r>
      <rPr>
        <vertAlign val="subscript"/>
        <sz val="11"/>
        <rFont val="Calibri"/>
        <family val="2"/>
        <scheme val="minor"/>
      </rPr>
      <t>B,poly</t>
    </r>
    <r>
      <rPr>
        <sz val="11"/>
        <rFont val="Calibri"/>
        <family val="2"/>
        <scheme val="minor"/>
      </rPr>
      <t xml:space="preserve"> * r7 + v8_S</t>
    </r>
    <r>
      <rPr>
        <vertAlign val="subscript"/>
        <sz val="11"/>
        <rFont val="Calibri"/>
        <family val="2"/>
        <scheme val="minor"/>
      </rPr>
      <t>B,poly</t>
    </r>
    <r>
      <rPr>
        <sz val="11"/>
        <rFont val="Calibri"/>
        <family val="2"/>
        <scheme val="minor"/>
      </rPr>
      <t xml:space="preserve"> * r8 + v37_S</t>
    </r>
    <r>
      <rPr>
        <vertAlign val="subscript"/>
        <sz val="11"/>
        <rFont val="Calibri"/>
        <family val="2"/>
        <scheme val="minor"/>
      </rPr>
      <t>B,poly</t>
    </r>
    <r>
      <rPr>
        <sz val="11"/>
        <rFont val="Calibri"/>
        <family val="2"/>
        <scheme val="minor"/>
      </rPr>
      <t xml:space="preserve"> * r37 + v38_S</t>
    </r>
    <r>
      <rPr>
        <vertAlign val="subscript"/>
        <sz val="11"/>
        <rFont val="Calibri"/>
        <family val="2"/>
        <scheme val="minor"/>
      </rPr>
      <t>B,poly</t>
    </r>
    <r>
      <rPr>
        <sz val="11"/>
        <rFont val="Calibri"/>
        <family val="2"/>
        <scheme val="minor"/>
      </rPr>
      <t xml:space="preserve"> * r38 + v12_S</t>
    </r>
    <r>
      <rPr>
        <vertAlign val="subscript"/>
        <sz val="11"/>
        <rFont val="Calibri"/>
        <family val="2"/>
        <scheme val="minor"/>
      </rPr>
      <t>B,mono</t>
    </r>
    <r>
      <rPr>
        <sz val="11"/>
        <rFont val="Calibri"/>
        <family val="2"/>
        <scheme val="minor"/>
      </rPr>
      <t xml:space="preserve"> * r12  + v9_S</t>
    </r>
    <r>
      <rPr>
        <vertAlign val="subscript"/>
        <sz val="11"/>
        <rFont val="Calibri"/>
        <family val="2"/>
        <scheme val="minor"/>
      </rPr>
      <t>MEOL</t>
    </r>
    <r>
      <rPr>
        <sz val="11"/>
        <rFont val="Calibri"/>
        <family val="2"/>
        <scheme val="minor"/>
      </rPr>
      <t xml:space="preserve"> * r9 + v17_S</t>
    </r>
    <r>
      <rPr>
        <vertAlign val="subscript"/>
        <sz val="11"/>
        <rFont val="Calibri"/>
        <family val="2"/>
        <scheme val="minor"/>
      </rPr>
      <t>MEOL</t>
    </r>
    <r>
      <rPr>
        <sz val="11"/>
        <rFont val="Calibri"/>
        <family val="2"/>
        <scheme val="minor"/>
      </rPr>
      <t xml:space="preserve"> * r17 + v18_S</t>
    </r>
    <r>
      <rPr>
        <vertAlign val="subscript"/>
        <sz val="11"/>
        <rFont val="Calibri"/>
        <family val="2"/>
        <scheme val="minor"/>
      </rPr>
      <t>MEOL</t>
    </r>
    <r>
      <rPr>
        <sz val="11"/>
        <rFont val="Calibri"/>
        <family val="2"/>
        <scheme val="minor"/>
      </rPr>
      <t xml:space="preserve"> * r18 )</t>
    </r>
  </si>
  <si>
    <r>
      <t>X</t>
    </r>
    <r>
      <rPr>
        <vertAlign val="subscript"/>
        <sz val="11"/>
        <rFont val="Calibri"/>
        <family val="2"/>
      </rPr>
      <t>B</t>
    </r>
    <r>
      <rPr>
        <sz val="11"/>
        <rFont val="Calibri"/>
        <family val="2"/>
      </rPr>
      <t xml:space="preserve"> + X</t>
    </r>
    <r>
      <rPr>
        <vertAlign val="subscript"/>
        <sz val="11"/>
        <rFont val="Calibri"/>
        <family val="2"/>
      </rPr>
      <t>B,e</t>
    </r>
    <r>
      <rPr>
        <sz val="11"/>
        <rFont val="Calibri"/>
        <family val="2"/>
      </rPr>
      <t xml:space="preserve"> + C</t>
    </r>
    <r>
      <rPr>
        <vertAlign val="subscript"/>
        <sz val="11"/>
        <rFont val="Calibri"/>
        <family val="2"/>
      </rPr>
      <t>B</t>
    </r>
  </si>
  <si>
    <t>Half-saturation of MEOL for MEOLOs under nitrite reduction</t>
  </si>
  <si>
    <t>Balances per processes</t>
  </si>
  <si>
    <r>
      <t>µ</t>
    </r>
    <r>
      <rPr>
        <vertAlign val="subscript"/>
        <sz val="11"/>
        <rFont val="Calibri"/>
        <family val="2"/>
      </rPr>
      <t>OHO,T</t>
    </r>
    <r>
      <rPr>
        <sz val="11"/>
        <rFont val="Calibri"/>
        <family val="2"/>
      </rPr>
      <t>*X</t>
    </r>
    <r>
      <rPr>
        <vertAlign val="subscript"/>
        <sz val="11"/>
        <rFont val="Calibri"/>
        <family val="2"/>
      </rPr>
      <t>OHO</t>
    </r>
    <r>
      <rPr>
        <sz val="11"/>
        <rFont val="Calibri"/>
        <family val="2"/>
      </rPr>
      <t>*</t>
    </r>
    <r>
      <rPr>
        <sz val="11"/>
        <color rgb="FFFF0000"/>
        <rFont val="Calibri"/>
        <family val="2"/>
        <charset val="238"/>
      </rPr>
      <t>η</t>
    </r>
    <r>
      <rPr>
        <vertAlign val="subscript"/>
        <sz val="11"/>
        <color rgb="FFFF0000"/>
        <rFont val="Calibri"/>
        <family val="2"/>
        <charset val="238"/>
      </rPr>
      <t>OHO,anox,NO2red</t>
    </r>
    <r>
      <rPr>
        <sz val="11"/>
        <rFont val="Calibri"/>
        <family val="2"/>
      </rPr>
      <t>*Msat</t>
    </r>
    <r>
      <rPr>
        <vertAlign val="subscript"/>
        <sz val="11"/>
        <rFont val="Calibri"/>
        <family val="2"/>
      </rPr>
      <t>SVFA,KVFA</t>
    </r>
    <r>
      <rPr>
        <sz val="11"/>
        <rFont val="Calibri"/>
        <family val="2"/>
      </rPr>
      <t>*Msat</t>
    </r>
    <r>
      <rPr>
        <vertAlign val="subscript"/>
        <sz val="11"/>
        <rFont val="Calibri"/>
        <family val="2"/>
      </rPr>
      <t>SNO2,KNO2,OHO</t>
    </r>
    <r>
      <rPr>
        <sz val="11"/>
        <rFont val="Calibri"/>
        <family val="2"/>
      </rPr>
      <t>*</t>
    </r>
    <r>
      <rPr>
        <sz val="11"/>
        <color rgb="FFFF0000"/>
        <rFont val="Calibri"/>
        <family val="2"/>
        <charset val="238"/>
      </rPr>
      <t>(Loginh</t>
    </r>
    <r>
      <rPr>
        <vertAlign val="subscript"/>
        <sz val="11"/>
        <color rgb="FFFF0000"/>
        <rFont val="Calibri"/>
        <family val="2"/>
      </rPr>
      <t>SNO3,KNO3,OHO</t>
    </r>
    <r>
      <rPr>
        <sz val="11"/>
        <color rgb="FFFF0000"/>
        <rFont val="Calibri"/>
        <family val="2"/>
        <charset val="238"/>
      </rPr>
      <t>*Loginh</t>
    </r>
    <r>
      <rPr>
        <vertAlign val="subscript"/>
        <sz val="11"/>
        <color rgb="FFFF0000"/>
        <rFont val="Calibri"/>
        <family val="2"/>
      </rPr>
      <t>SVFA,KVFA,OHO,SNO2</t>
    </r>
    <r>
      <rPr>
        <sz val="11"/>
        <color rgb="FFFF0000"/>
        <rFont val="Calibri"/>
        <family val="2"/>
        <charset val="238"/>
      </rPr>
      <t>+Logsat</t>
    </r>
    <r>
      <rPr>
        <vertAlign val="subscript"/>
        <sz val="11"/>
        <color rgb="FFFF0000"/>
        <rFont val="Calibri"/>
        <family val="2"/>
      </rPr>
      <t>SVFA,KVFA,OHO,SNO2</t>
    </r>
    <r>
      <rPr>
        <sz val="11"/>
        <color rgb="FFFF0000"/>
        <rFont val="Calibri"/>
        <family val="2"/>
        <charset val="238"/>
      </rPr>
      <t>)</t>
    </r>
    <r>
      <rPr>
        <sz val="11"/>
        <rFont val="Calibri"/>
        <family val="2"/>
      </rPr>
      <t>*Minh</t>
    </r>
    <r>
      <rPr>
        <vertAlign val="subscript"/>
        <sz val="11"/>
        <rFont val="Calibri"/>
        <family val="2"/>
      </rPr>
      <t>SO2,KO2,OHO</t>
    </r>
    <r>
      <rPr>
        <sz val="11"/>
        <rFont val="Calibri"/>
        <family val="2"/>
      </rPr>
      <t>*Msat</t>
    </r>
    <r>
      <rPr>
        <vertAlign val="subscript"/>
        <sz val="11"/>
        <rFont val="Calibri"/>
        <family val="2"/>
      </rPr>
      <t>SNHx,KNHx,BIO</t>
    </r>
    <r>
      <rPr>
        <sz val="11"/>
        <rFont val="Calibri"/>
        <family val="2"/>
      </rPr>
      <t>*Msat</t>
    </r>
    <r>
      <rPr>
        <vertAlign val="subscript"/>
        <sz val="11"/>
        <rFont val="Calibri"/>
        <family val="2"/>
      </rPr>
      <t>SPO4,KPO4,BIO</t>
    </r>
    <r>
      <rPr>
        <sz val="11"/>
        <rFont val="Calibri"/>
        <family val="2"/>
      </rPr>
      <t>*Msat</t>
    </r>
    <r>
      <rPr>
        <vertAlign val="subscript"/>
        <sz val="11"/>
        <rFont val="Calibri"/>
        <family val="2"/>
      </rPr>
      <t>SCAT,KCAT</t>
    </r>
    <r>
      <rPr>
        <sz val="11"/>
        <rFont val="Calibri"/>
        <family val="2"/>
      </rPr>
      <t>*Msat</t>
    </r>
    <r>
      <rPr>
        <vertAlign val="subscript"/>
        <sz val="11"/>
        <rFont val="Calibri"/>
        <family val="2"/>
      </rPr>
      <t>SAN,KAN</t>
    </r>
    <r>
      <rPr>
        <sz val="11"/>
        <rFont val="Calibri"/>
        <family val="2"/>
      </rPr>
      <t>*Msat</t>
    </r>
    <r>
      <rPr>
        <vertAlign val="subscript"/>
        <sz val="11"/>
        <rFont val="Calibri"/>
        <family val="2"/>
      </rPr>
      <t>SCa,KCa</t>
    </r>
    <r>
      <rPr>
        <sz val="11"/>
        <rFont val="Calibri"/>
        <family val="2"/>
      </rPr>
      <t>*Msat</t>
    </r>
    <r>
      <rPr>
        <vertAlign val="subscript"/>
        <sz val="11"/>
        <rFont val="Calibri"/>
        <family val="2"/>
      </rPr>
      <t>SMg,KMg</t>
    </r>
    <r>
      <rPr>
        <sz val="11"/>
        <rFont val="Calibri"/>
        <family val="2"/>
      </rPr>
      <t>*Bellinh</t>
    </r>
    <r>
      <rPr>
        <vertAlign val="subscript"/>
        <sz val="11"/>
        <rFont val="Calibri"/>
        <family val="2"/>
      </rPr>
      <t>pH</t>
    </r>
  </si>
  <si>
    <r>
      <t>µ</t>
    </r>
    <r>
      <rPr>
        <vertAlign val="subscript"/>
        <sz val="11"/>
        <rFont val="Calibri"/>
        <family val="2"/>
      </rPr>
      <t>MEOLO,T</t>
    </r>
    <r>
      <rPr>
        <sz val="11"/>
        <rFont val="Calibri"/>
        <family val="2"/>
      </rPr>
      <t>*X</t>
    </r>
    <r>
      <rPr>
        <vertAlign val="subscript"/>
        <sz val="11"/>
        <rFont val="Calibri"/>
        <family val="2"/>
      </rPr>
      <t>MEOLO</t>
    </r>
    <r>
      <rPr>
        <sz val="11"/>
        <rFont val="Calibri"/>
        <family val="2"/>
      </rPr>
      <t>*Msat</t>
    </r>
    <r>
      <rPr>
        <vertAlign val="subscript"/>
        <sz val="11"/>
        <rFont val="Calibri"/>
        <family val="2"/>
      </rPr>
      <t>SMEOL,KMEOL</t>
    </r>
    <r>
      <rPr>
        <sz val="11"/>
        <rFont val="Calibri"/>
        <family val="2"/>
      </rPr>
      <t>*Msat</t>
    </r>
    <r>
      <rPr>
        <vertAlign val="subscript"/>
        <sz val="11"/>
        <rFont val="Calibri"/>
        <family val="2"/>
      </rPr>
      <t>SNO2,KNO2,MEOLO</t>
    </r>
    <r>
      <rPr>
        <sz val="11"/>
        <rFont val="Calibri"/>
        <family val="2"/>
      </rPr>
      <t>*</t>
    </r>
    <r>
      <rPr>
        <sz val="11"/>
        <color rgb="FFFF0000"/>
        <rFont val="Calibri"/>
        <family val="2"/>
        <charset val="238"/>
      </rPr>
      <t>(Loginh</t>
    </r>
    <r>
      <rPr>
        <vertAlign val="subscript"/>
        <sz val="11"/>
        <color rgb="FFFF0000"/>
        <rFont val="Calibri"/>
        <family val="2"/>
      </rPr>
      <t>SNO3,KNO3,MEOLO</t>
    </r>
    <r>
      <rPr>
        <sz val="11"/>
        <color rgb="FFFF0000"/>
        <rFont val="Calibri"/>
        <family val="2"/>
        <charset val="238"/>
      </rPr>
      <t>*Loginh</t>
    </r>
    <r>
      <rPr>
        <vertAlign val="subscript"/>
        <sz val="11"/>
        <color rgb="FFFF0000"/>
        <rFont val="Calibri"/>
        <family val="2"/>
      </rPr>
      <t>SMEOL,KMEOL,SNO2</t>
    </r>
    <r>
      <rPr>
        <sz val="11"/>
        <color rgb="FFFF0000"/>
        <rFont val="Calibri"/>
        <family val="2"/>
        <charset val="238"/>
      </rPr>
      <t>+Logsat</t>
    </r>
    <r>
      <rPr>
        <vertAlign val="subscript"/>
        <sz val="11"/>
        <color rgb="FFFF0000"/>
        <rFont val="Calibri"/>
        <family val="2"/>
      </rPr>
      <t>SMEOL,KMEOL,SNO2</t>
    </r>
    <r>
      <rPr>
        <sz val="11"/>
        <color rgb="FFFF0000"/>
        <rFont val="Calibri"/>
        <family val="2"/>
        <charset val="238"/>
      </rPr>
      <t>)</t>
    </r>
    <r>
      <rPr>
        <sz val="11"/>
        <rFont val="Calibri"/>
        <family val="2"/>
        <charset val="238"/>
      </rPr>
      <t>*</t>
    </r>
    <r>
      <rPr>
        <sz val="11"/>
        <rFont val="Calibri"/>
        <family val="2"/>
      </rPr>
      <t>Minh</t>
    </r>
    <r>
      <rPr>
        <vertAlign val="subscript"/>
        <sz val="11"/>
        <rFont val="Calibri"/>
        <family val="2"/>
      </rPr>
      <t>SO2,KiO2,MEOLO</t>
    </r>
    <r>
      <rPr>
        <sz val="11"/>
        <rFont val="Calibri"/>
        <family val="2"/>
      </rPr>
      <t>*Msat</t>
    </r>
    <r>
      <rPr>
        <vertAlign val="subscript"/>
        <sz val="11"/>
        <rFont val="Calibri"/>
        <family val="2"/>
      </rPr>
      <t>SNHx,KNHx,BIO</t>
    </r>
    <r>
      <rPr>
        <sz val="11"/>
        <rFont val="Calibri"/>
        <family val="2"/>
      </rPr>
      <t>*Msat</t>
    </r>
    <r>
      <rPr>
        <vertAlign val="subscript"/>
        <sz val="11"/>
        <rFont val="Calibri"/>
        <family val="2"/>
      </rPr>
      <t>SPO4,KPO4,BIO</t>
    </r>
    <r>
      <rPr>
        <sz val="11"/>
        <rFont val="Calibri"/>
        <family val="2"/>
      </rPr>
      <t>*Msat</t>
    </r>
    <r>
      <rPr>
        <vertAlign val="subscript"/>
        <sz val="11"/>
        <rFont val="Calibri"/>
        <family val="2"/>
      </rPr>
      <t>SCAT,KCAT</t>
    </r>
    <r>
      <rPr>
        <sz val="11"/>
        <rFont val="Calibri"/>
        <family val="2"/>
      </rPr>
      <t>*Msat</t>
    </r>
    <r>
      <rPr>
        <vertAlign val="subscript"/>
        <sz val="11"/>
        <rFont val="Calibri"/>
        <family val="2"/>
      </rPr>
      <t>SAN,KAN</t>
    </r>
    <r>
      <rPr>
        <sz val="11"/>
        <rFont val="Calibri"/>
        <family val="2"/>
      </rPr>
      <t>*Msat</t>
    </r>
    <r>
      <rPr>
        <vertAlign val="subscript"/>
        <sz val="11"/>
        <rFont val="Calibri"/>
        <family val="2"/>
      </rPr>
      <t>SCa,KCa</t>
    </r>
    <r>
      <rPr>
        <sz val="11"/>
        <rFont val="Calibri"/>
        <family val="2"/>
      </rPr>
      <t>*Msat</t>
    </r>
    <r>
      <rPr>
        <vertAlign val="subscript"/>
        <sz val="11"/>
        <rFont val="Calibri"/>
        <family val="2"/>
      </rPr>
      <t>SMg,KMg</t>
    </r>
    <r>
      <rPr>
        <sz val="11"/>
        <rFont val="Calibri"/>
        <family val="2"/>
      </rPr>
      <t>*Bellinh</t>
    </r>
    <r>
      <rPr>
        <vertAlign val="subscript"/>
        <sz val="11"/>
        <rFont val="Calibri"/>
        <family val="2"/>
      </rPr>
      <t>pH</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</si>
</sst>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8" formatCode="#,##0.00\ &quot;€&quot;;[Red]\-#,##0.00\ &quot;€&quot;"/>
    <numFmt numFmtId="164" formatCode="0.0"/>
    <numFmt numFmtId="165" formatCode="0.0000"/>
    <numFmt numFmtId="166" formatCode="0.000"/>
    <numFmt numFmtId="167" formatCode="0.000E+00"/>
    <numFmt numFmtId="168" formatCode="0.00000"/>
    <numFmt numFmtId="169" formatCode="0.000000"/>
  </numFmts>
  <fonts count="116" x14ac:knownFonts="1">
    <font>
      <sz val="11"/>
      <color indexed="8"/>
      <name val="Calibri"/>
      <family val="2"/>
    </font>
    <font>
      <sz val="11"/>
      <color theme="1"/>
      <name val="Calibri"/>
      <family val="2"/>
      <scheme val="minor"/>
    </font>
    <font>
      <sz val="11"/>
      <color theme="1"/>
      <name val="Calibri"/>
      <family val="2"/>
      <scheme val="minor"/>
    </font>
    <font>
      <sz val="11"/>
      <color theme="1"/>
      <name val="Calibri"/>
      <family val="2"/>
      <charset val="238"/>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1"/>
      <color indexed="8"/>
      <name val="Calibri"/>
      <family val="2"/>
    </font>
    <font>
      <b/>
      <i/>
      <sz val="11"/>
      <color indexed="8"/>
      <name val="Calibri"/>
      <family val="2"/>
    </font>
    <font>
      <sz val="8"/>
      <name val="Calibri"/>
      <family val="2"/>
    </font>
    <font>
      <sz val="11"/>
      <color indexed="8"/>
      <name val="Arial"/>
      <family val="2"/>
      <charset val="238"/>
    </font>
    <font>
      <b/>
      <sz val="11"/>
      <color indexed="8"/>
      <name val="Arial"/>
      <family val="2"/>
    </font>
    <font>
      <sz val="11"/>
      <color rgb="FFFF0000"/>
      <name val="Calibri"/>
      <family val="2"/>
    </font>
    <font>
      <b/>
      <sz val="11"/>
      <color theme="1"/>
      <name val="Calibri"/>
      <family val="2"/>
      <scheme val="minor"/>
    </font>
    <font>
      <vertAlign val="subscript"/>
      <sz val="11"/>
      <color indexed="8"/>
      <name val="Calibri"/>
      <family val="2"/>
      <charset val="238"/>
    </font>
    <font>
      <b/>
      <sz val="11"/>
      <color indexed="8"/>
      <name val="Calibri"/>
      <family val="2"/>
      <charset val="238"/>
    </font>
    <font>
      <sz val="11"/>
      <color indexed="8"/>
      <name val="Calibri"/>
      <family val="2"/>
      <charset val="238"/>
    </font>
    <font>
      <b/>
      <sz val="14"/>
      <color indexed="8"/>
      <name val="Calibri"/>
      <family val="2"/>
      <charset val="238"/>
    </font>
    <font>
      <b/>
      <sz val="11"/>
      <color rgb="FF002060"/>
      <name val="Calibri"/>
      <family val="2"/>
    </font>
    <font>
      <sz val="11"/>
      <color rgb="FFC00000"/>
      <name val="Calibri"/>
      <family val="2"/>
    </font>
    <font>
      <sz val="11"/>
      <color theme="1"/>
      <name val="Calibri"/>
      <family val="2"/>
    </font>
    <font>
      <sz val="11"/>
      <color indexed="8"/>
      <name val="Calibri"/>
      <family val="2"/>
    </font>
    <font>
      <b/>
      <sz val="11"/>
      <color rgb="FFFF0000"/>
      <name val="Calibri"/>
      <family val="2"/>
      <scheme val="minor"/>
    </font>
    <font>
      <sz val="10"/>
      <name val="Arial"/>
      <family val="2"/>
    </font>
    <font>
      <sz val="11"/>
      <name val="Calibri"/>
      <family val="2"/>
    </font>
    <font>
      <sz val="11"/>
      <color indexed="8"/>
      <name val="Arial"/>
      <family val="2"/>
    </font>
    <font>
      <b/>
      <sz val="11"/>
      <name val="Calibri"/>
      <family val="2"/>
    </font>
    <font>
      <sz val="11"/>
      <name val="Calibri"/>
      <family val="2"/>
      <scheme val="minor"/>
    </font>
    <font>
      <vertAlign val="subscript"/>
      <sz val="11"/>
      <color indexed="8"/>
      <name val="Calibri"/>
      <family val="2"/>
    </font>
    <font>
      <vertAlign val="subscript"/>
      <sz val="11"/>
      <color indexed="8"/>
      <name val="Calibri"/>
      <family val="2"/>
      <scheme val="minor"/>
    </font>
    <font>
      <u/>
      <sz val="11"/>
      <color theme="10"/>
      <name val="Calibri"/>
      <family val="2"/>
    </font>
    <font>
      <sz val="11"/>
      <color indexed="8"/>
      <name val="Calibri"/>
      <family val="2"/>
      <scheme val="minor"/>
    </font>
    <font>
      <vertAlign val="subscript"/>
      <sz val="11"/>
      <name val="Calibri"/>
      <family val="2"/>
    </font>
    <font>
      <sz val="11"/>
      <color rgb="FF00B050"/>
      <name val="Calibri"/>
      <family val="2"/>
    </font>
    <font>
      <b/>
      <sz val="11"/>
      <color indexed="8"/>
      <name val="Calibri"/>
      <family val="2"/>
      <scheme val="minor"/>
    </font>
    <font>
      <b/>
      <sz val="11"/>
      <name val="Calibri"/>
      <family val="2"/>
      <scheme val="minor"/>
    </font>
    <font>
      <vertAlign val="subscript"/>
      <sz val="11"/>
      <name val="Calibri"/>
      <family val="2"/>
      <scheme val="minor"/>
    </font>
    <font>
      <vertAlign val="superscript"/>
      <sz val="11"/>
      <name val="Calibri"/>
      <family val="2"/>
    </font>
    <font>
      <vertAlign val="superscript"/>
      <sz val="11"/>
      <name val="Calibri"/>
      <family val="2"/>
      <scheme val="minor"/>
    </font>
    <font>
      <b/>
      <sz val="12"/>
      <name val="Calibri"/>
      <family val="2"/>
      <scheme val="minor"/>
    </font>
    <font>
      <b/>
      <vertAlign val="subscript"/>
      <sz val="12"/>
      <name val="Calibri"/>
      <family val="2"/>
      <scheme val="minor"/>
    </font>
    <font>
      <vertAlign val="subscript"/>
      <sz val="11"/>
      <name val="Calibri"/>
      <family val="2"/>
      <charset val="238"/>
      <scheme val="minor"/>
    </font>
    <font>
      <b/>
      <i/>
      <sz val="11"/>
      <name val="Calibri"/>
      <family val="2"/>
      <scheme val="minor"/>
    </font>
    <font>
      <b/>
      <vertAlign val="superscript"/>
      <sz val="11"/>
      <name val="Calibri"/>
      <family val="2"/>
    </font>
    <font>
      <b/>
      <vertAlign val="subscript"/>
      <sz val="11"/>
      <name val="Calibri"/>
      <family val="2"/>
    </font>
    <font>
      <b/>
      <sz val="11"/>
      <name val="Calibri"/>
      <family val="2"/>
      <charset val="238"/>
    </font>
    <font>
      <b/>
      <vertAlign val="subscript"/>
      <sz val="11"/>
      <name val="Calibri"/>
      <family val="2"/>
      <charset val="238"/>
    </font>
    <font>
      <vertAlign val="subscript"/>
      <sz val="11"/>
      <name val="Calibri"/>
      <family val="2"/>
      <charset val="238"/>
    </font>
    <font>
      <b/>
      <vertAlign val="subscript"/>
      <sz val="11"/>
      <name val="Calibri"/>
      <family val="2"/>
      <charset val="238"/>
      <scheme val="minor"/>
    </font>
    <font>
      <vertAlign val="superscript"/>
      <sz val="8"/>
      <name val="Arial"/>
      <family val="2"/>
    </font>
    <font>
      <b/>
      <vertAlign val="subscript"/>
      <sz val="11"/>
      <name val="Calibri"/>
      <family val="2"/>
      <scheme val="minor"/>
    </font>
    <font>
      <b/>
      <sz val="11"/>
      <name val="Calibri"/>
      <family val="2"/>
      <charset val="238"/>
      <scheme val="minor"/>
    </font>
    <font>
      <vertAlign val="superscript"/>
      <sz val="11"/>
      <color indexed="8"/>
      <name val="Calibri"/>
      <family val="2"/>
      <scheme val="minor"/>
    </font>
    <font>
      <sz val="11"/>
      <color rgb="FF0082C8"/>
      <name val="Calibri"/>
      <family val="2"/>
      <scheme val="minor"/>
    </font>
    <font>
      <sz val="11"/>
      <color rgb="FFFF0000"/>
      <name val="Calibri"/>
      <family val="2"/>
      <scheme val="minor"/>
    </font>
    <font>
      <vertAlign val="subscript"/>
      <sz val="11"/>
      <color theme="1"/>
      <name val="Calibri"/>
      <family val="2"/>
      <scheme val="minor"/>
    </font>
    <font>
      <vertAlign val="superscript"/>
      <sz val="11"/>
      <color theme="1"/>
      <name val="Calibri"/>
      <family val="2"/>
      <scheme val="minor"/>
    </font>
    <font>
      <i/>
      <vertAlign val="subscript"/>
      <sz val="11"/>
      <name val="Calibri"/>
      <family val="2"/>
    </font>
    <font>
      <b/>
      <sz val="11"/>
      <color indexed="9"/>
      <name val="Calibri"/>
      <family val="2"/>
      <scheme val="minor"/>
    </font>
    <font>
      <sz val="11"/>
      <color rgb="FF00B050"/>
      <name val="Calibri"/>
      <family val="2"/>
      <scheme val="minor"/>
    </font>
    <font>
      <i/>
      <sz val="11"/>
      <name val="Calibri"/>
      <family val="2"/>
      <scheme val="minor"/>
    </font>
    <font>
      <i/>
      <vertAlign val="subscript"/>
      <sz val="11"/>
      <name val="Calibri"/>
      <family val="2"/>
      <scheme val="minor"/>
    </font>
    <font>
      <vertAlign val="superscript"/>
      <sz val="11"/>
      <color indexed="8"/>
      <name val="Calibri"/>
      <family val="2"/>
    </font>
    <font>
      <sz val="20"/>
      <color theme="0" tint="-0.499984740745262"/>
      <name val="Calibri"/>
      <family val="2"/>
      <scheme val="minor"/>
    </font>
    <font>
      <vertAlign val="superscript"/>
      <sz val="11"/>
      <name val="Calibri"/>
      <family val="2"/>
      <charset val="238"/>
      <scheme val="minor"/>
    </font>
    <font>
      <vertAlign val="superscript"/>
      <sz val="11"/>
      <name val="Calibri"/>
      <family val="2"/>
      <charset val="238"/>
    </font>
    <font>
      <vertAlign val="subscript"/>
      <sz val="12.65"/>
      <name val="Calibri"/>
      <family val="2"/>
    </font>
    <font>
      <vertAlign val="subscript"/>
      <sz val="11"/>
      <color rgb="FF000000"/>
      <name val="Calibri"/>
      <family val="2"/>
      <scheme val="minor"/>
    </font>
    <font>
      <sz val="11"/>
      <color rgb="FF000000"/>
      <name val="Calibri"/>
      <family val="2"/>
      <charset val="238"/>
      <scheme val="minor"/>
    </font>
    <font>
      <vertAlign val="superscript"/>
      <sz val="11"/>
      <color rgb="FF000000"/>
      <name val="Calibri"/>
      <family val="2"/>
      <scheme val="minor"/>
    </font>
    <font>
      <sz val="11"/>
      <color rgb="FF000000"/>
      <name val="Calibri"/>
      <family val="2"/>
    </font>
    <font>
      <sz val="11"/>
      <name val="Calibri"/>
      <family val="2"/>
      <charset val="238"/>
      <scheme val="minor"/>
    </font>
    <font>
      <vertAlign val="subscript"/>
      <sz val="11"/>
      <color rgb="FF000000"/>
      <name val="Calibri"/>
      <family val="2"/>
      <charset val="238"/>
      <scheme val="minor"/>
    </font>
    <font>
      <vertAlign val="subscript"/>
      <sz val="11"/>
      <color rgb="FF000000"/>
      <name val="Calibri"/>
      <family val="2"/>
      <charset val="238"/>
    </font>
    <font>
      <sz val="11"/>
      <color rgb="FF000000"/>
      <name val="Calibri"/>
      <family val="2"/>
      <charset val="238"/>
    </font>
    <font>
      <sz val="11"/>
      <name val="Calibri"/>
      <family val="2"/>
      <charset val="238"/>
    </font>
    <font>
      <vertAlign val="subscript"/>
      <sz val="9.35"/>
      <name val="Calibri"/>
      <family val="2"/>
      <charset val="238"/>
    </font>
    <font>
      <b/>
      <vertAlign val="subscript"/>
      <sz val="12"/>
      <name val="Calibri"/>
      <family val="2"/>
      <charset val="238"/>
      <scheme val="minor"/>
    </font>
    <font>
      <vertAlign val="subscript"/>
      <sz val="11"/>
      <color rgb="FF000000"/>
      <name val="Calibri"/>
      <family val="2"/>
    </font>
    <font>
      <vertAlign val="subscript"/>
      <sz val="11"/>
      <color indexed="8"/>
      <name val="Calibri"/>
      <family val="2"/>
      <charset val="238"/>
      <scheme val="minor"/>
    </font>
    <font>
      <vertAlign val="superscript"/>
      <sz val="11"/>
      <color theme="1"/>
      <name val="Calibri"/>
      <family val="2"/>
      <charset val="238"/>
      <scheme val="minor"/>
    </font>
    <font>
      <sz val="11"/>
      <color indexed="8"/>
      <name val="Calibri"/>
      <family val="2"/>
      <charset val="238"/>
      <scheme val="minor"/>
    </font>
    <font>
      <vertAlign val="superscript"/>
      <sz val="11"/>
      <color indexed="8"/>
      <name val="Calibri"/>
      <family val="2"/>
      <charset val="238"/>
      <scheme val="minor"/>
    </font>
    <font>
      <vertAlign val="superscript"/>
      <sz val="11"/>
      <color indexed="8"/>
      <name val="Calibri"/>
      <family val="2"/>
      <charset val="238"/>
    </font>
    <font>
      <sz val="11"/>
      <color rgb="FF000000"/>
      <name val="Calibri"/>
      <family val="2"/>
      <scheme val="minor"/>
    </font>
    <font>
      <b/>
      <i/>
      <sz val="11"/>
      <color theme="0" tint="-0.499984740745262"/>
      <name val="Calibri"/>
      <family val="2"/>
      <scheme val="minor"/>
    </font>
    <font>
      <vertAlign val="subscript"/>
      <sz val="11"/>
      <color rgb="FFFF0000"/>
      <name val="Calibri"/>
      <family val="2"/>
      <scheme val="minor"/>
    </font>
    <font>
      <sz val="11"/>
      <color rgb="FFFF0000"/>
      <name val="Calibri"/>
      <family val="2"/>
      <charset val="238"/>
    </font>
    <font>
      <vertAlign val="subscript"/>
      <sz val="11"/>
      <color rgb="FFFF0000"/>
      <name val="Calibri"/>
      <family val="2"/>
      <charset val="238"/>
    </font>
    <font>
      <sz val="11"/>
      <color rgb="FF9C5700"/>
      <name val="Calibri"/>
      <family val="2"/>
      <charset val="238"/>
      <scheme val="minor"/>
    </font>
    <font>
      <vertAlign val="superscript"/>
      <sz val="11"/>
      <color rgb="FFFF0000"/>
      <name val="Calibri"/>
      <family val="2"/>
      <scheme val="minor"/>
    </font>
    <font>
      <vertAlign val="subscript"/>
      <sz val="11"/>
      <color rgb="FFFF0000"/>
      <name val="Calibri"/>
      <family val="2"/>
    </font>
  </fonts>
  <fills count="54">
    <fill>
      <patternFill patternType="none"/>
    </fill>
    <fill>
      <patternFill patternType="gray125"/>
    </fill>
    <fill>
      <patternFill patternType="solid">
        <fgColor theme="0"/>
        <bgColor indexed="64"/>
      </patternFill>
    </fill>
    <fill>
      <patternFill patternType="solid">
        <fgColor rgb="FF498F87"/>
        <bgColor indexed="64"/>
      </patternFill>
    </fill>
    <fill>
      <patternFill patternType="solid">
        <fgColor theme="8" tint="0.59999389629810485"/>
        <bgColor indexed="64"/>
      </patternFill>
    </fill>
    <fill>
      <patternFill patternType="solid">
        <fgColor rgb="FFFFFF00"/>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4" tint="0.79998168889431442"/>
        <bgColor indexed="64"/>
      </patternFill>
    </fill>
    <fill>
      <patternFill patternType="solid">
        <fgColor theme="6" tint="0.79998168889431442"/>
        <bgColor indexed="64"/>
      </patternFill>
    </fill>
    <fill>
      <patternFill patternType="solid">
        <fgColor rgb="FFFFFFCC"/>
        <bgColor indexed="64"/>
      </patternFill>
    </fill>
    <fill>
      <patternFill patternType="solid">
        <fgColor theme="0" tint="-4.9989318521683403E-2"/>
        <bgColor indexed="64"/>
      </patternFill>
    </fill>
    <fill>
      <patternFill patternType="solid">
        <fgColor theme="2" tint="-9.9978637043366805E-2"/>
        <bgColor indexed="64"/>
      </patternFill>
    </fill>
    <fill>
      <patternFill patternType="solid">
        <fgColor theme="9" tint="0.79995117038483843"/>
        <bgColor indexed="64"/>
      </patternFill>
    </fill>
    <fill>
      <patternFill patternType="solid">
        <fgColor theme="8" tint="0.39997558519241921"/>
        <bgColor indexed="64"/>
      </patternFill>
    </fill>
    <fill>
      <patternFill patternType="solid">
        <fgColor theme="6" tint="0.39997558519241921"/>
        <bgColor indexed="64"/>
      </patternFill>
    </fill>
    <fill>
      <patternFill patternType="solid">
        <fgColor theme="9" tint="0.59999389629810485"/>
        <bgColor indexed="64"/>
      </patternFill>
    </fill>
    <fill>
      <patternFill patternType="solid">
        <fgColor rgb="FFFFFFFF"/>
        <bgColor indexed="64"/>
      </patternFill>
    </fill>
    <fill>
      <patternFill patternType="solid">
        <fgColor theme="2" tint="-0.249977111117893"/>
        <bgColor indexed="64"/>
      </patternFill>
    </fill>
    <fill>
      <patternFill patternType="solid">
        <fgColor theme="0" tint="-0.14999847407452621"/>
        <bgColor indexed="64"/>
      </patternFill>
    </fill>
    <fill>
      <patternFill patternType="solid">
        <fgColor theme="5" tint="0.79998168889431442"/>
        <bgColor indexed="64"/>
      </patternFill>
    </fill>
    <fill>
      <patternFill patternType="solid">
        <fgColor theme="4" tint="0.59999389629810485"/>
        <bgColor indexed="64"/>
      </patternFill>
    </fill>
    <fill>
      <patternFill patternType="solid">
        <fgColor rgb="FFFFFF99"/>
        <bgColor indexed="64"/>
      </patternFill>
    </fill>
    <fill>
      <patternFill patternType="solid">
        <fgColor rgb="FF2B8DD5"/>
        <bgColor indexed="64"/>
      </patternFill>
    </fill>
    <fill>
      <patternFill patternType="solid">
        <fgColor theme="6" tint="0.59999389629810485"/>
        <bgColor indexed="64"/>
      </patternFill>
    </fill>
    <fill>
      <patternFill patternType="solid">
        <fgColor theme="3" tint="0.79998168889431442"/>
        <bgColor indexed="64"/>
      </patternFill>
    </fill>
    <fill>
      <patternFill patternType="solid">
        <fgColor theme="4" tint="0.39997558519241921"/>
        <bgColor indexed="64"/>
      </patternFill>
    </fill>
    <fill>
      <patternFill patternType="solid">
        <fgColor theme="3" tint="0.59999389629810485"/>
        <bgColor indexed="64"/>
      </patternFill>
    </fill>
    <fill>
      <patternFill patternType="solid">
        <fgColor indexed="9"/>
        <bgColor indexed="64"/>
      </patternFill>
    </fill>
    <fill>
      <patternFill patternType="solid">
        <fgColor theme="5" tint="0.59999389629810485"/>
        <bgColor indexed="64"/>
      </patternFill>
    </fill>
    <fill>
      <patternFill patternType="solid">
        <fgColor rgb="FFC0C0C0"/>
        <bgColor indexed="64"/>
      </patternFill>
    </fill>
    <fill>
      <patternFill patternType="solid">
        <fgColor theme="0" tint="-0.249977111117893"/>
        <bgColor indexed="64"/>
      </patternFill>
    </fill>
    <fill>
      <patternFill patternType="solid">
        <fgColor theme="6" tint="-0.249977111117893"/>
        <bgColor indexed="64"/>
      </patternFill>
    </fill>
    <fill>
      <patternFill patternType="solid">
        <fgColor rgb="FF2B8DD5"/>
        <bgColor indexed="9"/>
      </patternFill>
    </fill>
    <fill>
      <patternFill patternType="solid">
        <fgColor theme="7" tint="0.79998168889431442"/>
        <bgColor indexed="64"/>
      </patternFill>
    </fill>
    <fill>
      <patternFill patternType="solid">
        <fgColor rgb="FFFFEB9C"/>
      </patternFill>
    </fill>
    <fill>
      <patternFill patternType="solid">
        <fgColor theme="9"/>
        <bgColor indexed="64"/>
      </patternFill>
    </fill>
    <fill>
      <patternFill patternType="solid">
        <fgColor rgb="FFFFC000"/>
        <bgColor indexed="64"/>
      </patternFill>
    </fill>
    <fill>
      <patternFill patternType="solid">
        <fgColor indexed="13"/>
        <bgColor indexed="64"/>
      </patternFill>
    </fill>
    <fill>
      <patternFill patternType="solid">
        <fgColor rgb="FFDCE6F1"/>
        <bgColor indexed="64"/>
      </patternFill>
    </fill>
    <fill>
      <patternFill patternType="solid">
        <fgColor rgb="FF95B3D7"/>
        <bgColor indexed="64"/>
      </patternFill>
    </fill>
    <fill>
      <patternFill patternType="solid">
        <fgColor rgb="FFB8CCE4"/>
        <bgColor indexed="64"/>
      </patternFill>
    </fill>
    <fill>
      <patternFill patternType="solid">
        <fgColor rgb="FFF2F2F2"/>
        <bgColor indexed="64"/>
      </patternFill>
    </fill>
    <fill>
      <patternFill patternType="solid">
        <fgColor rgb="FFF2DCDB"/>
        <bgColor indexed="64"/>
      </patternFill>
    </fill>
    <fill>
      <patternFill patternType="solid">
        <fgColor rgb="FFDDD9C4"/>
        <bgColor indexed="64"/>
      </patternFill>
    </fill>
    <fill>
      <patternFill patternType="solid">
        <fgColor rgb="FFC4BD97"/>
        <bgColor indexed="64"/>
      </patternFill>
    </fill>
    <fill>
      <patternFill patternType="solid">
        <fgColor rgb="FF76933C"/>
        <bgColor indexed="64"/>
      </patternFill>
    </fill>
    <fill>
      <patternFill patternType="solid">
        <fgColor rgb="FFEBF1DE"/>
        <bgColor indexed="64"/>
      </patternFill>
    </fill>
    <fill>
      <patternFill patternType="solid">
        <fgColor rgb="FFFDE9D9"/>
        <bgColor indexed="64"/>
      </patternFill>
    </fill>
    <fill>
      <patternFill patternType="solid">
        <fgColor rgb="FFFCD5B4"/>
        <bgColor indexed="64"/>
      </patternFill>
    </fill>
    <fill>
      <patternFill patternType="solid">
        <fgColor rgb="FFC4D79B"/>
        <bgColor indexed="64"/>
      </patternFill>
    </fill>
    <fill>
      <patternFill patternType="solid">
        <fgColor rgb="FFE4DFEC"/>
        <bgColor indexed="64"/>
      </patternFill>
    </fill>
    <fill>
      <patternFill patternType="solid">
        <fgColor rgb="FFB7DEE8"/>
        <bgColor indexed="64"/>
      </patternFill>
    </fill>
    <fill>
      <patternFill patternType="solid">
        <fgColor indexed="11"/>
        <bgColor indexed="64"/>
      </patternFill>
    </fill>
  </fills>
  <borders count="247">
    <border>
      <left/>
      <right/>
      <top/>
      <bottom/>
      <diagonal/>
    </border>
    <border>
      <left style="medium">
        <color indexed="64"/>
      </left>
      <right style="medium">
        <color indexed="8"/>
      </right>
      <top style="medium">
        <color indexed="64"/>
      </top>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8"/>
      </left>
      <right style="medium">
        <color indexed="8"/>
      </right>
      <top style="medium">
        <color indexed="8"/>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style="medium">
        <color indexed="64"/>
      </top>
      <bottom style="medium">
        <color indexed="64"/>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style="medium">
        <color rgb="FF000000"/>
      </left>
      <right style="medium">
        <color rgb="FF000000"/>
      </right>
      <top style="medium">
        <color rgb="FF000000"/>
      </top>
      <bottom/>
      <diagonal/>
    </border>
    <border>
      <left style="medium">
        <color indexed="64"/>
      </left>
      <right/>
      <top style="medium">
        <color indexed="64"/>
      </top>
      <bottom style="medium">
        <color indexed="64"/>
      </bottom>
      <diagonal/>
    </border>
    <border>
      <left/>
      <right style="medium">
        <color indexed="8"/>
      </right>
      <top style="medium">
        <color indexed="64"/>
      </top>
      <bottom/>
      <diagonal/>
    </border>
    <border>
      <left/>
      <right style="medium">
        <color indexed="64"/>
      </right>
      <top style="medium">
        <color indexed="64"/>
      </top>
      <bottom/>
      <diagonal/>
    </border>
    <border>
      <left style="thin">
        <color indexed="64"/>
      </left>
      <right style="thin">
        <color indexed="64"/>
      </right>
      <top style="medium">
        <color indexed="64"/>
      </top>
      <bottom/>
      <diagonal/>
    </border>
    <border>
      <left style="medium">
        <color indexed="64"/>
      </left>
      <right style="thin">
        <color indexed="64"/>
      </right>
      <top/>
      <bottom style="medium">
        <color indexed="64"/>
      </bottom>
      <diagonal/>
    </border>
    <border>
      <left style="medium">
        <color indexed="64"/>
      </left>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8"/>
      </left>
      <right style="medium">
        <color indexed="8"/>
      </right>
      <top style="medium">
        <color indexed="8"/>
      </top>
      <bottom/>
      <diagonal/>
    </border>
    <border>
      <left/>
      <right/>
      <top style="medium">
        <color indexed="64"/>
      </top>
      <bottom/>
      <diagonal/>
    </border>
    <border>
      <left style="thin">
        <color indexed="64"/>
      </left>
      <right style="thin">
        <color indexed="64"/>
      </right>
      <top/>
      <bottom style="medium">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bottom style="medium">
        <color indexed="64"/>
      </bottom>
      <diagonal/>
    </border>
    <border>
      <left style="medium">
        <color indexed="8"/>
      </left>
      <right style="medium">
        <color indexed="8"/>
      </right>
      <top style="medium">
        <color indexed="8"/>
      </top>
      <bottom/>
      <diagonal/>
    </border>
    <border>
      <left style="medium">
        <color indexed="64"/>
      </left>
      <right style="medium">
        <color indexed="64"/>
      </right>
      <top style="medium">
        <color indexed="64"/>
      </top>
      <bottom/>
      <diagonal/>
    </border>
    <border>
      <left style="medium">
        <color indexed="8"/>
      </left>
      <right style="medium">
        <color indexed="8"/>
      </right>
      <top style="medium">
        <color indexed="8"/>
      </top>
      <bottom/>
      <diagonal/>
    </border>
    <border>
      <left style="medium">
        <color indexed="64"/>
      </left>
      <right style="thin">
        <color indexed="64"/>
      </right>
      <top style="medium">
        <color auto="1"/>
      </top>
      <bottom style="medium">
        <color indexed="64"/>
      </bottom>
      <diagonal/>
    </border>
    <border>
      <left style="thin">
        <color indexed="64"/>
      </left>
      <right style="thin">
        <color indexed="64"/>
      </right>
      <top style="medium">
        <color auto="1"/>
      </top>
      <bottom style="medium">
        <color indexed="64"/>
      </bottom>
      <diagonal/>
    </border>
    <border>
      <left style="thin">
        <color indexed="64"/>
      </left>
      <right style="medium">
        <color indexed="64"/>
      </right>
      <top style="medium">
        <color auto="1"/>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diagonal/>
    </border>
    <border>
      <left style="medium">
        <color indexed="64"/>
      </left>
      <right style="thin">
        <color indexed="64"/>
      </right>
      <top style="medium">
        <color auto="1"/>
      </top>
      <bottom style="medium">
        <color indexed="64"/>
      </bottom>
      <diagonal/>
    </border>
    <border>
      <left style="thin">
        <color indexed="64"/>
      </left>
      <right style="thin">
        <color indexed="64"/>
      </right>
      <top style="medium">
        <color auto="1"/>
      </top>
      <bottom style="medium">
        <color indexed="64"/>
      </bottom>
      <diagonal/>
    </border>
    <border>
      <left style="thin">
        <color indexed="64"/>
      </left>
      <right style="medium">
        <color indexed="64"/>
      </right>
      <top style="medium">
        <color auto="1"/>
      </top>
      <bottom style="medium">
        <color indexed="64"/>
      </bottom>
      <diagonal/>
    </border>
    <border>
      <left style="medium">
        <color indexed="64"/>
      </left>
      <right style="thin">
        <color indexed="64"/>
      </right>
      <top style="medium">
        <color auto="1"/>
      </top>
      <bottom style="thin">
        <color indexed="64"/>
      </bottom>
      <diagonal/>
    </border>
    <border>
      <left style="thin">
        <color indexed="64"/>
      </left>
      <right style="thin">
        <color indexed="64"/>
      </right>
      <top style="medium">
        <color auto="1"/>
      </top>
      <bottom style="thin">
        <color indexed="64"/>
      </bottom>
      <diagonal/>
    </border>
    <border>
      <left style="thin">
        <color indexed="64"/>
      </left>
      <right style="medium">
        <color indexed="64"/>
      </right>
      <top style="medium">
        <color auto="1"/>
      </top>
      <bottom style="thin">
        <color indexed="64"/>
      </bottom>
      <diagonal/>
    </border>
    <border>
      <left style="medium">
        <color auto="1"/>
      </left>
      <right style="thin">
        <color auto="1"/>
      </right>
      <top style="medium">
        <color auto="1"/>
      </top>
      <bottom style="medium">
        <color auto="1"/>
      </bottom>
      <diagonal/>
    </border>
    <border>
      <left style="thin">
        <color auto="1"/>
      </left>
      <right style="thin">
        <color auto="1"/>
      </right>
      <top style="medium">
        <color auto="1"/>
      </top>
      <bottom style="medium">
        <color auto="1"/>
      </bottom>
      <diagonal/>
    </border>
    <border>
      <left style="thin">
        <color auto="1"/>
      </left>
      <right style="medium">
        <color auto="1"/>
      </right>
      <top style="medium">
        <color auto="1"/>
      </top>
      <bottom style="medium">
        <color auto="1"/>
      </bottom>
      <diagonal/>
    </border>
    <border>
      <left style="thin">
        <color auto="1"/>
      </left>
      <right style="thin">
        <color auto="1"/>
      </right>
      <top style="medium">
        <color auto="1"/>
      </top>
      <bottom/>
      <diagonal/>
    </border>
    <border>
      <left style="thin">
        <color auto="1"/>
      </left>
      <right style="medium">
        <color auto="1"/>
      </right>
      <top style="medium">
        <color auto="1"/>
      </top>
      <bottom/>
      <diagonal/>
    </border>
    <border>
      <left style="medium">
        <color auto="1"/>
      </left>
      <right style="thin">
        <color auto="1"/>
      </right>
      <top style="medium">
        <color auto="1"/>
      </top>
      <bottom style="thin">
        <color auto="1"/>
      </bottom>
      <diagonal/>
    </border>
    <border>
      <left style="thin">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medium">
        <color auto="1"/>
      </left>
      <right style="medium">
        <color auto="1"/>
      </right>
      <top style="medium">
        <color auto="1"/>
      </top>
      <bottom/>
      <diagonal/>
    </border>
    <border>
      <left style="medium">
        <color auto="1"/>
      </left>
      <right style="thin">
        <color auto="1"/>
      </right>
      <top style="medium">
        <color auto="1"/>
      </top>
      <bottom/>
      <diagonal/>
    </border>
    <border>
      <left style="medium">
        <color auto="1"/>
      </left>
      <right style="thin">
        <color auto="1"/>
      </right>
      <top style="medium">
        <color auto="1"/>
      </top>
      <bottom style="medium">
        <color auto="1"/>
      </bottom>
      <diagonal/>
    </border>
    <border>
      <left style="thin">
        <color auto="1"/>
      </left>
      <right style="thin">
        <color auto="1"/>
      </right>
      <top style="medium">
        <color auto="1"/>
      </top>
      <bottom style="medium">
        <color auto="1"/>
      </bottom>
      <diagonal/>
    </border>
    <border>
      <left style="thin">
        <color auto="1"/>
      </left>
      <right style="medium">
        <color auto="1"/>
      </right>
      <top style="medium">
        <color auto="1"/>
      </top>
      <bottom style="medium">
        <color auto="1"/>
      </bottom>
      <diagonal/>
    </border>
    <border>
      <left style="medium">
        <color auto="1"/>
      </left>
      <right style="medium">
        <color auto="1"/>
      </right>
      <top style="medium">
        <color auto="1"/>
      </top>
      <bottom style="medium">
        <color auto="1"/>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style="thin">
        <color indexed="64"/>
      </right>
      <top style="medium">
        <color auto="1"/>
      </top>
      <bottom/>
      <diagonal/>
    </border>
    <border>
      <left style="medium">
        <color auto="1"/>
      </left>
      <right style="thin">
        <color auto="1"/>
      </right>
      <top style="medium">
        <color auto="1"/>
      </top>
      <bottom style="medium">
        <color auto="1"/>
      </bottom>
      <diagonal/>
    </border>
    <border>
      <left style="thin">
        <color auto="1"/>
      </left>
      <right style="thin">
        <color auto="1"/>
      </right>
      <top style="medium">
        <color auto="1"/>
      </top>
      <bottom style="medium">
        <color auto="1"/>
      </bottom>
      <diagonal/>
    </border>
    <border>
      <left style="thin">
        <color auto="1"/>
      </left>
      <right style="medium">
        <color auto="1"/>
      </right>
      <top style="medium">
        <color auto="1"/>
      </top>
      <bottom style="medium">
        <color auto="1"/>
      </bottom>
      <diagonal/>
    </border>
    <border>
      <left/>
      <right/>
      <top style="medium">
        <color auto="1"/>
      </top>
      <bottom style="medium">
        <color auto="1"/>
      </bottom>
      <diagonal/>
    </border>
    <border>
      <left style="medium">
        <color auto="1"/>
      </left>
      <right style="thin">
        <color auto="1"/>
      </right>
      <top style="medium">
        <color auto="1"/>
      </top>
      <bottom style="thin">
        <color auto="1"/>
      </bottom>
      <diagonal/>
    </border>
    <border>
      <left style="thin">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medium">
        <color indexed="8"/>
      </left>
      <right style="medium">
        <color indexed="8"/>
      </right>
      <top style="medium">
        <color indexed="8"/>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auto="1"/>
      </left>
      <right style="thin">
        <color auto="1"/>
      </right>
      <top style="medium">
        <color auto="1"/>
      </top>
      <bottom style="medium">
        <color auto="1"/>
      </bottom>
      <diagonal/>
    </border>
    <border>
      <left style="medium">
        <color indexed="64"/>
      </left>
      <right style="thin">
        <color auto="1"/>
      </right>
      <top style="medium">
        <color indexed="64"/>
      </top>
      <bottom style="medium">
        <color indexed="64"/>
      </bottom>
      <diagonal/>
    </border>
    <border>
      <left style="thin">
        <color auto="1"/>
      </left>
      <right style="medium">
        <color indexed="64"/>
      </right>
      <top style="medium">
        <color indexed="64"/>
      </top>
      <bottom style="medium">
        <color indexed="64"/>
      </bottom>
      <diagonal/>
    </border>
    <border>
      <left style="medium">
        <color indexed="9"/>
      </left>
      <right style="medium">
        <color indexed="9"/>
      </right>
      <top/>
      <bottom style="medium">
        <color indexed="9"/>
      </bottom>
      <diagonal/>
    </border>
    <border>
      <left style="thin">
        <color indexed="23"/>
      </left>
      <right style="thin">
        <color indexed="23"/>
      </right>
      <top/>
      <bottom style="thin">
        <color indexed="23"/>
      </bottom>
      <diagonal/>
    </border>
    <border>
      <left style="thin">
        <color auto="1"/>
      </left>
      <right style="thin">
        <color auto="1"/>
      </right>
      <top/>
      <bottom style="medium">
        <color auto="1"/>
      </bottom>
      <diagonal/>
    </border>
    <border>
      <left style="medium">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bottom style="thin">
        <color auto="1"/>
      </bottom>
      <diagonal/>
    </border>
    <border>
      <left style="thin">
        <color auto="1"/>
      </left>
      <right style="medium">
        <color indexed="64"/>
      </right>
      <top style="thin">
        <color auto="1"/>
      </top>
      <bottom style="thin">
        <color auto="1"/>
      </bottom>
      <diagonal/>
    </border>
    <border>
      <left/>
      <right style="thin">
        <color auto="1"/>
      </right>
      <top style="medium">
        <color auto="1"/>
      </top>
      <bottom style="thin">
        <color auto="1"/>
      </bottom>
      <diagonal/>
    </border>
    <border>
      <left/>
      <right style="medium">
        <color indexed="64"/>
      </right>
      <top style="thin">
        <color auto="1"/>
      </top>
      <bottom/>
      <diagonal/>
    </border>
    <border>
      <left style="medium">
        <color auto="1"/>
      </left>
      <right style="thin">
        <color auto="1"/>
      </right>
      <top/>
      <bottom style="thin">
        <color auto="1"/>
      </bottom>
      <diagonal/>
    </border>
    <border>
      <left style="thin">
        <color auto="1"/>
      </left>
      <right style="medium">
        <color auto="1"/>
      </right>
      <top/>
      <bottom style="thin">
        <color auto="1"/>
      </bottom>
      <diagonal/>
    </border>
    <border>
      <left style="medium">
        <color auto="1"/>
      </left>
      <right/>
      <top style="thin">
        <color auto="1"/>
      </top>
      <bottom style="thin">
        <color auto="1"/>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8"/>
      </left>
      <right style="medium">
        <color indexed="8"/>
      </right>
      <top style="medium">
        <color indexed="8"/>
      </top>
      <bottom/>
      <diagonal/>
    </border>
    <border>
      <left style="thin">
        <color auto="1"/>
      </left>
      <right style="thin">
        <color auto="1"/>
      </right>
      <top style="thin">
        <color auto="1"/>
      </top>
      <bottom style="medium">
        <color auto="1"/>
      </bottom>
      <diagonal/>
    </border>
    <border>
      <left/>
      <right style="thin">
        <color indexed="64"/>
      </right>
      <top style="thin">
        <color indexed="64"/>
      </top>
      <bottom style="thin">
        <color indexed="64"/>
      </bottom>
      <diagonal/>
    </border>
    <border>
      <left style="thin">
        <color auto="1"/>
      </left>
      <right style="medium">
        <color auto="1"/>
      </right>
      <top/>
      <bottom style="medium">
        <color auto="1"/>
      </bottom>
      <diagonal/>
    </border>
    <border>
      <left style="medium">
        <color auto="1"/>
      </left>
      <right style="thin">
        <color auto="1"/>
      </right>
      <top/>
      <bottom style="medium">
        <color auto="1"/>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auto="1"/>
      </left>
      <right style="thin">
        <color auto="1"/>
      </right>
      <top style="medium">
        <color auto="1"/>
      </top>
      <bottom style="thin">
        <color auto="1"/>
      </bottom>
      <diagonal/>
    </border>
    <border>
      <left style="medium">
        <color indexed="8"/>
      </left>
      <right style="medium">
        <color indexed="8"/>
      </right>
      <top style="medium">
        <color indexed="8"/>
      </top>
      <bottom/>
      <diagonal/>
    </border>
    <border>
      <left style="medium">
        <color auto="1"/>
      </left>
      <right style="thin">
        <color auto="1"/>
      </right>
      <top style="medium">
        <color auto="1"/>
      </top>
      <bottom style="medium">
        <color auto="1"/>
      </bottom>
      <diagonal/>
    </border>
    <border>
      <left style="thin">
        <color auto="1"/>
      </left>
      <right style="medium">
        <color auto="1"/>
      </right>
      <top style="medium">
        <color auto="1"/>
      </top>
      <bottom style="medium">
        <color auto="1"/>
      </bottom>
      <diagonal/>
    </border>
    <border>
      <left style="thin">
        <color auto="1"/>
      </left>
      <right style="thin">
        <color auto="1"/>
      </right>
      <top style="medium">
        <color auto="1"/>
      </top>
      <bottom style="medium">
        <color auto="1"/>
      </bottom>
      <diagonal/>
    </border>
    <border>
      <left style="medium">
        <color auto="1"/>
      </left>
      <right style="thin">
        <color auto="1"/>
      </right>
      <top style="medium">
        <color auto="1"/>
      </top>
      <bottom style="thin">
        <color auto="1"/>
      </bottom>
      <diagonal/>
    </border>
    <border>
      <left style="thin">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8"/>
      </left>
      <right style="medium">
        <color indexed="8"/>
      </right>
      <top style="medium">
        <color indexed="8"/>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auto="1"/>
      </left>
      <right style="thin">
        <color auto="1"/>
      </right>
      <top style="medium">
        <color auto="1"/>
      </top>
      <bottom style="medium">
        <color auto="1"/>
      </bottom>
      <diagonal/>
    </border>
    <border>
      <left style="thin">
        <color auto="1"/>
      </left>
      <right style="medium">
        <color auto="1"/>
      </right>
      <top style="medium">
        <color auto="1"/>
      </top>
      <bottom style="medium">
        <color auto="1"/>
      </bottom>
      <diagonal/>
    </border>
    <border>
      <left style="thin">
        <color auto="1"/>
      </left>
      <right style="thin">
        <color auto="1"/>
      </right>
      <top style="medium">
        <color auto="1"/>
      </top>
      <bottom style="medium">
        <color auto="1"/>
      </bottom>
      <diagonal/>
    </border>
    <border>
      <left style="medium">
        <color auto="1"/>
      </left>
      <right style="thin">
        <color auto="1"/>
      </right>
      <top style="medium">
        <color auto="1"/>
      </top>
      <bottom style="thin">
        <color auto="1"/>
      </bottom>
      <diagonal/>
    </border>
    <border>
      <left style="thin">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style="medium">
        <color indexed="64"/>
      </right>
      <top style="thin">
        <color indexed="64"/>
      </top>
      <bottom style="thin">
        <color indexed="64"/>
      </bottom>
      <diagonal/>
    </border>
    <border>
      <left style="thin">
        <color indexed="64"/>
      </left>
      <right style="thin">
        <color indexed="64"/>
      </right>
      <top style="thin">
        <color indexed="64"/>
      </top>
      <bottom/>
      <diagonal/>
    </border>
    <border>
      <left style="medium">
        <color auto="1"/>
      </left>
      <right style="medium">
        <color indexed="64"/>
      </right>
      <top style="medium">
        <color auto="1"/>
      </top>
      <bottom/>
      <diagonal/>
    </border>
    <border>
      <left style="medium">
        <color auto="1"/>
      </left>
      <right style="thin">
        <color auto="1"/>
      </right>
      <top style="thin">
        <color auto="1"/>
      </top>
      <bottom/>
      <diagonal/>
    </border>
    <border>
      <left style="thin">
        <color auto="1"/>
      </left>
      <right style="medium">
        <color indexed="64"/>
      </right>
      <top style="thin">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8"/>
      </left>
      <right style="medium">
        <color indexed="8"/>
      </right>
      <top style="medium">
        <color indexed="8"/>
      </top>
      <bottom/>
      <diagonal/>
    </border>
    <border>
      <left/>
      <right/>
      <top style="medium">
        <color indexed="64"/>
      </top>
      <bottom/>
      <diagonal/>
    </border>
    <border>
      <left style="medium">
        <color indexed="64"/>
      </left>
      <right style="thin">
        <color indexed="64"/>
      </right>
      <top style="medium">
        <color auto="1"/>
      </top>
      <bottom style="medium">
        <color indexed="64"/>
      </bottom>
      <diagonal/>
    </border>
    <border>
      <left style="thin">
        <color indexed="64"/>
      </left>
      <right style="thin">
        <color indexed="64"/>
      </right>
      <top style="medium">
        <color auto="1"/>
      </top>
      <bottom style="medium">
        <color indexed="64"/>
      </bottom>
      <diagonal/>
    </border>
    <border>
      <left style="thin">
        <color indexed="64"/>
      </left>
      <right style="medium">
        <color indexed="64"/>
      </right>
      <top style="medium">
        <color auto="1"/>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auto="1"/>
      </left>
      <right style="thin">
        <color auto="1"/>
      </right>
      <top style="medium">
        <color auto="1"/>
      </top>
      <bottom style="thin">
        <color auto="1"/>
      </bottom>
      <diagonal/>
    </border>
    <border>
      <left style="thin">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medium">
        <color auto="1"/>
      </left>
      <right style="thin">
        <color auto="1"/>
      </right>
      <top style="thin">
        <color auto="1"/>
      </top>
      <bottom style="medium">
        <color auto="1"/>
      </bottom>
      <diagonal/>
    </border>
    <border>
      <left style="thin">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style="thin">
        <color indexed="64"/>
      </left>
      <right/>
      <top style="thin">
        <color indexed="64"/>
      </top>
      <bottom style="thin">
        <color indexed="64"/>
      </bottom>
      <diagonal/>
    </border>
    <border>
      <left style="thin">
        <color auto="1"/>
      </left>
      <right/>
      <top style="medium">
        <color auto="1"/>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auto="1"/>
      </left>
      <right/>
      <top style="medium">
        <color auto="1"/>
      </top>
      <bottom style="thin">
        <color indexed="64"/>
      </bottom>
      <diagonal/>
    </border>
    <border>
      <left/>
      <right/>
      <top style="medium">
        <color auto="1"/>
      </top>
      <bottom style="thin">
        <color indexed="64"/>
      </bottom>
      <diagonal/>
    </border>
    <border>
      <left/>
      <right style="medium">
        <color indexed="64"/>
      </right>
      <top style="medium">
        <color indexed="64"/>
      </top>
      <bottom style="thin">
        <color indexed="64"/>
      </bottom>
      <diagonal/>
    </border>
    <border>
      <left/>
      <right/>
      <top style="thin">
        <color indexed="64"/>
      </top>
      <bottom style="thin">
        <color indexed="64"/>
      </bottom>
      <diagonal/>
    </border>
    <border>
      <left style="thin">
        <color auto="1"/>
      </left>
      <right/>
      <top style="thin">
        <color auto="1"/>
      </top>
      <bottom style="medium">
        <color indexed="64"/>
      </bottom>
      <diagonal/>
    </border>
    <border>
      <left/>
      <right/>
      <top style="thin">
        <color auto="1"/>
      </top>
      <bottom style="medium">
        <color indexed="64"/>
      </bottom>
      <diagonal/>
    </border>
    <border>
      <left style="medium">
        <color auto="1"/>
      </left>
      <right style="thin">
        <color auto="1"/>
      </right>
      <top style="thin">
        <color auto="1"/>
      </top>
      <bottom/>
      <diagonal/>
    </border>
    <border>
      <left style="medium">
        <color indexed="8"/>
      </left>
      <right style="medium">
        <color indexed="8"/>
      </right>
      <top style="medium">
        <color indexed="8"/>
      </top>
      <bottom/>
      <diagonal/>
    </border>
    <border>
      <left style="medium">
        <color auto="1"/>
      </left>
      <right style="thin">
        <color auto="1"/>
      </right>
      <top style="medium">
        <color auto="1"/>
      </top>
      <bottom style="medium">
        <color auto="1"/>
      </bottom>
      <diagonal/>
    </border>
    <border>
      <left style="thin">
        <color auto="1"/>
      </left>
      <right style="thin">
        <color auto="1"/>
      </right>
      <top style="medium">
        <color auto="1"/>
      </top>
      <bottom style="medium">
        <color auto="1"/>
      </bottom>
      <diagonal/>
    </border>
    <border>
      <left style="thin">
        <color auto="1"/>
      </left>
      <right style="medium">
        <color auto="1"/>
      </right>
      <top style="medium">
        <color auto="1"/>
      </top>
      <bottom style="medium">
        <color auto="1"/>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8"/>
      </left>
      <right style="medium">
        <color indexed="8"/>
      </right>
      <top style="medium">
        <color indexed="8"/>
      </top>
      <bottom/>
      <diagonal/>
    </border>
    <border>
      <left style="medium">
        <color auto="1"/>
      </left>
      <right style="thin">
        <color auto="1"/>
      </right>
      <top style="medium">
        <color auto="1"/>
      </top>
      <bottom style="medium">
        <color auto="1"/>
      </bottom>
      <diagonal/>
    </border>
    <border>
      <left style="thin">
        <color auto="1"/>
      </left>
      <right style="thin">
        <color auto="1"/>
      </right>
      <top style="medium">
        <color auto="1"/>
      </top>
      <bottom style="medium">
        <color auto="1"/>
      </bottom>
      <diagonal/>
    </border>
    <border>
      <left style="thin">
        <color auto="1"/>
      </left>
      <right style="medium">
        <color auto="1"/>
      </right>
      <top style="medium">
        <color auto="1"/>
      </top>
      <bottom style="medium">
        <color auto="1"/>
      </bottom>
      <diagonal/>
    </border>
    <border>
      <left style="thin">
        <color auto="1"/>
      </left>
      <right style="thin">
        <color auto="1"/>
      </right>
      <top/>
      <bottom/>
      <diagonal/>
    </border>
    <border>
      <left style="thin">
        <color auto="1"/>
      </left>
      <right style="thin">
        <color auto="1"/>
      </right>
      <top style="medium">
        <color auto="1"/>
      </top>
      <bottom style="thin">
        <color auto="1"/>
      </bottom>
      <diagonal/>
    </border>
    <border>
      <left/>
      <right/>
      <top style="medium">
        <color auto="1"/>
      </top>
      <bottom style="medium">
        <color auto="1"/>
      </bottom>
      <diagonal/>
    </border>
    <border>
      <left style="thin">
        <color indexed="64"/>
      </left>
      <right style="thin">
        <color indexed="64"/>
      </right>
      <top style="medium">
        <color indexed="64"/>
      </top>
      <bottom/>
      <diagonal/>
    </border>
    <border>
      <left style="medium">
        <color indexed="64"/>
      </left>
      <right style="thin">
        <color indexed="64"/>
      </right>
      <top style="medium">
        <color indexed="64"/>
      </top>
      <bottom style="thin">
        <color indexed="64"/>
      </bottom>
      <diagonal/>
    </border>
    <border>
      <left style="thin">
        <color auto="1"/>
      </left>
      <right style="medium">
        <color auto="1"/>
      </right>
      <top style="medium">
        <color auto="1"/>
      </top>
      <bottom style="thin">
        <color auto="1"/>
      </bottom>
      <diagonal/>
    </border>
    <border>
      <left style="medium">
        <color indexed="8"/>
      </left>
      <right style="medium">
        <color indexed="8"/>
      </right>
      <top style="medium">
        <color indexed="8"/>
      </top>
      <bottom/>
      <diagonal/>
    </border>
    <border>
      <left style="medium">
        <color auto="1"/>
      </left>
      <right style="thin">
        <color auto="1"/>
      </right>
      <top style="medium">
        <color auto="1"/>
      </top>
      <bottom style="medium">
        <color auto="1"/>
      </bottom>
      <diagonal/>
    </border>
    <border>
      <left style="thin">
        <color auto="1"/>
      </left>
      <right style="thin">
        <color auto="1"/>
      </right>
      <top style="medium">
        <color auto="1"/>
      </top>
      <bottom style="medium">
        <color auto="1"/>
      </bottom>
      <diagonal/>
    </border>
    <border>
      <left style="thin">
        <color auto="1"/>
      </left>
      <right style="medium">
        <color auto="1"/>
      </right>
      <top style="medium">
        <color auto="1"/>
      </top>
      <bottom style="medium">
        <color auto="1"/>
      </bottom>
      <diagonal/>
    </border>
    <border>
      <left style="medium">
        <color indexed="23"/>
      </left>
      <right style="thin">
        <color indexed="23"/>
      </right>
      <top style="thin">
        <color indexed="23"/>
      </top>
      <bottom style="thin">
        <color indexed="23"/>
      </bottom>
      <diagonal/>
    </border>
    <border>
      <left style="medium">
        <color indexed="23"/>
      </left>
      <right style="thin">
        <color indexed="23"/>
      </right>
      <top/>
      <bottom style="thin">
        <color indexed="23"/>
      </bottom>
      <diagonal/>
    </border>
    <border>
      <left style="medium">
        <color indexed="23"/>
      </left>
      <right style="thin">
        <color indexed="23"/>
      </right>
      <top/>
      <bottom style="thin">
        <color indexed="64"/>
      </bottom>
      <diagonal/>
    </border>
    <border>
      <left style="thin">
        <color indexed="23"/>
      </left>
      <right style="thin">
        <color indexed="23"/>
      </right>
      <top style="thin">
        <color indexed="9"/>
      </top>
      <bottom style="medium">
        <color indexed="9"/>
      </bottom>
      <diagonal/>
    </border>
    <border>
      <left style="thin">
        <color indexed="23"/>
      </left>
      <right style="medium">
        <color indexed="9"/>
      </right>
      <top style="thin">
        <color indexed="9"/>
      </top>
      <bottom style="medium">
        <color indexed="9"/>
      </bottom>
      <diagonal/>
    </border>
    <border>
      <left style="medium">
        <color indexed="9"/>
      </left>
      <right style="medium">
        <color indexed="9"/>
      </right>
      <top style="thin">
        <color indexed="9"/>
      </top>
      <bottom style="medium">
        <color indexed="9"/>
      </bottom>
      <diagonal/>
    </border>
    <border>
      <left style="medium">
        <color indexed="9"/>
      </left>
      <right style="thin">
        <color indexed="23"/>
      </right>
      <top style="thin">
        <color indexed="9"/>
      </top>
      <bottom style="medium">
        <color indexed="9"/>
      </bottom>
      <diagonal/>
    </border>
    <border>
      <left style="thin">
        <color indexed="23"/>
      </left>
      <right style="medium">
        <color indexed="9"/>
      </right>
      <top style="thin">
        <color indexed="9"/>
      </top>
      <bottom/>
      <diagonal/>
    </border>
    <border>
      <left style="medium">
        <color indexed="9"/>
      </left>
      <right style="medium">
        <color indexed="9"/>
      </right>
      <top/>
      <bottom/>
      <diagonal/>
    </border>
    <border>
      <left style="medium">
        <color indexed="9"/>
      </left>
      <right style="medium">
        <color indexed="9"/>
      </right>
      <top style="thin">
        <color indexed="9"/>
      </top>
      <bottom/>
      <diagonal/>
    </border>
    <border>
      <left style="medium">
        <color indexed="9"/>
      </left>
      <right style="thin">
        <color indexed="23"/>
      </right>
      <top style="thin">
        <color indexed="9"/>
      </top>
      <bottom/>
      <diagonal/>
    </border>
    <border>
      <left style="thin">
        <color indexed="23"/>
      </left>
      <right style="thin">
        <color indexed="23"/>
      </right>
      <top style="thin">
        <color indexed="23"/>
      </top>
      <bottom style="thin">
        <color indexed="23"/>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auto="1"/>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thin">
        <color auto="1"/>
      </left>
      <right style="thin">
        <color auto="1"/>
      </right>
      <top style="thin">
        <color auto="1"/>
      </top>
      <bottom style="thin">
        <color auto="1"/>
      </bottom>
      <diagonal/>
    </border>
    <border>
      <left style="medium">
        <color indexed="64"/>
      </left>
      <right style="thin">
        <color indexed="64"/>
      </right>
      <top style="thin">
        <color indexed="64"/>
      </top>
      <bottom/>
      <diagonal/>
    </border>
    <border>
      <left style="thin">
        <color auto="1"/>
      </left>
      <right style="thin">
        <color auto="1"/>
      </right>
      <top style="thin">
        <color auto="1"/>
      </top>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9"/>
      </left>
      <right style="medium">
        <color indexed="9"/>
      </right>
      <top style="thin">
        <color indexed="9"/>
      </top>
      <bottom style="medium">
        <color indexed="9"/>
      </bottom>
      <diagonal/>
    </border>
    <border>
      <left style="thin">
        <color indexed="23"/>
      </left>
      <right style="medium">
        <color indexed="9"/>
      </right>
      <top style="thin">
        <color indexed="9"/>
      </top>
      <bottom style="medium">
        <color indexed="9"/>
      </bottom>
      <diagonal/>
    </border>
    <border>
      <left style="thin">
        <color auto="1"/>
      </left>
      <right style="thin">
        <color auto="1"/>
      </right>
      <top style="thin">
        <color auto="1"/>
      </top>
      <bottom style="thin">
        <color auto="1"/>
      </bottom>
      <diagonal/>
    </border>
    <border>
      <left style="medium">
        <color auto="1"/>
      </left>
      <right style="thin">
        <color auto="1"/>
      </right>
      <top style="medium">
        <color auto="1"/>
      </top>
      <bottom style="medium">
        <color auto="1"/>
      </bottom>
      <diagonal/>
    </border>
    <border>
      <left style="thin">
        <color auto="1"/>
      </left>
      <right style="thin">
        <color auto="1"/>
      </right>
      <top style="medium">
        <color auto="1"/>
      </top>
      <bottom style="medium">
        <color auto="1"/>
      </bottom>
      <diagonal/>
    </border>
    <border>
      <left style="thin">
        <color auto="1"/>
      </left>
      <right style="medium">
        <color auto="1"/>
      </right>
      <top style="medium">
        <color auto="1"/>
      </top>
      <bottom style="medium">
        <color auto="1"/>
      </bottom>
      <diagonal/>
    </border>
    <border>
      <left style="medium">
        <color auto="1"/>
      </left>
      <right style="thin">
        <color auto="1"/>
      </right>
      <top style="medium">
        <color auto="1"/>
      </top>
      <bottom style="thin">
        <color auto="1"/>
      </bottom>
      <diagonal/>
    </border>
    <border>
      <left style="thin">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medium">
        <color auto="1"/>
      </left>
      <right style="thin">
        <color auto="1"/>
      </right>
      <top/>
      <bottom style="thin">
        <color auto="1"/>
      </bottom>
      <diagonal/>
    </border>
    <border>
      <left style="medium">
        <color auto="1"/>
      </left>
      <right style="medium">
        <color indexed="64"/>
      </right>
      <top style="medium">
        <color auto="1"/>
      </top>
      <bottom/>
      <diagonal/>
    </border>
    <border>
      <left style="medium">
        <color auto="1"/>
      </left>
      <right style="thin">
        <color auto="1"/>
      </right>
      <top style="medium">
        <color auto="1"/>
      </top>
      <bottom/>
      <diagonal/>
    </border>
    <border>
      <left style="thin">
        <color auto="1"/>
      </left>
      <right style="thin">
        <color auto="1"/>
      </right>
      <top style="medium">
        <color auto="1"/>
      </top>
      <bottom/>
      <diagonal/>
    </border>
    <border>
      <left style="thin">
        <color auto="1"/>
      </left>
      <right style="medium">
        <color auto="1"/>
      </right>
      <top style="medium">
        <color auto="1"/>
      </top>
      <bottom/>
      <diagonal/>
    </border>
    <border>
      <left style="thin">
        <color indexed="64"/>
      </left>
      <right style="medium">
        <color indexed="64"/>
      </right>
      <top style="thin">
        <color indexed="64"/>
      </top>
      <bottom/>
      <diagonal/>
    </border>
    <border>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s>
  <cellStyleXfs count="209">
    <xf numFmtId="0" fontId="0" fillId="0" borderId="0"/>
    <xf numFmtId="0" fontId="30" fillId="0" borderId="0"/>
    <xf numFmtId="0" fontId="47" fillId="0" borderId="0"/>
    <xf numFmtId="0" fontId="29" fillId="0" borderId="0"/>
    <xf numFmtId="0" fontId="54" fillId="0" borderId="0" applyNumberFormat="0" applyFill="0" applyBorder="0" applyAlignment="0" applyProtection="0">
      <alignment vertical="top"/>
      <protection locked="0"/>
    </xf>
    <xf numFmtId="0" fontId="28" fillId="0" borderId="0"/>
    <xf numFmtId="0" fontId="45" fillId="0" borderId="0"/>
    <xf numFmtId="0" fontId="27" fillId="0" borderId="0"/>
    <xf numFmtId="0" fontId="27" fillId="0" borderId="0"/>
    <xf numFmtId="0" fontId="27" fillId="0" borderId="0"/>
    <xf numFmtId="0" fontId="26" fillId="0" borderId="0"/>
    <xf numFmtId="0" fontId="25" fillId="0" borderId="0"/>
    <xf numFmtId="0" fontId="24" fillId="0" borderId="0"/>
    <xf numFmtId="0" fontId="24" fillId="0" borderId="0"/>
    <xf numFmtId="0" fontId="24" fillId="0" borderId="0"/>
    <xf numFmtId="0" fontId="23" fillId="0" borderId="0"/>
    <xf numFmtId="0" fontId="22" fillId="0" borderId="0"/>
    <xf numFmtId="0" fontId="22" fillId="0" borderId="0"/>
    <xf numFmtId="0" fontId="22" fillId="0" borderId="0"/>
    <xf numFmtId="0" fontId="21" fillId="0" borderId="0"/>
    <xf numFmtId="0" fontId="21" fillId="0" borderId="0"/>
    <xf numFmtId="0" fontId="21" fillId="0" borderId="0"/>
    <xf numFmtId="0" fontId="45" fillId="0" borderId="0"/>
    <xf numFmtId="0" fontId="20" fillId="0" borderId="0"/>
    <xf numFmtId="0" fontId="20" fillId="0" borderId="0"/>
    <xf numFmtId="0" fontId="20" fillId="0" borderId="0"/>
    <xf numFmtId="0" fontId="20" fillId="0" borderId="0"/>
    <xf numFmtId="0" fontId="19" fillId="0" borderId="0"/>
    <xf numFmtId="0" fontId="19" fillId="0" borderId="0"/>
    <xf numFmtId="0" fontId="17" fillId="0" borderId="0"/>
    <xf numFmtId="0" fontId="17" fillId="0" borderId="0"/>
    <xf numFmtId="0" fontId="17" fillId="0" borderId="0"/>
    <xf numFmtId="0" fontId="17" fillId="0" borderId="0"/>
    <xf numFmtId="0" fontId="17" fillId="0" borderId="0"/>
    <xf numFmtId="0" fontId="45"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4" fillId="0" borderId="0"/>
    <xf numFmtId="0" fontId="14" fillId="0" borderId="0"/>
    <xf numFmtId="0" fontId="14" fillId="0" borderId="0"/>
    <xf numFmtId="0" fontId="14" fillId="0" borderId="0"/>
    <xf numFmtId="0" fontId="13" fillId="0" borderId="0"/>
    <xf numFmtId="0" fontId="13" fillId="0" borderId="0"/>
    <xf numFmtId="0" fontId="13" fillId="0" borderId="0"/>
    <xf numFmtId="0" fontId="13" fillId="0" borderId="0"/>
    <xf numFmtId="0" fontId="13"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0" fillId="0" borderId="0"/>
    <xf numFmtId="0" fontId="10" fillId="0" borderId="0"/>
    <xf numFmtId="0" fontId="8" fillId="0" borderId="0"/>
    <xf numFmtId="0" fontId="8" fillId="0" borderId="0"/>
    <xf numFmtId="0" fontId="7" fillId="0" borderId="0"/>
    <xf numFmtId="0" fontId="7" fillId="0" borderId="0"/>
    <xf numFmtId="0" fontId="113" fillId="35" borderId="0" applyNumberFormat="0" applyBorder="0" applyAlignment="0" applyProtection="0"/>
  </cellStyleXfs>
  <cellXfs count="2850">
    <xf numFmtId="0" fontId="0" fillId="0" borderId="0" xfId="0"/>
    <xf numFmtId="0" fontId="31" fillId="0" borderId="0" xfId="0" applyFont="1"/>
    <xf numFmtId="0" fontId="31" fillId="0" borderId="5" xfId="0" applyFont="1" applyBorder="1" applyAlignment="1">
      <alignment vertical="top" wrapText="1"/>
    </xf>
    <xf numFmtId="0" fontId="0" fillId="0" borderId="0" xfId="0" applyAlignment="1">
      <alignment horizontal="center" vertical="center"/>
    </xf>
    <xf numFmtId="0" fontId="0" fillId="0" borderId="0" xfId="0" applyAlignment="1">
      <alignment horizontal="left" vertical="center"/>
    </xf>
    <xf numFmtId="0" fontId="35" fillId="0" borderId="0" xfId="0" applyFont="1" applyAlignment="1">
      <alignment horizontal="center" vertical="center"/>
    </xf>
    <xf numFmtId="0" fontId="0" fillId="0" borderId="6" xfId="0" applyBorder="1"/>
    <xf numFmtId="0" fontId="0" fillId="0" borderId="0" xfId="0" applyAlignment="1">
      <alignment horizontal="center" vertical="center" wrapText="1"/>
    </xf>
    <xf numFmtId="0" fontId="39" fillId="0" borderId="0" xfId="0" applyFont="1"/>
    <xf numFmtId="0" fontId="0" fillId="0" borderId="0" xfId="0" applyAlignment="1">
      <alignment vertical="top"/>
    </xf>
    <xf numFmtId="0" fontId="0" fillId="2" borderId="0" xfId="0" applyFill="1"/>
    <xf numFmtId="0" fontId="36" fillId="3" borderId="17" xfId="0" applyFont="1" applyFill="1" applyBorder="1"/>
    <xf numFmtId="0" fontId="36" fillId="3" borderId="18" xfId="0" applyFont="1" applyFill="1" applyBorder="1"/>
    <xf numFmtId="0" fontId="36" fillId="3" borderId="19" xfId="0" applyFont="1" applyFill="1" applyBorder="1"/>
    <xf numFmtId="0" fontId="37" fillId="0" borderId="0" xfId="0" applyFont="1" applyAlignment="1">
      <alignment horizontal="left" vertical="center"/>
    </xf>
    <xf numFmtId="0" fontId="37" fillId="0" borderId="31" xfId="0" applyFont="1" applyBorder="1" applyAlignment="1">
      <alignment horizontal="left" vertical="center"/>
    </xf>
    <xf numFmtId="0" fontId="37" fillId="0" borderId="4" xfId="0" applyFont="1" applyBorder="1" applyAlignment="1">
      <alignment horizontal="left" vertical="center"/>
    </xf>
    <xf numFmtId="0" fontId="37" fillId="0" borderId="18" xfId="0" applyFont="1" applyBorder="1" applyAlignment="1">
      <alignment horizontal="left" vertical="center"/>
    </xf>
    <xf numFmtId="0" fontId="37" fillId="0" borderId="29" xfId="0" applyFont="1" applyBorder="1" applyAlignment="1">
      <alignment horizontal="left" vertical="center"/>
    </xf>
    <xf numFmtId="0" fontId="37" fillId="0" borderId="28" xfId="0" applyFont="1" applyBorder="1" applyAlignment="1">
      <alignment horizontal="left" vertical="center"/>
    </xf>
    <xf numFmtId="0" fontId="37" fillId="0" borderId="0" xfId="1" applyFont="1"/>
    <xf numFmtId="0" fontId="30" fillId="0" borderId="0" xfId="1"/>
    <xf numFmtId="0" fontId="46" fillId="4" borderId="2" xfId="1" applyFont="1" applyFill="1" applyBorder="1"/>
    <xf numFmtId="0" fontId="37" fillId="4" borderId="12" xfId="1" applyFont="1" applyFill="1" applyBorder="1" applyAlignment="1">
      <alignment horizontal="center" vertical="center"/>
    </xf>
    <xf numFmtId="0" fontId="37" fillId="4" borderId="3" xfId="1" applyFont="1" applyFill="1" applyBorder="1" applyAlignment="1">
      <alignment horizontal="center" vertical="center"/>
    </xf>
    <xf numFmtId="0" fontId="37" fillId="4" borderId="2" xfId="1" applyFont="1" applyFill="1" applyBorder="1"/>
    <xf numFmtId="0" fontId="30" fillId="4" borderId="12" xfId="1" applyFill="1" applyBorder="1" applyAlignment="1">
      <alignment horizontal="center" vertical="center"/>
    </xf>
    <xf numFmtId="0" fontId="30" fillId="4" borderId="3" xfId="1" applyFill="1" applyBorder="1" applyAlignment="1">
      <alignment horizontal="center" vertical="center"/>
    </xf>
    <xf numFmtId="0" fontId="30" fillId="0" borderId="0" xfId="1" applyAlignment="1">
      <alignment horizontal="center" vertical="center"/>
    </xf>
    <xf numFmtId="0" fontId="37" fillId="4" borderId="32" xfId="1" applyFont="1" applyFill="1" applyBorder="1"/>
    <xf numFmtId="0" fontId="30" fillId="4" borderId="0" xfId="1" applyFill="1" applyAlignment="1">
      <alignment horizontal="center" vertical="center"/>
    </xf>
    <xf numFmtId="0" fontId="30" fillId="4" borderId="21" xfId="1" applyFill="1" applyBorder="1" applyAlignment="1">
      <alignment horizontal="center" vertical="center"/>
    </xf>
    <xf numFmtId="0" fontId="37" fillId="4" borderId="33" xfId="1" applyFont="1" applyFill="1" applyBorder="1"/>
    <xf numFmtId="0" fontId="30" fillId="4" borderId="23" xfId="1" applyFill="1" applyBorder="1" applyAlignment="1">
      <alignment horizontal="center" vertical="center"/>
    </xf>
    <xf numFmtId="0" fontId="30" fillId="4" borderId="24" xfId="1" applyFill="1" applyBorder="1" applyAlignment="1">
      <alignment horizontal="center" vertical="center"/>
    </xf>
    <xf numFmtId="0" fontId="30" fillId="4" borderId="4" xfId="1" applyFill="1" applyBorder="1" applyAlignment="1">
      <alignment horizontal="center" vertical="center"/>
    </xf>
    <xf numFmtId="0" fontId="30" fillId="4" borderId="33" xfId="1" applyFill="1" applyBorder="1" applyAlignment="1">
      <alignment horizontal="center" vertical="center"/>
    </xf>
    <xf numFmtId="0" fontId="37" fillId="4" borderId="4" xfId="1" applyFont="1" applyFill="1" applyBorder="1"/>
    <xf numFmtId="0" fontId="30" fillId="4" borderId="28" xfId="1" applyFill="1" applyBorder="1" applyAlignment="1">
      <alignment horizontal="center" vertical="center"/>
    </xf>
    <xf numFmtId="11" fontId="30" fillId="4" borderId="23" xfId="1" applyNumberFormat="1" applyFill="1" applyBorder="1" applyAlignment="1">
      <alignment horizontal="center" vertical="center"/>
    </xf>
    <xf numFmtId="0" fontId="30" fillId="4" borderId="35" xfId="1" applyFill="1" applyBorder="1" applyAlignment="1">
      <alignment horizontal="center" vertical="center"/>
    </xf>
    <xf numFmtId="0" fontId="49" fillId="0" borderId="15" xfId="2" applyFont="1" applyBorder="1" applyAlignment="1">
      <alignment horizontal="left" vertical="center" wrapText="1"/>
    </xf>
    <xf numFmtId="0" fontId="49" fillId="0" borderId="15" xfId="2" applyFont="1" applyBorder="1" applyAlignment="1">
      <alignment horizontal="center" vertical="center" wrapText="1"/>
    </xf>
    <xf numFmtId="0" fontId="0" fillId="0" borderId="15" xfId="0" applyBorder="1" applyAlignment="1">
      <alignment horizontal="center" vertical="center" wrapText="1"/>
    </xf>
    <xf numFmtId="0" fontId="45" fillId="0" borderId="15" xfId="0" applyFont="1" applyBorder="1" applyAlignment="1">
      <alignment horizontal="center" vertical="center"/>
    </xf>
    <xf numFmtId="0" fontId="51" fillId="0" borderId="0" xfId="0" applyFont="1" applyAlignment="1">
      <alignment vertical="center"/>
    </xf>
    <xf numFmtId="0" fontId="51" fillId="0" borderId="0" xfId="0" applyFont="1"/>
    <xf numFmtId="0" fontId="0" fillId="6" borderId="0" xfId="0" applyFill="1"/>
    <xf numFmtId="0" fontId="35" fillId="6" borderId="0" xfId="0" applyFont="1" applyFill="1" applyAlignment="1">
      <alignment horizontal="center" vertical="center" wrapText="1"/>
    </xf>
    <xf numFmtId="0" fontId="41" fillId="6" borderId="0" xfId="0" applyFont="1" applyFill="1" applyAlignment="1">
      <alignment horizontal="center" vertical="center" wrapText="1"/>
    </xf>
    <xf numFmtId="0" fontId="35" fillId="6" borderId="0" xfId="0" applyFont="1" applyFill="1" applyAlignment="1">
      <alignment horizontal="center" vertical="center"/>
    </xf>
    <xf numFmtId="0" fontId="34" fillId="6" borderId="0" xfId="0" applyFont="1" applyFill="1" applyAlignment="1">
      <alignment horizontal="center" vertical="center"/>
    </xf>
    <xf numFmtId="0" fontId="42" fillId="7" borderId="0" xfId="0" applyFont="1" applyFill="1"/>
    <xf numFmtId="0" fontId="0" fillId="7" borderId="0" xfId="0" applyFill="1"/>
    <xf numFmtId="0" fontId="31" fillId="7" borderId="4" xfId="0" applyFont="1" applyFill="1" applyBorder="1" applyAlignment="1">
      <alignment horizontal="center" vertical="center"/>
    </xf>
    <xf numFmtId="0" fontId="31" fillId="7" borderId="34" xfId="0" applyFont="1" applyFill="1" applyBorder="1" applyAlignment="1">
      <alignment horizontal="center" vertical="center" wrapText="1"/>
    </xf>
    <xf numFmtId="0" fontId="37" fillId="7" borderId="31" xfId="0" applyFont="1" applyFill="1" applyBorder="1" applyAlignment="1">
      <alignment horizontal="left" vertical="center"/>
    </xf>
    <xf numFmtId="0" fontId="37" fillId="7" borderId="4" xfId="0" applyFont="1" applyFill="1" applyBorder="1" applyAlignment="1">
      <alignment horizontal="left" vertical="center"/>
    </xf>
    <xf numFmtId="0" fontId="37" fillId="7" borderId="18" xfId="0" applyFont="1" applyFill="1" applyBorder="1" applyAlignment="1">
      <alignment horizontal="left" vertical="center"/>
    </xf>
    <xf numFmtId="0" fontId="37" fillId="7" borderId="29" xfId="0" applyFont="1" applyFill="1" applyBorder="1" applyAlignment="1">
      <alignment horizontal="left" vertical="center"/>
    </xf>
    <xf numFmtId="0" fontId="37" fillId="7" borderId="28" xfId="0" applyFont="1" applyFill="1" applyBorder="1" applyAlignment="1">
      <alignment horizontal="left" vertical="center"/>
    </xf>
    <xf numFmtId="0" fontId="37" fillId="7" borderId="25" xfId="0" applyFont="1" applyFill="1" applyBorder="1" applyAlignment="1">
      <alignment horizontal="left" vertical="center" wrapText="1"/>
    </xf>
    <xf numFmtId="0" fontId="37" fillId="7" borderId="0" xfId="0" applyFont="1" applyFill="1" applyAlignment="1">
      <alignment horizontal="left" vertical="center"/>
    </xf>
    <xf numFmtId="0" fontId="31" fillId="7" borderId="5" xfId="0" applyFont="1" applyFill="1" applyBorder="1" applyAlignment="1">
      <alignment vertical="top" wrapText="1"/>
    </xf>
    <xf numFmtId="0" fontId="37" fillId="7" borderId="26" xfId="0" applyFont="1" applyFill="1" applyBorder="1" applyAlignment="1">
      <alignment horizontal="left" vertical="center"/>
    </xf>
    <xf numFmtId="0" fontId="37" fillId="7" borderId="2" xfId="0" applyFont="1" applyFill="1" applyBorder="1" applyAlignment="1">
      <alignment horizontal="left" vertical="center"/>
    </xf>
    <xf numFmtId="0" fontId="37" fillId="7" borderId="3" xfId="0" applyFont="1" applyFill="1" applyBorder="1" applyAlignment="1">
      <alignment horizontal="left" vertical="center"/>
    </xf>
    <xf numFmtId="0" fontId="37" fillId="7" borderId="12" xfId="0" applyFont="1" applyFill="1" applyBorder="1" applyAlignment="1">
      <alignment horizontal="left" vertical="center"/>
    </xf>
    <xf numFmtId="0" fontId="37" fillId="7" borderId="16" xfId="0" applyFont="1" applyFill="1" applyBorder="1" applyAlignment="1">
      <alignment horizontal="left" vertical="center"/>
    </xf>
    <xf numFmtId="0" fontId="0" fillId="0" borderId="0" xfId="0" applyAlignment="1">
      <alignment horizontal="left"/>
    </xf>
    <xf numFmtId="0" fontId="31" fillId="7" borderId="28" xfId="0" applyFont="1" applyFill="1" applyBorder="1" applyAlignment="1">
      <alignment horizontal="center" vertical="center" wrapText="1"/>
    </xf>
    <xf numFmtId="0" fontId="31" fillId="0" borderId="0" xfId="0" applyFont="1" applyAlignment="1">
      <alignment horizontal="center" vertical="center"/>
    </xf>
    <xf numFmtId="0" fontId="0" fillId="6" borderId="0" xfId="0" applyFill="1" applyAlignment="1">
      <alignment horizontal="left"/>
    </xf>
    <xf numFmtId="0" fontId="51" fillId="0" borderId="6" xfId="0" applyFont="1" applyBorder="1"/>
    <xf numFmtId="0" fontId="51" fillId="0" borderId="6" xfId="0" applyFont="1" applyBorder="1" applyAlignment="1">
      <alignment wrapText="1"/>
    </xf>
    <xf numFmtId="0" fontId="31" fillId="7" borderId="27" xfId="0" applyFont="1" applyFill="1" applyBorder="1" applyAlignment="1">
      <alignment horizontal="center" vertical="center" wrapText="1"/>
    </xf>
    <xf numFmtId="0" fontId="51" fillId="0" borderId="6" xfId="0" applyFont="1" applyBorder="1" applyAlignment="1">
      <alignment vertical="center"/>
    </xf>
    <xf numFmtId="0" fontId="57" fillId="0" borderId="0" xfId="0" applyFont="1"/>
    <xf numFmtId="0" fontId="37" fillId="0" borderId="0" xfId="3" applyFont="1" applyAlignment="1">
      <alignment horizontal="center" vertical="center" wrapText="1"/>
    </xf>
    <xf numFmtId="0" fontId="48" fillId="6" borderId="0" xfId="0" applyFont="1" applyFill="1"/>
    <xf numFmtId="0" fontId="48" fillId="0" borderId="0" xfId="0" applyFont="1"/>
    <xf numFmtId="0" fontId="48" fillId="0" borderId="6" xfId="0" applyFont="1" applyBorder="1" applyAlignment="1">
      <alignment horizontal="center" vertical="center"/>
    </xf>
    <xf numFmtId="0" fontId="48" fillId="0" borderId="6" xfId="0" applyFont="1" applyBorder="1" applyAlignment="1">
      <alignment horizontal="left" vertical="center"/>
    </xf>
    <xf numFmtId="0" fontId="51" fillId="0" borderId="6" xfId="0" applyFont="1" applyBorder="1" applyAlignment="1">
      <alignment horizontal="left" vertical="center"/>
    </xf>
    <xf numFmtId="0" fontId="48" fillId="0" borderId="8" xfId="0" applyFont="1" applyBorder="1"/>
    <xf numFmtId="0" fontId="48" fillId="0" borderId="11" xfId="0" applyFont="1" applyBorder="1"/>
    <xf numFmtId="0" fontId="51" fillId="0" borderId="15" xfId="0" applyFont="1" applyBorder="1" applyAlignment="1">
      <alignment horizontal="center" vertical="center"/>
    </xf>
    <xf numFmtId="0" fontId="48" fillId="0" borderId="38" xfId="0" applyFont="1" applyBorder="1"/>
    <xf numFmtId="0" fontId="48" fillId="0" borderId="15" xfId="0" applyFont="1" applyBorder="1" applyAlignment="1">
      <alignment horizontal="center" vertical="center"/>
    </xf>
    <xf numFmtId="0" fontId="51" fillId="0" borderId="15" xfId="0" applyFont="1" applyBorder="1" applyAlignment="1">
      <alignment horizontal="left" vertical="center"/>
    </xf>
    <xf numFmtId="0" fontId="50" fillId="0" borderId="9" xfId="0" applyFont="1" applyBorder="1" applyAlignment="1">
      <alignment horizontal="center" vertical="center" wrapText="1"/>
    </xf>
    <xf numFmtId="0" fontId="31" fillId="6" borderId="0" xfId="0" applyFont="1" applyFill="1" applyAlignment="1">
      <alignment horizontal="center" vertical="center" wrapText="1"/>
    </xf>
    <xf numFmtId="0" fontId="59" fillId="0" borderId="7" xfId="3" applyFont="1" applyBorder="1" applyAlignment="1">
      <alignment horizontal="left" vertical="center" wrapText="1"/>
    </xf>
    <xf numFmtId="0" fontId="63" fillId="0" borderId="7" xfId="3" applyFont="1" applyBorder="1" applyAlignment="1">
      <alignment horizontal="left" vertical="center" wrapText="1"/>
    </xf>
    <xf numFmtId="0" fontId="69" fillId="0" borderId="9" xfId="0" applyFont="1" applyBorder="1" applyAlignment="1">
      <alignment horizontal="left"/>
    </xf>
    <xf numFmtId="2" fontId="48" fillId="0" borderId="6" xfId="0" applyNumberFormat="1" applyFont="1" applyBorder="1" applyAlignment="1">
      <alignment horizontal="center" vertical="center"/>
    </xf>
    <xf numFmtId="0" fontId="48" fillId="0" borderId="8" xfId="0" applyFont="1" applyBorder="1" applyAlignment="1">
      <alignment horizontal="center" vertical="center"/>
    </xf>
    <xf numFmtId="11" fontId="48" fillId="0" borderId="6" xfId="0" applyNumberFormat="1" applyFont="1" applyBorder="1" applyAlignment="1">
      <alignment horizontal="center" vertical="center"/>
    </xf>
    <xf numFmtId="0" fontId="69" fillId="0" borderId="7" xfId="0" applyFont="1" applyBorder="1" applyAlignment="1">
      <alignment horizontal="left" vertical="center"/>
    </xf>
    <xf numFmtId="0" fontId="75" fillId="0" borderId="7" xfId="3" applyFont="1" applyBorder="1" applyAlignment="1">
      <alignment horizontal="left" vertical="center" wrapText="1"/>
    </xf>
    <xf numFmtId="0" fontId="58" fillId="6" borderId="0" xfId="0" applyFont="1" applyFill="1" applyAlignment="1">
      <alignment horizontal="center" vertical="center" wrapText="1"/>
    </xf>
    <xf numFmtId="0" fontId="55" fillId="6" borderId="0" xfId="0" applyFont="1" applyFill="1" applyAlignment="1">
      <alignment horizontal="center" vertical="center"/>
    </xf>
    <xf numFmtId="0" fontId="58" fillId="0" borderId="0" xfId="0" applyFont="1" applyAlignment="1">
      <alignment horizontal="center" vertical="center"/>
    </xf>
    <xf numFmtId="0" fontId="55" fillId="0" borderId="0" xfId="0" applyFont="1" applyAlignment="1">
      <alignment horizontal="center" vertical="center"/>
    </xf>
    <xf numFmtId="166" fontId="55" fillId="0" borderId="0" xfId="0" applyNumberFormat="1" applyFont="1" applyAlignment="1">
      <alignment horizontal="center" vertical="center" wrapText="1"/>
    </xf>
    <xf numFmtId="0" fontId="55" fillId="12" borderId="6" xfId="0" applyFont="1" applyFill="1" applyBorder="1" applyAlignment="1">
      <alignment horizontal="left" vertical="center"/>
    </xf>
    <xf numFmtId="0" fontId="55" fillId="9" borderId="6" xfId="0" quotePrefix="1" applyFont="1" applyFill="1" applyBorder="1" applyAlignment="1">
      <alignment horizontal="center" vertical="center" wrapText="1"/>
    </xf>
    <xf numFmtId="0" fontId="51" fillId="0" borderId="15" xfId="0" applyFont="1" applyBorder="1" applyAlignment="1">
      <alignment horizontal="center" vertical="center" wrapText="1"/>
    </xf>
    <xf numFmtId="0" fontId="51" fillId="0" borderId="6" xfId="0" applyFont="1" applyBorder="1" applyAlignment="1">
      <alignment horizontal="center" vertical="center" wrapText="1"/>
    </xf>
    <xf numFmtId="166" fontId="51" fillId="0" borderId="6" xfId="0" applyNumberFormat="1" applyFont="1" applyBorder="1" applyAlignment="1">
      <alignment horizontal="center" vertical="center" wrapText="1"/>
    </xf>
    <xf numFmtId="2" fontId="51" fillId="0" borderId="6" xfId="0" applyNumberFormat="1" applyFont="1" applyBorder="1" applyAlignment="1">
      <alignment horizontal="center" vertical="center" wrapText="1"/>
    </xf>
    <xf numFmtId="0" fontId="51" fillId="0" borderId="6" xfId="0" quotePrefix="1" applyFont="1" applyBorder="1" applyAlignment="1">
      <alignment horizontal="center" vertical="center" wrapText="1"/>
    </xf>
    <xf numFmtId="0" fontId="51" fillId="0" borderId="10" xfId="0" applyFont="1" applyBorder="1" applyAlignment="1">
      <alignment horizontal="left" vertical="center" wrapText="1"/>
    </xf>
    <xf numFmtId="0" fontId="51" fillId="0" borderId="11" xfId="0" applyFont="1" applyBorder="1" applyAlignment="1">
      <alignment horizontal="center" vertical="center" wrapText="1"/>
    </xf>
    <xf numFmtId="0" fontId="51" fillId="0" borderId="10" xfId="0" applyFont="1" applyBorder="1" applyAlignment="1">
      <alignment horizontal="center" vertical="center"/>
    </xf>
    <xf numFmtId="0" fontId="58" fillId="7" borderId="44" xfId="0" applyFont="1" applyFill="1" applyBorder="1" applyAlignment="1">
      <alignment horizontal="center" vertical="center" wrapText="1"/>
    </xf>
    <xf numFmtId="0" fontId="48" fillId="0" borderId="0" xfId="0" applyFont="1" applyAlignment="1">
      <alignment horizontal="center" vertical="center"/>
    </xf>
    <xf numFmtId="0" fontId="55" fillId="0" borderId="0" xfId="0" applyFont="1"/>
    <xf numFmtId="0" fontId="58" fillId="7" borderId="41" xfId="0" applyFont="1" applyFill="1" applyBorder="1" applyAlignment="1">
      <alignment horizontal="center" vertical="center" wrapText="1"/>
    </xf>
    <xf numFmtId="0" fontId="0" fillId="6" borderId="0" xfId="0" applyFill="1" applyAlignment="1">
      <alignment horizontal="left" vertical="center"/>
    </xf>
    <xf numFmtId="0" fontId="42" fillId="0" borderId="0" xfId="0" applyFont="1"/>
    <xf numFmtId="0" fontId="0" fillId="0" borderId="0" xfId="0" quotePrefix="1" applyAlignment="1">
      <alignment horizontal="right"/>
    </xf>
    <xf numFmtId="0" fontId="43" fillId="0" borderId="0" xfId="0" quotePrefix="1" applyFont="1"/>
    <xf numFmtId="0" fontId="32" fillId="0" borderId="0" xfId="0" applyFont="1"/>
    <xf numFmtId="0" fontId="36" fillId="0" borderId="0" xfId="0" applyFont="1"/>
    <xf numFmtId="0" fontId="40" fillId="0" borderId="0" xfId="0" applyFont="1"/>
    <xf numFmtId="0" fontId="59" fillId="7" borderId="47" xfId="0" applyFont="1" applyFill="1" applyBorder="1" applyAlignment="1">
      <alignment horizontal="center" vertical="center" wrapText="1"/>
    </xf>
    <xf numFmtId="0" fontId="31" fillId="0" borderId="0" xfId="0" applyFont="1" applyAlignment="1">
      <alignment horizontal="left" vertical="center" wrapText="1"/>
    </xf>
    <xf numFmtId="0" fontId="50" fillId="0" borderId="0" xfId="0" applyFont="1"/>
    <xf numFmtId="0" fontId="31" fillId="0" borderId="0" xfId="0" applyFont="1" applyAlignment="1">
      <alignment vertical="top" wrapText="1"/>
    </xf>
    <xf numFmtId="0" fontId="59" fillId="7" borderId="47" xfId="0" applyFont="1" applyFill="1" applyBorder="1" applyAlignment="1">
      <alignment horizontal="center" vertical="center"/>
    </xf>
    <xf numFmtId="0" fontId="55" fillId="0" borderId="0" xfId="0" applyFont="1" applyAlignment="1">
      <alignment horizontal="left" vertical="center"/>
    </xf>
    <xf numFmtId="0" fontId="45" fillId="0" borderId="0" xfId="22"/>
    <xf numFmtId="0" fontId="48" fillId="0" borderId="0" xfId="0" applyFont="1" applyAlignment="1">
      <alignment horizontal="center" vertical="center" wrapText="1"/>
    </xf>
    <xf numFmtId="0" fontId="50" fillId="7" borderId="31" xfId="0" applyFont="1" applyFill="1" applyBorder="1" applyAlignment="1">
      <alignment horizontal="center" vertical="center" wrapText="1"/>
    </xf>
    <xf numFmtId="0" fontId="51" fillId="0" borderId="37" xfId="0" applyFont="1" applyBorder="1" applyAlignment="1">
      <alignment horizontal="left" vertical="center"/>
    </xf>
    <xf numFmtId="0" fontId="51" fillId="0" borderId="7" xfId="0" applyFont="1" applyBorder="1" applyAlignment="1">
      <alignment horizontal="left" vertical="center"/>
    </xf>
    <xf numFmtId="0" fontId="51" fillId="11" borderId="6" xfId="0" applyFont="1" applyFill="1" applyBorder="1" applyAlignment="1">
      <alignment horizontal="center" vertical="center" wrapText="1"/>
    </xf>
    <xf numFmtId="0" fontId="55" fillId="0" borderId="0" xfId="0" applyFont="1" applyAlignment="1">
      <alignment horizontal="left"/>
    </xf>
    <xf numFmtId="0" fontId="51" fillId="0" borderId="0" xfId="0" applyFont="1" applyAlignment="1">
      <alignment horizontal="left" vertical="center"/>
    </xf>
    <xf numFmtId="164" fontId="51" fillId="0" borderId="0" xfId="0" applyNumberFormat="1" applyFont="1" applyAlignment="1">
      <alignment horizontal="center" vertical="center" wrapText="1"/>
    </xf>
    <xf numFmtId="0" fontId="51" fillId="0" borderId="0" xfId="0" applyFont="1" applyAlignment="1">
      <alignment horizontal="center" vertical="center" wrapText="1"/>
    </xf>
    <xf numFmtId="0" fontId="58" fillId="0" borderId="0" xfId="0" applyFont="1" applyAlignment="1">
      <alignment horizontal="left" vertical="center"/>
    </xf>
    <xf numFmtId="0" fontId="55" fillId="8" borderId="7" xfId="0" applyFont="1" applyFill="1" applyBorder="1" applyAlignment="1">
      <alignment horizontal="left" vertical="center"/>
    </xf>
    <xf numFmtId="0" fontId="55" fillId="12" borderId="7" xfId="0" applyFont="1" applyFill="1" applyBorder="1" applyAlignment="1">
      <alignment horizontal="left" vertical="center"/>
    </xf>
    <xf numFmtId="0" fontId="51" fillId="11" borderId="7" xfId="0" applyFont="1" applyFill="1" applyBorder="1" applyAlignment="1">
      <alignment horizontal="left" vertical="center"/>
    </xf>
    <xf numFmtId="0" fontId="0" fillId="6" borderId="0" xfId="0" applyFill="1" applyAlignment="1">
      <alignment horizontal="center"/>
    </xf>
    <xf numFmtId="0" fontId="55" fillId="0" borderId="0" xfId="0" applyFont="1" applyAlignment="1">
      <alignment horizontal="center"/>
    </xf>
    <xf numFmtId="0" fontId="0" fillId="0" borderId="0" xfId="0" applyAlignment="1">
      <alignment horizontal="center"/>
    </xf>
    <xf numFmtId="0" fontId="24" fillId="0" borderId="0" xfId="12"/>
    <xf numFmtId="0" fontId="59" fillId="13" borderId="41" xfId="12" applyFont="1" applyFill="1" applyBorder="1"/>
    <xf numFmtId="0" fontId="59" fillId="13" borderId="46" xfId="12" applyFont="1" applyFill="1" applyBorder="1" applyAlignment="1">
      <alignment horizontal="center"/>
    </xf>
    <xf numFmtId="0" fontId="59" fillId="13" borderId="47" xfId="12" applyFont="1" applyFill="1" applyBorder="1" applyAlignment="1">
      <alignment horizontal="center" vertical="top" wrapText="1"/>
    </xf>
    <xf numFmtId="0" fontId="59" fillId="13" borderId="47" xfId="12" applyFont="1" applyFill="1" applyBorder="1" applyAlignment="1">
      <alignment horizontal="center" vertical="center" wrapText="1"/>
    </xf>
    <xf numFmtId="0" fontId="59" fillId="13" borderId="48" xfId="12" applyFont="1" applyFill="1" applyBorder="1" applyAlignment="1">
      <alignment horizontal="center" vertical="top" wrapText="1"/>
    </xf>
    <xf numFmtId="0" fontId="48" fillId="0" borderId="37" xfId="0" applyFont="1" applyBorder="1"/>
    <xf numFmtId="0" fontId="51" fillId="0" borderId="0" xfId="0" applyFont="1" applyAlignment="1">
      <alignment horizontal="left"/>
    </xf>
    <xf numFmtId="0" fontId="51" fillId="0" borderId="0" xfId="0" applyFont="1" applyAlignment="1">
      <alignment horizontal="center"/>
    </xf>
    <xf numFmtId="0" fontId="51" fillId="0" borderId="0" xfId="0" quotePrefix="1" applyFont="1" applyAlignment="1">
      <alignment horizontal="center"/>
    </xf>
    <xf numFmtId="11" fontId="51" fillId="0" borderId="0" xfId="0" applyNumberFormat="1" applyFont="1" applyAlignment="1">
      <alignment horizontal="center"/>
    </xf>
    <xf numFmtId="0" fontId="48" fillId="0" borderId="0" xfId="22" applyFont="1"/>
    <xf numFmtId="0" fontId="45" fillId="0" borderId="0" xfId="6"/>
    <xf numFmtId="0" fontId="48" fillId="0" borderId="30" xfId="6" applyFont="1" applyBorder="1"/>
    <xf numFmtId="0" fontId="48" fillId="0" borderId="36" xfId="6" applyFont="1" applyBorder="1"/>
    <xf numFmtId="0" fontId="48" fillId="0" borderId="36" xfId="6" applyFont="1" applyBorder="1" applyAlignment="1">
      <alignment horizontal="center"/>
    </xf>
    <xf numFmtId="0" fontId="48" fillId="0" borderId="39" xfId="6" applyFont="1" applyBorder="1"/>
    <xf numFmtId="0" fontId="18" fillId="0" borderId="0" xfId="12" applyFont="1"/>
    <xf numFmtId="0" fontId="59" fillId="0" borderId="0" xfId="0" applyFont="1" applyAlignment="1">
      <alignment horizontal="center" vertical="center"/>
    </xf>
    <xf numFmtId="0" fontId="55" fillId="8" borderId="10" xfId="0" applyFont="1" applyFill="1" applyBorder="1" applyAlignment="1">
      <alignment horizontal="center" vertical="center" wrapText="1"/>
    </xf>
    <xf numFmtId="0" fontId="51" fillId="8" borderId="7" xfId="0" applyFont="1" applyFill="1" applyBorder="1" applyAlignment="1">
      <alignment horizontal="left" vertical="center"/>
    </xf>
    <xf numFmtId="164" fontId="51" fillId="8" borderId="6" xfId="0" applyNumberFormat="1" applyFont="1" applyFill="1" applyBorder="1" applyAlignment="1">
      <alignment horizontal="center" vertical="center" wrapText="1"/>
    </xf>
    <xf numFmtId="0" fontId="51" fillId="8" borderId="6" xfId="0" applyFont="1" applyFill="1" applyBorder="1" applyAlignment="1">
      <alignment horizontal="center" vertical="center" wrapText="1"/>
    </xf>
    <xf numFmtId="2" fontId="51" fillId="8" borderId="6" xfId="0" applyNumberFormat="1" applyFont="1" applyFill="1" applyBorder="1" applyAlignment="1">
      <alignment horizontal="center" vertical="center" wrapText="1"/>
    </xf>
    <xf numFmtId="0" fontId="51" fillId="10" borderId="7" xfId="0" applyFont="1" applyFill="1" applyBorder="1" applyAlignment="1">
      <alignment horizontal="left" vertical="center"/>
    </xf>
    <xf numFmtId="0" fontId="51" fillId="10" borderId="6" xfId="0" applyFont="1" applyFill="1" applyBorder="1" applyAlignment="1">
      <alignment horizontal="center" vertical="center" wrapText="1"/>
    </xf>
    <xf numFmtId="0" fontId="51" fillId="12" borderId="7" xfId="0" applyFont="1" applyFill="1" applyBorder="1" applyAlignment="1">
      <alignment horizontal="left" vertical="center"/>
    </xf>
    <xf numFmtId="0" fontId="51" fillId="12" borderId="6" xfId="0" applyFont="1" applyFill="1" applyBorder="1" applyAlignment="1">
      <alignment horizontal="left" vertical="center"/>
    </xf>
    <xf numFmtId="0" fontId="51" fillId="12" borderId="6" xfId="0" applyFont="1" applyFill="1" applyBorder="1" applyAlignment="1">
      <alignment horizontal="center" vertical="center"/>
    </xf>
    <xf numFmtId="0" fontId="51" fillId="12" borderId="10" xfId="0" applyFont="1" applyFill="1" applyBorder="1" applyAlignment="1">
      <alignment horizontal="left" vertical="center"/>
    </xf>
    <xf numFmtId="0" fontId="51" fillId="12" borderId="10" xfId="0" applyFont="1" applyFill="1" applyBorder="1" applyAlignment="1">
      <alignment horizontal="center" vertical="center"/>
    </xf>
    <xf numFmtId="0" fontId="51" fillId="0" borderId="36" xfId="0" applyFont="1" applyBorder="1" applyAlignment="1">
      <alignment horizontal="center" vertical="center" wrapText="1"/>
    </xf>
    <xf numFmtId="0" fontId="51" fillId="0" borderId="36" xfId="0" quotePrefix="1" applyFont="1" applyBorder="1" applyAlignment="1">
      <alignment horizontal="center" vertical="center" wrapText="1"/>
    </xf>
    <xf numFmtId="164" fontId="51" fillId="0" borderId="36" xfId="0" applyNumberFormat="1" applyFont="1" applyBorder="1" applyAlignment="1">
      <alignment horizontal="center" vertical="center" wrapText="1"/>
    </xf>
    <xf numFmtId="2" fontId="48" fillId="0" borderId="15" xfId="0" applyNumberFormat="1" applyFont="1" applyBorder="1" applyAlignment="1">
      <alignment horizontal="center" vertical="center"/>
    </xf>
    <xf numFmtId="0" fontId="59" fillId="0" borderId="37" xfId="3" applyFont="1" applyBorder="1" applyAlignment="1">
      <alignment horizontal="left" vertical="center" wrapText="1"/>
    </xf>
    <xf numFmtId="0" fontId="46" fillId="0" borderId="0" xfId="0" applyFont="1" applyAlignment="1">
      <alignment horizontal="center" vertical="center"/>
    </xf>
    <xf numFmtId="0" fontId="51" fillId="15" borderId="6" xfId="0" applyFont="1" applyFill="1" applyBorder="1" applyAlignment="1">
      <alignment horizontal="center" vertical="center" wrapText="1"/>
    </xf>
    <xf numFmtId="165" fontId="55" fillId="0" borderId="0" xfId="0" applyNumberFormat="1" applyFont="1" applyAlignment="1">
      <alignment horizontal="center" vertical="center" wrapText="1"/>
    </xf>
    <xf numFmtId="0" fontId="17" fillId="0" borderId="0" xfId="29"/>
    <xf numFmtId="0" fontId="37" fillId="0" borderId="0" xfId="29" applyFont="1" applyAlignment="1">
      <alignment horizontal="left" vertical="center"/>
    </xf>
    <xf numFmtId="0" fontId="50" fillId="7" borderId="64" xfId="29" applyFont="1" applyFill="1" applyBorder="1" applyAlignment="1">
      <alignment horizontal="center" vertical="top" wrapText="1"/>
    </xf>
    <xf numFmtId="0" fontId="31" fillId="0" borderId="0" xfId="29" applyFont="1"/>
    <xf numFmtId="0" fontId="50" fillId="7" borderId="65" xfId="29" applyFont="1" applyFill="1" applyBorder="1" applyAlignment="1">
      <alignment horizontal="center" vertical="center"/>
    </xf>
    <xf numFmtId="0" fontId="50" fillId="7" borderId="59" xfId="29" applyFont="1" applyFill="1" applyBorder="1" applyAlignment="1">
      <alignment horizontal="center" vertical="center"/>
    </xf>
    <xf numFmtId="0" fontId="50" fillId="7" borderId="59" xfId="29" applyFont="1" applyFill="1" applyBorder="1" applyAlignment="1">
      <alignment horizontal="center" vertical="center" wrapText="1"/>
    </xf>
    <xf numFmtId="0" fontId="50" fillId="7" borderId="60" xfId="29" applyFont="1" applyFill="1" applyBorder="1" applyAlignment="1">
      <alignment horizontal="center" vertical="center" wrapText="1"/>
    </xf>
    <xf numFmtId="0" fontId="31" fillId="0" borderId="0" xfId="29" applyFont="1" applyAlignment="1">
      <alignment horizontal="left" vertical="center" wrapText="1"/>
    </xf>
    <xf numFmtId="0" fontId="51" fillId="0" borderId="61" xfId="29" applyFont="1" applyBorder="1" applyAlignment="1">
      <alignment vertical="center"/>
    </xf>
    <xf numFmtId="0" fontId="51" fillId="0" borderId="62" xfId="29" applyFont="1" applyBorder="1"/>
    <xf numFmtId="0" fontId="51" fillId="0" borderId="62" xfId="29" applyFont="1" applyBorder="1" applyAlignment="1">
      <alignment wrapText="1"/>
    </xf>
    <xf numFmtId="0" fontId="51" fillId="0" borderId="63" xfId="29" applyFont="1" applyBorder="1"/>
    <xf numFmtId="0" fontId="51" fillId="0" borderId="7" xfId="29" applyFont="1" applyBorder="1" applyAlignment="1">
      <alignment vertical="center"/>
    </xf>
    <xf numFmtId="0" fontId="51" fillId="0" borderId="6" xfId="29" applyFont="1" applyBorder="1"/>
    <xf numFmtId="0" fontId="51" fillId="0" borderId="8" xfId="29" applyFont="1" applyBorder="1"/>
    <xf numFmtId="0" fontId="51" fillId="0" borderId="7" xfId="30" applyFont="1" applyBorder="1" applyAlignment="1">
      <alignment vertical="center"/>
    </xf>
    <xf numFmtId="0" fontId="51" fillId="0" borderId="6" xfId="30" applyFont="1" applyBorder="1"/>
    <xf numFmtId="0" fontId="51" fillId="0" borderId="8" xfId="30" applyFont="1" applyBorder="1"/>
    <xf numFmtId="0" fontId="17" fillId="0" borderId="0" xfId="30"/>
    <xf numFmtId="0" fontId="37" fillId="0" borderId="0" xfId="30" applyFont="1" applyAlignment="1">
      <alignment horizontal="left" vertical="center"/>
    </xf>
    <xf numFmtId="0" fontId="51" fillId="0" borderId="6" xfId="30" applyFont="1" applyBorder="1" applyAlignment="1">
      <alignment vertical="center"/>
    </xf>
    <xf numFmtId="0" fontId="51" fillId="0" borderId="6" xfId="29" applyFont="1" applyBorder="1" applyAlignment="1">
      <alignment horizontal="left" vertical="center"/>
    </xf>
    <xf numFmtId="0" fontId="51" fillId="0" borderId="6" xfId="29" applyFont="1" applyBorder="1" applyAlignment="1">
      <alignment wrapText="1"/>
    </xf>
    <xf numFmtId="0" fontId="17" fillId="0" borderId="7" xfId="29" applyBorder="1"/>
    <xf numFmtId="0" fontId="17" fillId="0" borderId="6" xfId="29" applyBorder="1"/>
    <xf numFmtId="0" fontId="17" fillId="0" borderId="8" xfId="29" applyBorder="1"/>
    <xf numFmtId="0" fontId="17" fillId="0" borderId="9" xfId="29" applyBorder="1"/>
    <xf numFmtId="0" fontId="17" fillId="0" borderId="10" xfId="29" applyBorder="1"/>
    <xf numFmtId="0" fontId="17" fillId="0" borderId="11" xfId="29" applyBorder="1"/>
    <xf numFmtId="0" fontId="17" fillId="0" borderId="0" xfId="29" applyAlignment="1">
      <alignment horizontal="left" vertical="center"/>
    </xf>
    <xf numFmtId="0" fontId="50" fillId="7" borderId="66" xfId="29" applyFont="1" applyFill="1" applyBorder="1" applyAlignment="1">
      <alignment horizontal="center" vertical="center"/>
    </xf>
    <xf numFmtId="0" fontId="50" fillId="7" borderId="67" xfId="29" applyFont="1" applyFill="1" applyBorder="1" applyAlignment="1">
      <alignment horizontal="center" vertical="center"/>
    </xf>
    <xf numFmtId="0" fontId="50" fillId="7" borderId="67" xfId="29" applyFont="1" applyFill="1" applyBorder="1" applyAlignment="1">
      <alignment horizontal="center" vertical="center" wrapText="1"/>
    </xf>
    <xf numFmtId="0" fontId="50" fillId="7" borderId="68" xfId="29" applyFont="1" applyFill="1" applyBorder="1" applyAlignment="1">
      <alignment horizontal="center" vertical="center" wrapText="1"/>
    </xf>
    <xf numFmtId="0" fontId="51" fillId="0" borderId="37" xfId="29" applyFont="1" applyBorder="1" applyAlignment="1">
      <alignment vertical="center"/>
    </xf>
    <xf numFmtId="0" fontId="51" fillId="0" borderId="15" xfId="29" applyFont="1" applyBorder="1"/>
    <xf numFmtId="0" fontId="51" fillId="0" borderId="38" xfId="29" applyFont="1" applyBorder="1"/>
    <xf numFmtId="0" fontId="51" fillId="0" borderId="7" xfId="29" applyFont="1" applyBorder="1"/>
    <xf numFmtId="0" fontId="51" fillId="0" borderId="6" xfId="29" applyFont="1" applyBorder="1" applyAlignment="1">
      <alignment vertical="center"/>
    </xf>
    <xf numFmtId="0" fontId="51" fillId="0" borderId="6" xfId="29" applyFont="1" applyBorder="1" applyAlignment="1">
      <alignment vertical="center" wrapText="1"/>
    </xf>
    <xf numFmtId="0" fontId="51" fillId="0" borderId="8" xfId="29" applyFont="1" applyBorder="1" applyAlignment="1">
      <alignment vertical="center"/>
    </xf>
    <xf numFmtId="0" fontId="17" fillId="0" borderId="0" xfId="29" applyAlignment="1">
      <alignment vertical="center"/>
    </xf>
    <xf numFmtId="0" fontId="51" fillId="0" borderId="7" xfId="29" applyFont="1" applyBorder="1" applyAlignment="1">
      <alignment vertical="center" wrapText="1"/>
    </xf>
    <xf numFmtId="0" fontId="51" fillId="0" borderId="8" xfId="29" applyFont="1" applyBorder="1" applyAlignment="1">
      <alignment vertical="center" wrapText="1"/>
    </xf>
    <xf numFmtId="0" fontId="17" fillId="0" borderId="0" xfId="29" applyAlignment="1">
      <alignment horizontal="left"/>
    </xf>
    <xf numFmtId="0" fontId="51" fillId="0" borderId="9" xfId="29" applyFont="1" applyBorder="1"/>
    <xf numFmtId="0" fontId="51" fillId="0" borderId="10" xfId="29" applyFont="1" applyBorder="1"/>
    <xf numFmtId="0" fontId="51" fillId="0" borderId="11" xfId="29" applyFont="1" applyBorder="1"/>
    <xf numFmtId="0" fontId="48" fillId="0" borderId="15" xfId="29" applyFont="1" applyBorder="1" applyAlignment="1">
      <alignment vertical="center"/>
    </xf>
    <xf numFmtId="0" fontId="50" fillId="0" borderId="15" xfId="29" applyFont="1" applyBorder="1" applyAlignment="1">
      <alignment horizontal="center" vertical="center" wrapText="1"/>
    </xf>
    <xf numFmtId="0" fontId="50" fillId="0" borderId="38" xfId="29" applyFont="1" applyBorder="1" applyAlignment="1">
      <alignment horizontal="center" vertical="center" wrapText="1"/>
    </xf>
    <xf numFmtId="0" fontId="37" fillId="5" borderId="0" xfId="29" applyFont="1" applyFill="1" applyAlignment="1">
      <alignment horizontal="left" vertical="center"/>
    </xf>
    <xf numFmtId="0" fontId="51" fillId="0" borderId="9" xfId="29" applyFont="1" applyBorder="1" applyAlignment="1">
      <alignment vertical="center"/>
    </xf>
    <xf numFmtId="0" fontId="50" fillId="7" borderId="69" xfId="29" applyFont="1" applyFill="1" applyBorder="1" applyAlignment="1">
      <alignment horizontal="center" vertical="top" wrapText="1"/>
    </xf>
    <xf numFmtId="0" fontId="37" fillId="0" borderId="0" xfId="29" applyFont="1"/>
    <xf numFmtId="0" fontId="50" fillId="7" borderId="36" xfId="29" applyFont="1" applyFill="1" applyBorder="1" applyAlignment="1">
      <alignment horizontal="center" vertical="center"/>
    </xf>
    <xf numFmtId="0" fontId="59" fillId="7" borderId="68" xfId="29" applyFont="1" applyFill="1" applyBorder="1"/>
    <xf numFmtId="0" fontId="48" fillId="0" borderId="37" xfId="4" applyFont="1" applyBorder="1" applyAlignment="1" applyProtection="1"/>
    <xf numFmtId="0" fontId="51" fillId="0" borderId="15" xfId="29" applyFont="1" applyBorder="1" applyAlignment="1">
      <alignment horizontal="left"/>
    </xf>
    <xf numFmtId="0" fontId="48" fillId="0" borderId="7" xfId="4" applyFont="1" applyBorder="1" applyAlignment="1" applyProtection="1"/>
    <xf numFmtId="0" fontId="51" fillId="0" borderId="6" xfId="29" applyFont="1" applyBorder="1" applyAlignment="1">
      <alignment horizontal="left"/>
    </xf>
    <xf numFmtId="0" fontId="48" fillId="0" borderId="9" xfId="4" applyFont="1" applyBorder="1" applyAlignment="1" applyProtection="1"/>
    <xf numFmtId="0" fontId="51" fillId="0" borderId="10" xfId="29" applyFont="1" applyBorder="1" applyAlignment="1">
      <alignment horizontal="left"/>
    </xf>
    <xf numFmtId="0" fontId="51" fillId="12" borderId="8" xfId="0" applyFont="1" applyFill="1" applyBorder="1" applyAlignment="1">
      <alignment horizontal="left" vertical="center"/>
    </xf>
    <xf numFmtId="0" fontId="51" fillId="12" borderId="11" xfId="0" applyFont="1" applyFill="1" applyBorder="1" applyAlignment="1">
      <alignment horizontal="left" vertical="center"/>
    </xf>
    <xf numFmtId="0" fontId="58" fillId="0" borderId="0" xfId="0" applyFont="1"/>
    <xf numFmtId="0" fontId="55" fillId="10" borderId="6" xfId="0" applyFont="1" applyFill="1" applyBorder="1" applyAlignment="1">
      <alignment horizontal="center" vertical="center" wrapText="1"/>
    </xf>
    <xf numFmtId="0" fontId="51" fillId="0" borderId="62" xfId="0" applyFont="1" applyBorder="1" applyAlignment="1">
      <alignment horizontal="center" vertical="center"/>
    </xf>
    <xf numFmtId="0" fontId="51" fillId="12" borderId="62" xfId="0" applyFont="1" applyFill="1" applyBorder="1" applyAlignment="1">
      <alignment horizontal="center" vertical="center"/>
    </xf>
    <xf numFmtId="0" fontId="51" fillId="15" borderId="62" xfId="0" applyFont="1" applyFill="1" applyBorder="1" applyAlignment="1">
      <alignment horizontal="center" vertical="center" wrapText="1"/>
    </xf>
    <xf numFmtId="0" fontId="51" fillId="15" borderId="6" xfId="0" applyFont="1" applyFill="1" applyBorder="1" applyAlignment="1">
      <alignment horizontal="center" vertical="center"/>
    </xf>
    <xf numFmtId="0" fontId="51" fillId="15" borderId="10" xfId="0" applyFont="1" applyFill="1" applyBorder="1" applyAlignment="1">
      <alignment horizontal="center" vertical="center"/>
    </xf>
    <xf numFmtId="166" fontId="55" fillId="8" borderId="6" xfId="0" applyNumberFormat="1" applyFont="1" applyFill="1" applyBorder="1" applyAlignment="1">
      <alignment horizontal="center" vertical="center" wrapText="1"/>
    </xf>
    <xf numFmtId="0" fontId="55" fillId="8" borderId="6" xfId="0" quotePrefix="1" applyFont="1" applyFill="1" applyBorder="1" applyAlignment="1">
      <alignment horizontal="center" vertical="center" wrapText="1"/>
    </xf>
    <xf numFmtId="0" fontId="55" fillId="9" borderId="7" xfId="0" applyFont="1" applyFill="1" applyBorder="1" applyAlignment="1">
      <alignment horizontal="left" vertical="center"/>
    </xf>
    <xf numFmtId="166" fontId="55" fillId="9" borderId="6" xfId="0" applyNumberFormat="1" applyFont="1" applyFill="1" applyBorder="1" applyAlignment="1">
      <alignment horizontal="center" vertical="center"/>
    </xf>
    <xf numFmtId="0" fontId="55" fillId="16" borderId="7" xfId="0" applyFont="1" applyFill="1" applyBorder="1" applyAlignment="1">
      <alignment horizontal="left" vertical="center"/>
    </xf>
    <xf numFmtId="166" fontId="55" fillId="16" borderId="6" xfId="0" applyNumberFormat="1" applyFont="1" applyFill="1" applyBorder="1" applyAlignment="1">
      <alignment horizontal="center" vertical="center" wrapText="1"/>
    </xf>
    <xf numFmtId="0" fontId="55" fillId="16" borderId="6" xfId="0" quotePrefix="1" applyFont="1" applyFill="1" applyBorder="1" applyAlignment="1">
      <alignment horizontal="center" vertical="center" wrapText="1"/>
    </xf>
    <xf numFmtId="166" fontId="55" fillId="10" borderId="6" xfId="0" applyNumberFormat="1" applyFont="1" applyFill="1" applyBorder="1" applyAlignment="1">
      <alignment horizontal="center" vertical="center" wrapText="1"/>
    </xf>
    <xf numFmtId="0" fontId="55" fillId="10" borderId="6" xfId="0" quotePrefix="1" applyFont="1" applyFill="1" applyBorder="1" applyAlignment="1">
      <alignment horizontal="center" vertical="center" wrapText="1"/>
    </xf>
    <xf numFmtId="166" fontId="55" fillId="19" borderId="6" xfId="0" applyNumberFormat="1" applyFont="1" applyFill="1" applyBorder="1" applyAlignment="1">
      <alignment horizontal="center" vertical="center" wrapText="1"/>
    </xf>
    <xf numFmtId="0" fontId="55" fillId="19" borderId="6" xfId="0" quotePrefix="1" applyFont="1" applyFill="1" applyBorder="1" applyAlignment="1">
      <alignment horizontal="center" vertical="center" wrapText="1"/>
    </xf>
    <xf numFmtId="166" fontId="55" fillId="8" borderId="62" xfId="0" applyNumberFormat="1" applyFont="1" applyFill="1" applyBorder="1" applyAlignment="1">
      <alignment horizontal="center" vertical="center" wrapText="1"/>
    </xf>
    <xf numFmtId="0" fontId="55" fillId="8" borderId="62" xfId="0" quotePrefix="1" applyFont="1" applyFill="1" applyBorder="1" applyAlignment="1">
      <alignment horizontal="center" vertical="center" wrapText="1"/>
    </xf>
    <xf numFmtId="0" fontId="51" fillId="18" borderId="7" xfId="0" applyFont="1" applyFill="1" applyBorder="1" applyAlignment="1">
      <alignment horizontal="left" vertical="center"/>
    </xf>
    <xf numFmtId="0" fontId="51" fillId="5" borderId="6" xfId="0" applyFont="1" applyFill="1" applyBorder="1" applyAlignment="1">
      <alignment horizontal="center" vertical="center"/>
    </xf>
    <xf numFmtId="0" fontId="48" fillId="5" borderId="6" xfId="0" applyFont="1" applyFill="1" applyBorder="1" applyAlignment="1">
      <alignment horizontal="center" vertical="center"/>
    </xf>
    <xf numFmtId="0" fontId="48" fillId="11" borderId="6" xfId="0" quotePrefix="1" applyFont="1" applyFill="1" applyBorder="1" applyAlignment="1">
      <alignment horizontal="left" vertical="center"/>
    </xf>
    <xf numFmtId="0" fontId="51" fillId="0" borderId="61" xfId="0" applyFont="1" applyBorder="1" applyAlignment="1">
      <alignment horizontal="left" vertical="center"/>
    </xf>
    <xf numFmtId="0" fontId="51" fillId="15" borderId="63" xfId="0" applyFont="1" applyFill="1" applyBorder="1" applyAlignment="1">
      <alignment horizontal="left" vertical="center"/>
    </xf>
    <xf numFmtId="0" fontId="51" fillId="15" borderId="8" xfId="0" applyFont="1" applyFill="1" applyBorder="1" applyAlignment="1">
      <alignment horizontal="left" vertical="center"/>
    </xf>
    <xf numFmtId="0" fontId="55" fillId="15" borderId="6" xfId="0" applyFont="1" applyFill="1" applyBorder="1" applyAlignment="1">
      <alignment horizontal="center" vertical="center" wrapText="1"/>
    </xf>
    <xf numFmtId="0" fontId="55" fillId="15" borderId="8" xfId="0" applyFont="1" applyFill="1" applyBorder="1" applyAlignment="1">
      <alignment horizontal="left" vertical="center" wrapText="1"/>
    </xf>
    <xf numFmtId="0" fontId="55" fillId="15" borderId="10" xfId="0" applyFont="1" applyFill="1" applyBorder="1" applyAlignment="1">
      <alignment horizontal="center" vertical="center" wrapText="1"/>
    </xf>
    <xf numFmtId="0" fontId="55" fillId="15" borderId="11" xfId="0" applyFont="1" applyFill="1" applyBorder="1" applyAlignment="1">
      <alignment horizontal="left" vertical="center" wrapText="1"/>
    </xf>
    <xf numFmtId="0" fontId="51" fillId="11" borderId="6" xfId="0" applyFont="1" applyFill="1" applyBorder="1" applyAlignment="1">
      <alignment horizontal="left" vertical="center"/>
    </xf>
    <xf numFmtId="0" fontId="51" fillId="11" borderId="9" xfId="0" applyFont="1" applyFill="1" applyBorder="1" applyAlignment="1">
      <alignment horizontal="left" vertical="center"/>
    </xf>
    <xf numFmtId="0" fontId="51" fillId="12" borderId="6" xfId="0" applyFont="1" applyFill="1" applyBorder="1" applyAlignment="1">
      <alignment horizontal="center" vertical="center" wrapText="1"/>
    </xf>
    <xf numFmtId="0" fontId="55" fillId="6" borderId="0" xfId="0" applyFont="1" applyFill="1" applyAlignment="1">
      <alignment horizontal="left" vertical="center"/>
    </xf>
    <xf numFmtId="0" fontId="58" fillId="7" borderId="42" xfId="0" applyFont="1" applyFill="1" applyBorder="1" applyAlignment="1">
      <alignment horizontal="left" vertical="center" wrapText="1"/>
    </xf>
    <xf numFmtId="0" fontId="51" fillId="8" borderId="7" xfId="0" quotePrefix="1" applyFont="1" applyFill="1" applyBorder="1" applyAlignment="1">
      <alignment horizontal="left" vertical="center"/>
    </xf>
    <xf numFmtId="0" fontId="51" fillId="8" borderId="6" xfId="0" applyFont="1" applyFill="1" applyBorder="1" applyAlignment="1">
      <alignment horizontal="left" vertical="center"/>
    </xf>
    <xf numFmtId="0" fontId="51" fillId="8" borderId="37" xfId="0" quotePrefix="1" applyFont="1" applyFill="1" applyBorder="1" applyAlignment="1">
      <alignment horizontal="left" vertical="center"/>
    </xf>
    <xf numFmtId="0" fontId="51" fillId="12" borderId="7" xfId="0" quotePrefix="1" applyFont="1" applyFill="1" applyBorder="1" applyAlignment="1">
      <alignment horizontal="left" vertical="center"/>
    </xf>
    <xf numFmtId="0" fontId="51" fillId="12" borderId="15" xfId="0" applyFont="1" applyFill="1" applyBorder="1" applyAlignment="1">
      <alignment horizontal="left" vertical="center"/>
    </xf>
    <xf numFmtId="0" fontId="51" fillId="12" borderId="37" xfId="0" quotePrefix="1" applyFont="1" applyFill="1" applyBorder="1" applyAlignment="1">
      <alignment horizontal="left" vertical="center"/>
    </xf>
    <xf numFmtId="0" fontId="51" fillId="12" borderId="9" xfId="0" quotePrefix="1" applyFont="1" applyFill="1" applyBorder="1" applyAlignment="1">
      <alignment horizontal="left" vertical="center"/>
    </xf>
    <xf numFmtId="0" fontId="51" fillId="0" borderId="6" xfId="0" quotePrefix="1" applyFont="1" applyBorder="1" applyAlignment="1">
      <alignment horizontal="left" vertical="center"/>
    </xf>
    <xf numFmtId="0" fontId="55" fillId="8" borderId="6" xfId="0" applyFont="1" applyFill="1" applyBorder="1" applyAlignment="1">
      <alignment horizontal="left" vertical="center"/>
    </xf>
    <xf numFmtId="0" fontId="55" fillId="11" borderId="7" xfId="0" applyFont="1" applyFill="1" applyBorder="1" applyAlignment="1">
      <alignment horizontal="left" vertical="center"/>
    </xf>
    <xf numFmtId="0" fontId="55" fillId="11" borderId="6" xfId="0" applyFont="1" applyFill="1" applyBorder="1" applyAlignment="1">
      <alignment horizontal="left" vertical="center"/>
    </xf>
    <xf numFmtId="0" fontId="55" fillId="9" borderId="6" xfId="0" applyFont="1" applyFill="1" applyBorder="1" applyAlignment="1">
      <alignment horizontal="left" vertical="center"/>
    </xf>
    <xf numFmtId="0" fontId="55" fillId="16" borderId="6" xfId="0" applyFont="1" applyFill="1" applyBorder="1" applyAlignment="1">
      <alignment horizontal="left" vertical="center"/>
    </xf>
    <xf numFmtId="164" fontId="55" fillId="0" borderId="0" xfId="0" applyNumberFormat="1" applyFont="1" applyAlignment="1">
      <alignment horizontal="left" vertical="center"/>
    </xf>
    <xf numFmtId="0" fontId="48" fillId="20" borderId="6" xfId="0" applyFont="1" applyFill="1" applyBorder="1" applyAlignment="1">
      <alignment horizontal="center" vertical="center"/>
    </xf>
    <xf numFmtId="0" fontId="48" fillId="20" borderId="6" xfId="0" applyFont="1" applyFill="1" applyBorder="1" applyAlignment="1">
      <alignment horizontal="center" vertical="center" wrapText="1"/>
    </xf>
    <xf numFmtId="0" fontId="48" fillId="20" borderId="6" xfId="0" applyFont="1" applyFill="1" applyBorder="1"/>
    <xf numFmtId="0" fontId="0" fillId="20" borderId="6" xfId="0" applyFill="1" applyBorder="1"/>
    <xf numFmtId="0" fontId="48" fillId="20" borderId="15" xfId="0" applyFont="1" applyFill="1" applyBorder="1" applyAlignment="1">
      <alignment horizontal="center" vertical="center"/>
    </xf>
    <xf numFmtId="0" fontId="48" fillId="20" borderId="15" xfId="0" applyFont="1" applyFill="1" applyBorder="1" applyAlignment="1">
      <alignment horizontal="center" vertical="center" wrapText="1"/>
    </xf>
    <xf numFmtId="0" fontId="48" fillId="20" borderId="15" xfId="0" applyFont="1" applyFill="1" applyBorder="1"/>
    <xf numFmtId="0" fontId="50" fillId="7" borderId="66" xfId="0" applyFont="1" applyFill="1" applyBorder="1" applyAlignment="1">
      <alignment horizontal="center" vertical="center"/>
    </xf>
    <xf numFmtId="0" fontId="50" fillId="7" borderId="67" xfId="0" applyFont="1" applyFill="1" applyBorder="1" applyAlignment="1">
      <alignment horizontal="center" vertical="center"/>
    </xf>
    <xf numFmtId="0" fontId="59" fillId="7" borderId="67" xfId="0" applyFont="1" applyFill="1" applyBorder="1" applyAlignment="1">
      <alignment horizontal="center" vertical="center"/>
    </xf>
    <xf numFmtId="0" fontId="59" fillId="7" borderId="68" xfId="0" applyFont="1" applyFill="1" applyBorder="1" applyAlignment="1">
      <alignment horizontal="center" vertical="center"/>
    </xf>
    <xf numFmtId="0" fontId="48" fillId="20" borderId="37" xfId="0" applyFont="1" applyFill="1" applyBorder="1" applyAlignment="1">
      <alignment horizontal="center" vertical="center"/>
    </xf>
    <xf numFmtId="0" fontId="48" fillId="20" borderId="38" xfId="0" applyFont="1" applyFill="1" applyBorder="1"/>
    <xf numFmtId="0" fontId="48" fillId="20" borderId="9" xfId="0" applyFont="1" applyFill="1" applyBorder="1" applyAlignment="1">
      <alignment horizontal="center" vertical="center"/>
    </xf>
    <xf numFmtId="0" fontId="48" fillId="20" borderId="10" xfId="0" applyFont="1" applyFill="1" applyBorder="1" applyAlignment="1">
      <alignment horizontal="center" vertical="center" wrapText="1"/>
    </xf>
    <xf numFmtId="0" fontId="48" fillId="20" borderId="10" xfId="0" applyFont="1" applyFill="1" applyBorder="1"/>
    <xf numFmtId="0" fontId="48" fillId="20" borderId="11" xfId="0" applyFont="1" applyFill="1" applyBorder="1"/>
    <xf numFmtId="0" fontId="51" fillId="20" borderId="37" xfId="0" applyFont="1" applyFill="1" applyBorder="1" applyAlignment="1">
      <alignment horizontal="left" vertical="center"/>
    </xf>
    <xf numFmtId="0" fontId="51" fillId="20" borderId="15" xfId="0" applyFont="1" applyFill="1" applyBorder="1" applyAlignment="1">
      <alignment horizontal="left" vertical="center"/>
    </xf>
    <xf numFmtId="0" fontId="51" fillId="20" borderId="6" xfId="0" applyFont="1" applyFill="1" applyBorder="1" applyAlignment="1">
      <alignment horizontal="left" vertical="center"/>
    </xf>
    <xf numFmtId="0" fontId="51" fillId="20" borderId="9" xfId="0" applyFont="1" applyFill="1" applyBorder="1" applyAlignment="1">
      <alignment horizontal="left" vertical="center" wrapText="1"/>
    </xf>
    <xf numFmtId="0" fontId="51" fillId="20" borderId="10" xfId="0" applyFont="1" applyFill="1" applyBorder="1" applyAlignment="1">
      <alignment horizontal="left" vertical="center"/>
    </xf>
    <xf numFmtId="0" fontId="51" fillId="20" borderId="7" xfId="0" applyFont="1" applyFill="1" applyBorder="1" applyAlignment="1">
      <alignment horizontal="left" vertical="center"/>
    </xf>
    <xf numFmtId="0" fontId="51" fillId="20" borderId="9" xfId="0" applyFont="1" applyFill="1" applyBorder="1" applyAlignment="1">
      <alignment horizontal="left" vertical="center"/>
    </xf>
    <xf numFmtId="0" fontId="51" fillId="20" borderId="61" xfId="0" applyFont="1" applyFill="1" applyBorder="1" applyAlignment="1">
      <alignment horizontal="left" vertical="center" wrapText="1"/>
    </xf>
    <xf numFmtId="0" fontId="51" fillId="20" borderId="62" xfId="0" applyFont="1" applyFill="1" applyBorder="1" applyAlignment="1">
      <alignment horizontal="left" vertical="center"/>
    </xf>
    <xf numFmtId="0" fontId="51" fillId="20" borderId="53" xfId="24" applyFont="1" applyFill="1" applyBorder="1" applyAlignment="1">
      <alignment horizontal="left" vertical="center"/>
    </xf>
    <xf numFmtId="0" fontId="51" fillId="20" borderId="7" xfId="24" applyFont="1" applyFill="1" applyBorder="1" applyAlignment="1">
      <alignment horizontal="left" vertical="center"/>
    </xf>
    <xf numFmtId="0" fontId="50" fillId="5" borderId="7" xfId="0" applyFont="1" applyFill="1" applyBorder="1" applyAlignment="1">
      <alignment horizontal="center" vertical="center"/>
    </xf>
    <xf numFmtId="0" fontId="50" fillId="5" borderId="9" xfId="0" applyFont="1" applyFill="1" applyBorder="1" applyAlignment="1">
      <alignment horizontal="center" vertical="center"/>
    </xf>
    <xf numFmtId="0" fontId="51" fillId="5" borderId="10" xfId="0" applyFont="1" applyFill="1" applyBorder="1" applyAlignment="1">
      <alignment horizontal="center" vertical="center"/>
    </xf>
    <xf numFmtId="0" fontId="48" fillId="5" borderId="10" xfId="0" applyFont="1" applyFill="1" applyBorder="1" applyAlignment="1">
      <alignment horizontal="center" vertical="center"/>
    </xf>
    <xf numFmtId="0" fontId="59" fillId="13" borderId="76" xfId="0" applyFont="1" applyFill="1" applyBorder="1" applyAlignment="1">
      <alignment horizontal="center" vertical="center"/>
    </xf>
    <xf numFmtId="0" fontId="59" fillId="13" borderId="73" xfId="12" applyFont="1" applyFill="1" applyBorder="1" applyAlignment="1">
      <alignment horizontal="center"/>
    </xf>
    <xf numFmtId="0" fontId="59" fillId="13" borderId="74" xfId="12" applyFont="1" applyFill="1" applyBorder="1" applyAlignment="1">
      <alignment horizontal="center" vertical="top" wrapText="1"/>
    </xf>
    <xf numFmtId="0" fontId="59" fillId="13" borderId="74" xfId="12" applyFont="1" applyFill="1" applyBorder="1" applyAlignment="1">
      <alignment horizontal="center" vertical="center" wrapText="1"/>
    </xf>
    <xf numFmtId="0" fontId="59" fillId="13" borderId="75" xfId="12" applyFont="1" applyFill="1" applyBorder="1" applyAlignment="1">
      <alignment horizontal="center" vertical="top" wrapText="1"/>
    </xf>
    <xf numFmtId="0" fontId="20" fillId="0" borderId="0" xfId="24" applyAlignment="1">
      <alignment horizontal="left" vertical="center"/>
    </xf>
    <xf numFmtId="0" fontId="59" fillId="7" borderId="76" xfId="0" applyFont="1" applyFill="1" applyBorder="1" applyAlignment="1">
      <alignment horizontal="center" vertical="center"/>
    </xf>
    <xf numFmtId="0" fontId="59" fillId="7" borderId="50" xfId="0" applyFont="1" applyFill="1" applyBorder="1" applyAlignment="1">
      <alignment horizontal="left" vertical="center"/>
    </xf>
    <xf numFmtId="0" fontId="59" fillId="7" borderId="51" xfId="0" applyFont="1" applyFill="1" applyBorder="1" applyAlignment="1">
      <alignment horizontal="center" vertical="center" wrapText="1"/>
    </xf>
    <xf numFmtId="0" fontId="59" fillId="7" borderId="57" xfId="0" applyFont="1" applyFill="1" applyBorder="1" applyAlignment="1">
      <alignment horizontal="center" vertical="center" wrapText="1"/>
    </xf>
    <xf numFmtId="164" fontId="51" fillId="7" borderId="76" xfId="0" applyNumberFormat="1" applyFont="1" applyFill="1" applyBorder="1" applyAlignment="1">
      <alignment horizontal="center" vertical="center" wrapText="1"/>
    </xf>
    <xf numFmtId="0" fontId="51" fillId="7" borderId="76" xfId="0" applyFont="1" applyFill="1" applyBorder="1" applyAlignment="1">
      <alignment horizontal="center" vertical="center" wrapText="1"/>
    </xf>
    <xf numFmtId="0" fontId="59" fillId="7" borderId="52" xfId="0" applyFont="1" applyFill="1" applyBorder="1" applyAlignment="1">
      <alignment horizontal="left" vertical="center"/>
    </xf>
    <xf numFmtId="0" fontId="51" fillId="0" borderId="78" xfId="0" applyFont="1" applyBorder="1" applyAlignment="1">
      <alignment horizontal="center" vertical="center"/>
    </xf>
    <xf numFmtId="0" fontId="51" fillId="21" borderId="7" xfId="0" applyFont="1" applyFill="1" applyBorder="1" applyAlignment="1">
      <alignment horizontal="left" vertical="center"/>
    </xf>
    <xf numFmtId="164" fontId="55" fillId="18" borderId="6" xfId="0" applyNumberFormat="1" applyFont="1" applyFill="1" applyBorder="1" applyAlignment="1">
      <alignment horizontal="center" vertical="center"/>
    </xf>
    <xf numFmtId="0" fontId="55" fillId="18" borderId="15" xfId="0" applyFont="1" applyFill="1" applyBorder="1" applyAlignment="1">
      <alignment horizontal="center" vertical="center"/>
    </xf>
    <xf numFmtId="0" fontId="55" fillId="18" borderId="6" xfId="0" applyFont="1" applyFill="1" applyBorder="1" applyAlignment="1">
      <alignment horizontal="center" vertical="center"/>
    </xf>
    <xf numFmtId="0" fontId="51" fillId="18" borderId="10" xfId="0" applyFont="1" applyFill="1" applyBorder="1" applyAlignment="1">
      <alignment horizontal="center" vertical="center"/>
    </xf>
    <xf numFmtId="0" fontId="51" fillId="9" borderId="7" xfId="0" applyFont="1" applyFill="1" applyBorder="1" applyAlignment="1">
      <alignment horizontal="left" vertical="center"/>
    </xf>
    <xf numFmtId="0" fontId="51" fillId="9" borderId="6" xfId="0" applyFont="1" applyFill="1" applyBorder="1" applyAlignment="1">
      <alignment horizontal="left" vertical="center"/>
    </xf>
    <xf numFmtId="0" fontId="51" fillId="8" borderId="6" xfId="0" quotePrefix="1" applyFont="1" applyFill="1" applyBorder="1" applyAlignment="1">
      <alignment horizontal="left" vertical="center"/>
    </xf>
    <xf numFmtId="0" fontId="51" fillId="21" borderId="6" xfId="0" quotePrefix="1" applyFont="1" applyFill="1" applyBorder="1" applyAlignment="1">
      <alignment horizontal="left" vertical="center"/>
    </xf>
    <xf numFmtId="0" fontId="51" fillId="21" borderId="6" xfId="0" applyFont="1" applyFill="1" applyBorder="1" applyAlignment="1">
      <alignment horizontal="left" vertical="center"/>
    </xf>
    <xf numFmtId="0" fontId="51" fillId="18" borderId="6" xfId="0" applyFont="1" applyFill="1" applyBorder="1" applyAlignment="1">
      <alignment horizontal="left" vertical="center"/>
    </xf>
    <xf numFmtId="0" fontId="51" fillId="18" borderId="6" xfId="0" quotePrefix="1" applyFont="1" applyFill="1" applyBorder="1" applyAlignment="1">
      <alignment horizontal="left" vertical="center"/>
    </xf>
    <xf numFmtId="0" fontId="51" fillId="7" borderId="7" xfId="0" applyFont="1" applyFill="1" applyBorder="1" applyAlignment="1">
      <alignment horizontal="left" vertical="center"/>
    </xf>
    <xf numFmtId="0" fontId="51" fillId="7" borderId="6" xfId="0" applyFont="1" applyFill="1" applyBorder="1" applyAlignment="1">
      <alignment horizontal="left" vertical="center"/>
    </xf>
    <xf numFmtId="0" fontId="60" fillId="7" borderId="7" xfId="0" applyFont="1" applyFill="1" applyBorder="1" applyAlignment="1">
      <alignment horizontal="left" vertical="center"/>
    </xf>
    <xf numFmtId="0" fontId="51" fillId="7" borderId="6" xfId="0" quotePrefix="1" applyFont="1" applyFill="1" applyBorder="1" applyAlignment="1">
      <alignment horizontal="left" vertical="center"/>
    </xf>
    <xf numFmtId="0" fontId="51" fillId="20" borderId="82" xfId="0" applyFont="1" applyFill="1" applyBorder="1" applyAlignment="1">
      <alignment horizontal="left" vertical="center"/>
    </xf>
    <xf numFmtId="0" fontId="51" fillId="5" borderId="6" xfId="0" quotePrefix="1" applyFont="1" applyFill="1" applyBorder="1" applyAlignment="1">
      <alignment horizontal="center" vertical="center"/>
    </xf>
    <xf numFmtId="0" fontId="50" fillId="5" borderId="81" xfId="0" applyFont="1" applyFill="1" applyBorder="1" applyAlignment="1">
      <alignment horizontal="center" vertical="center"/>
    </xf>
    <xf numFmtId="0" fontId="51" fillId="5" borderId="82" xfId="0" applyFont="1" applyFill="1" applyBorder="1" applyAlignment="1">
      <alignment horizontal="center" vertical="center"/>
    </xf>
    <xf numFmtId="0" fontId="51" fillId="5" borderId="82" xfId="0" quotePrefix="1" applyFont="1" applyFill="1" applyBorder="1" applyAlignment="1">
      <alignment horizontal="center" vertical="center"/>
    </xf>
    <xf numFmtId="0" fontId="48" fillId="5" borderId="82" xfId="0" applyFont="1" applyFill="1" applyBorder="1" applyAlignment="1">
      <alignment horizontal="center" vertical="center"/>
    </xf>
    <xf numFmtId="0" fontId="51" fillId="5" borderId="11" xfId="0" applyFont="1" applyFill="1" applyBorder="1" applyAlignment="1">
      <alignment horizontal="center" vertical="center"/>
    </xf>
    <xf numFmtId="0" fontId="55" fillId="8" borderId="81" xfId="0" applyFont="1" applyFill="1" applyBorder="1" applyAlignment="1">
      <alignment horizontal="left" vertical="center"/>
    </xf>
    <xf numFmtId="0" fontId="55" fillId="8" borderId="82" xfId="0" applyFont="1" applyFill="1" applyBorder="1" applyAlignment="1">
      <alignment horizontal="left" vertical="center"/>
    </xf>
    <xf numFmtId="0" fontId="55" fillId="16" borderId="9" xfId="0" applyFont="1" applyFill="1" applyBorder="1" applyAlignment="1">
      <alignment horizontal="left" vertical="center"/>
    </xf>
    <xf numFmtId="0" fontId="55" fillId="16" borderId="10" xfId="0" applyFont="1" applyFill="1" applyBorder="1" applyAlignment="1">
      <alignment horizontal="left" vertical="center"/>
    </xf>
    <xf numFmtId="0" fontId="51" fillId="9" borderId="9" xfId="0" applyFont="1" applyFill="1" applyBorder="1" applyAlignment="1">
      <alignment horizontal="left" vertical="center"/>
    </xf>
    <xf numFmtId="0" fontId="51" fillId="9" borderId="10" xfId="0" applyFont="1" applyFill="1" applyBorder="1" applyAlignment="1">
      <alignment horizontal="left" vertical="center"/>
    </xf>
    <xf numFmtId="0" fontId="51" fillId="7" borderId="11" xfId="0" applyFont="1" applyFill="1" applyBorder="1" applyAlignment="1">
      <alignment horizontal="left" vertical="center"/>
    </xf>
    <xf numFmtId="0" fontId="51" fillId="20" borderId="81" xfId="0" applyFont="1" applyFill="1" applyBorder="1" applyAlignment="1">
      <alignment horizontal="left" vertical="center" wrapText="1"/>
    </xf>
    <xf numFmtId="0" fontId="50" fillId="17" borderId="0" xfId="0" applyFont="1" applyFill="1" applyAlignment="1">
      <alignment horizontal="center" vertical="center"/>
    </xf>
    <xf numFmtId="0" fontId="59" fillId="17" borderId="0" xfId="0" applyFont="1" applyFill="1" applyAlignment="1">
      <alignment horizontal="center" vertical="center"/>
    </xf>
    <xf numFmtId="0" fontId="66" fillId="7" borderId="46" xfId="0" applyFont="1" applyFill="1" applyBorder="1" applyAlignment="1">
      <alignment horizontal="center" vertical="center" wrapText="1"/>
    </xf>
    <xf numFmtId="0" fontId="66" fillId="7" borderId="47" xfId="0" applyFont="1" applyFill="1" applyBorder="1" applyAlignment="1">
      <alignment horizontal="center" vertical="center" wrapText="1"/>
    </xf>
    <xf numFmtId="0" fontId="66" fillId="7" borderId="48" xfId="0" applyFont="1" applyFill="1" applyBorder="1" applyAlignment="1">
      <alignment horizontal="center" vertical="center" wrapText="1"/>
    </xf>
    <xf numFmtId="0" fontId="50" fillId="7" borderId="85" xfId="0" applyFont="1" applyFill="1" applyBorder="1" applyAlignment="1">
      <alignment horizontal="left" vertical="center" wrapText="1"/>
    </xf>
    <xf numFmtId="0" fontId="50" fillId="7" borderId="84" xfId="0" applyFont="1" applyFill="1" applyBorder="1" applyAlignment="1">
      <alignment horizontal="center" vertical="center" wrapText="1"/>
    </xf>
    <xf numFmtId="0" fontId="59" fillId="7" borderId="84" xfId="0" applyFont="1" applyFill="1" applyBorder="1" applyAlignment="1">
      <alignment horizontal="center" vertical="center" wrapText="1"/>
    </xf>
    <xf numFmtId="0" fontId="50" fillId="7" borderId="86" xfId="0" applyFont="1" applyFill="1" applyBorder="1" applyAlignment="1">
      <alignment horizontal="center" vertical="center" wrapText="1"/>
    </xf>
    <xf numFmtId="0" fontId="59" fillId="7" borderId="84" xfId="0" applyFont="1" applyFill="1" applyBorder="1" applyAlignment="1">
      <alignment horizontal="center" vertical="center"/>
    </xf>
    <xf numFmtId="0" fontId="59" fillId="7" borderId="86" xfId="0" applyFont="1" applyFill="1" applyBorder="1" applyAlignment="1">
      <alignment horizontal="center" vertical="center"/>
    </xf>
    <xf numFmtId="0" fontId="48" fillId="20" borderId="7" xfId="0" applyFont="1" applyFill="1" applyBorder="1" applyAlignment="1">
      <alignment horizontal="center" vertical="center"/>
    </xf>
    <xf numFmtId="0" fontId="48" fillId="20" borderId="8" xfId="0" applyFont="1" applyFill="1" applyBorder="1"/>
    <xf numFmtId="0" fontId="48" fillId="20" borderId="10" xfId="0" applyFont="1" applyFill="1" applyBorder="1" applyAlignment="1">
      <alignment horizontal="center" vertical="center"/>
    </xf>
    <xf numFmtId="0" fontId="48" fillId="20" borderId="36" xfId="0" applyFont="1" applyFill="1" applyBorder="1"/>
    <xf numFmtId="0" fontId="48" fillId="20" borderId="81" xfId="0" applyFont="1" applyFill="1" applyBorder="1" applyAlignment="1">
      <alignment horizontal="center" vertical="center"/>
    </xf>
    <xf numFmtId="0" fontId="48" fillId="20" borderId="82" xfId="0" applyFont="1" applyFill="1" applyBorder="1" applyAlignment="1">
      <alignment horizontal="center" vertical="center" wrapText="1"/>
    </xf>
    <xf numFmtId="0" fontId="48" fillId="20" borderId="82" xfId="0" applyFont="1" applyFill="1" applyBorder="1"/>
    <xf numFmtId="0" fontId="48" fillId="20" borderId="83" xfId="0" applyFont="1" applyFill="1" applyBorder="1"/>
    <xf numFmtId="166" fontId="55" fillId="18" borderId="6" xfId="0" applyNumberFormat="1" applyFont="1" applyFill="1" applyBorder="1" applyAlignment="1">
      <alignment horizontal="center" vertical="center" wrapText="1"/>
    </xf>
    <xf numFmtId="0" fontId="55" fillId="18" borderId="6" xfId="0" quotePrefix="1" applyFont="1" applyFill="1" applyBorder="1" applyAlignment="1">
      <alignment horizontal="center" vertical="center" wrapText="1"/>
    </xf>
    <xf numFmtId="166" fontId="55" fillId="12" borderId="6" xfId="0" applyNumberFormat="1" applyFont="1" applyFill="1" applyBorder="1" applyAlignment="1">
      <alignment horizontal="center" vertical="center" wrapText="1"/>
    </xf>
    <xf numFmtId="0" fontId="55" fillId="12" borderId="6" xfId="0" quotePrefix="1" applyFont="1" applyFill="1" applyBorder="1" applyAlignment="1">
      <alignment horizontal="center" vertical="center" wrapText="1"/>
    </xf>
    <xf numFmtId="0" fontId="51" fillId="12" borderId="6" xfId="0" applyFont="1" applyFill="1" applyBorder="1" applyAlignment="1">
      <alignment horizontal="left" vertical="center" wrapText="1"/>
    </xf>
    <xf numFmtId="2" fontId="51" fillId="12" borderId="6" xfId="0" applyNumberFormat="1" applyFont="1" applyFill="1" applyBorder="1" applyAlignment="1">
      <alignment horizontal="center" vertical="center" wrapText="1"/>
    </xf>
    <xf numFmtId="2" fontId="51" fillId="8" borderId="78" xfId="0" applyNumberFormat="1" applyFont="1" applyFill="1" applyBorder="1" applyAlignment="1">
      <alignment horizontal="center" vertical="center" wrapText="1"/>
    </xf>
    <xf numFmtId="0" fontId="51" fillId="8" borderId="78" xfId="0" applyFont="1" applyFill="1" applyBorder="1" applyAlignment="1">
      <alignment horizontal="center" vertical="center" wrapText="1"/>
    </xf>
    <xf numFmtId="0" fontId="50" fillId="7" borderId="74" xfId="0" applyFont="1" applyFill="1" applyBorder="1" applyAlignment="1">
      <alignment horizontal="center" vertical="center"/>
    </xf>
    <xf numFmtId="166" fontId="0" fillId="0" borderId="0" xfId="0" applyNumberFormat="1"/>
    <xf numFmtId="166" fontId="0" fillId="0" borderId="0" xfId="0" applyNumberFormat="1" applyAlignment="1">
      <alignment horizontal="center" vertical="center"/>
    </xf>
    <xf numFmtId="0" fontId="48" fillId="10" borderId="6" xfId="0" applyFont="1" applyFill="1" applyBorder="1" applyAlignment="1">
      <alignment horizontal="left" vertical="center"/>
    </xf>
    <xf numFmtId="0" fontId="48" fillId="9" borderId="6" xfId="0" applyFont="1" applyFill="1" applyBorder="1" applyAlignment="1">
      <alignment horizontal="left" vertical="center"/>
    </xf>
    <xf numFmtId="0" fontId="48" fillId="7" borderId="6" xfId="0" applyFont="1" applyFill="1" applyBorder="1" applyAlignment="1">
      <alignment horizontal="left" vertical="center"/>
    </xf>
    <xf numFmtId="164" fontId="55" fillId="6" borderId="0" xfId="0" applyNumberFormat="1" applyFont="1" applyFill="1" applyAlignment="1">
      <alignment horizontal="left" vertical="center"/>
    </xf>
    <xf numFmtId="0" fontId="58" fillId="7" borderId="34" xfId="0" applyFont="1" applyFill="1" applyBorder="1" applyAlignment="1">
      <alignment horizontal="left" vertical="center" wrapText="1"/>
    </xf>
    <xf numFmtId="164" fontId="51" fillId="0" borderId="6" xfId="0" applyNumberFormat="1" applyFont="1" applyBorder="1" applyAlignment="1">
      <alignment horizontal="left" vertical="center"/>
    </xf>
    <xf numFmtId="0" fontId="51" fillId="0" borderId="8" xfId="0" applyFont="1" applyBorder="1" applyAlignment="1">
      <alignment horizontal="left" vertical="center"/>
    </xf>
    <xf numFmtId="0" fontId="51" fillId="0" borderId="63" xfId="0" quotePrefix="1" applyFont="1" applyBorder="1" applyAlignment="1">
      <alignment horizontal="left" vertical="center"/>
    </xf>
    <xf numFmtId="2" fontId="51" fillId="8" borderId="6" xfId="0" applyNumberFormat="1" applyFont="1" applyFill="1" applyBorder="1" applyAlignment="1">
      <alignment horizontal="left" vertical="center"/>
    </xf>
    <xf numFmtId="166" fontId="51" fillId="8" borderId="6" xfId="0" applyNumberFormat="1" applyFont="1" applyFill="1" applyBorder="1" applyAlignment="1">
      <alignment horizontal="left" vertical="center"/>
    </xf>
    <xf numFmtId="0" fontId="51" fillId="8" borderId="15" xfId="0" quotePrefix="1" applyFont="1" applyFill="1" applyBorder="1" applyAlignment="1">
      <alignment horizontal="left" vertical="center"/>
    </xf>
    <xf numFmtId="2" fontId="51" fillId="8" borderId="15" xfId="0" applyNumberFormat="1" applyFont="1" applyFill="1" applyBorder="1" applyAlignment="1">
      <alignment horizontal="left" vertical="center"/>
    </xf>
    <xf numFmtId="0" fontId="51" fillId="11" borderId="6" xfId="0" quotePrefix="1" applyFont="1" applyFill="1" applyBorder="1" applyAlignment="1">
      <alignment horizontal="left" vertical="center"/>
    </xf>
    <xf numFmtId="0" fontId="51" fillId="12" borderId="6" xfId="0" quotePrefix="1" applyFont="1" applyFill="1" applyBorder="1" applyAlignment="1">
      <alignment horizontal="left" vertical="center"/>
    </xf>
    <xf numFmtId="0" fontId="51" fillId="12" borderId="10" xfId="0" applyFont="1" applyFill="1" applyBorder="1" applyAlignment="1">
      <alignment horizontal="left" vertical="center" wrapText="1"/>
    </xf>
    <xf numFmtId="0" fontId="51" fillId="12" borderId="10" xfId="0" quotePrefix="1" applyFont="1" applyFill="1" applyBorder="1" applyAlignment="1">
      <alignment horizontal="left" vertical="center"/>
    </xf>
    <xf numFmtId="0" fontId="51" fillId="12" borderId="15" xfId="0" quotePrefix="1" applyFont="1" applyFill="1" applyBorder="1" applyAlignment="1">
      <alignment horizontal="left" vertical="center"/>
    </xf>
    <xf numFmtId="0" fontId="51" fillId="12" borderId="15" xfId="0" applyFont="1" applyFill="1" applyBorder="1" applyAlignment="1">
      <alignment horizontal="left" vertical="center" wrapText="1"/>
    </xf>
    <xf numFmtId="166" fontId="51" fillId="12" borderId="6" xfId="0" applyNumberFormat="1" applyFont="1" applyFill="1" applyBorder="1" applyAlignment="1">
      <alignment horizontal="left" vertical="center"/>
    </xf>
    <xf numFmtId="0" fontId="51" fillId="8" borderId="8" xfId="0" applyFont="1" applyFill="1" applyBorder="1" applyAlignment="1">
      <alignment horizontal="left" vertical="center"/>
    </xf>
    <xf numFmtId="0" fontId="51" fillId="21" borderId="8" xfId="0" applyFont="1" applyFill="1" applyBorder="1" applyAlignment="1">
      <alignment horizontal="left" vertical="center"/>
    </xf>
    <xf numFmtId="0" fontId="51" fillId="11" borderId="8" xfId="0" applyFont="1" applyFill="1" applyBorder="1" applyAlignment="1">
      <alignment horizontal="left" vertical="center"/>
    </xf>
    <xf numFmtId="0" fontId="51" fillId="18" borderId="8" xfId="0" applyFont="1" applyFill="1" applyBorder="1" applyAlignment="1">
      <alignment horizontal="left" vertical="center"/>
    </xf>
    <xf numFmtId="0" fontId="51" fillId="7" borderId="8" xfId="0" applyFont="1" applyFill="1" applyBorder="1" applyAlignment="1">
      <alignment horizontal="left" vertical="center"/>
    </xf>
    <xf numFmtId="0" fontId="51" fillId="9" borderId="6" xfId="0" quotePrefix="1" applyFont="1" applyFill="1" applyBorder="1" applyAlignment="1">
      <alignment horizontal="left" vertical="center"/>
    </xf>
    <xf numFmtId="0" fontId="51" fillId="9" borderId="8" xfId="0" quotePrefix="1" applyFont="1" applyFill="1" applyBorder="1" applyAlignment="1">
      <alignment horizontal="left" vertical="center"/>
    </xf>
    <xf numFmtId="0" fontId="51" fillId="9" borderId="8" xfId="0" applyFont="1" applyFill="1" applyBorder="1" applyAlignment="1">
      <alignment horizontal="left" vertical="center"/>
    </xf>
    <xf numFmtId="0" fontId="51" fillId="9" borderId="10" xfId="0" quotePrefix="1" applyFont="1" applyFill="1" applyBorder="1" applyAlignment="1">
      <alignment horizontal="left" vertical="center"/>
    </xf>
    <xf numFmtId="0" fontId="51" fillId="9" borderId="11" xfId="0" quotePrefix="1" applyFont="1" applyFill="1" applyBorder="1" applyAlignment="1">
      <alignment horizontal="left" vertical="center"/>
    </xf>
    <xf numFmtId="0" fontId="51" fillId="8" borderId="82" xfId="0" applyFont="1" applyFill="1" applyBorder="1" applyAlignment="1">
      <alignment horizontal="left" vertical="center"/>
    </xf>
    <xf numFmtId="0" fontId="55" fillId="8" borderId="83" xfId="0" applyFont="1" applyFill="1" applyBorder="1" applyAlignment="1">
      <alignment horizontal="left" vertical="center"/>
    </xf>
    <xf numFmtId="0" fontId="55" fillId="8" borderId="8" xfId="0" applyFont="1" applyFill="1" applyBorder="1" applyAlignment="1">
      <alignment horizontal="left" vertical="center"/>
    </xf>
    <xf numFmtId="0" fontId="55" fillId="11" borderId="8" xfId="0" applyFont="1" applyFill="1" applyBorder="1" applyAlignment="1">
      <alignment horizontal="left" vertical="center"/>
    </xf>
    <xf numFmtId="0" fontId="55" fillId="12" borderId="8" xfId="0" applyFont="1" applyFill="1" applyBorder="1" applyAlignment="1">
      <alignment horizontal="left" vertical="center"/>
    </xf>
    <xf numFmtId="0" fontId="55" fillId="9" borderId="8" xfId="0" applyFont="1" applyFill="1" applyBorder="1" applyAlignment="1">
      <alignment horizontal="left" vertical="center"/>
    </xf>
    <xf numFmtId="0" fontId="51" fillId="16" borderId="6" xfId="0" applyFont="1" applyFill="1" applyBorder="1" applyAlignment="1">
      <alignment horizontal="left" vertical="center"/>
    </xf>
    <xf numFmtId="0" fontId="55" fillId="16" borderId="8" xfId="0" applyFont="1" applyFill="1" applyBorder="1" applyAlignment="1">
      <alignment horizontal="left" vertical="center"/>
    </xf>
    <xf numFmtId="0" fontId="51" fillId="16" borderId="10" xfId="0" applyFont="1" applyFill="1" applyBorder="1" applyAlignment="1">
      <alignment horizontal="left" vertical="center"/>
    </xf>
    <xf numFmtId="0" fontId="55" fillId="16" borderId="11" xfId="0" applyFont="1" applyFill="1" applyBorder="1" applyAlignment="1">
      <alignment horizontal="left" vertical="center"/>
    </xf>
    <xf numFmtId="0" fontId="51" fillId="20" borderId="38" xfId="0" applyFont="1" applyFill="1" applyBorder="1" applyAlignment="1">
      <alignment horizontal="left" vertical="center"/>
    </xf>
    <xf numFmtId="167" fontId="51" fillId="20" borderId="6" xfId="0" applyNumberFormat="1" applyFont="1" applyFill="1" applyBorder="1" applyAlignment="1">
      <alignment horizontal="left" vertical="center"/>
    </xf>
    <xf numFmtId="0" fontId="51" fillId="20" borderId="6" xfId="0" quotePrefix="1" applyFont="1" applyFill="1" applyBorder="1" applyAlignment="1">
      <alignment horizontal="left" vertical="center"/>
    </xf>
    <xf numFmtId="0" fontId="51" fillId="20" borderId="8" xfId="0" applyFont="1" applyFill="1" applyBorder="1" applyAlignment="1">
      <alignment horizontal="left" vertical="center"/>
    </xf>
    <xf numFmtId="0" fontId="51" fillId="20" borderId="10" xfId="0" quotePrefix="1" applyFont="1" applyFill="1" applyBorder="1" applyAlignment="1">
      <alignment horizontal="left" vertical="center"/>
    </xf>
    <xf numFmtId="0" fontId="51" fillId="20" borderId="11" xfId="0" applyFont="1" applyFill="1" applyBorder="1" applyAlignment="1">
      <alignment horizontal="left" vertical="center"/>
    </xf>
    <xf numFmtId="0" fontId="51" fillId="20" borderId="62" xfId="0" quotePrefix="1" applyFont="1" applyFill="1" applyBorder="1" applyAlignment="1">
      <alignment horizontal="left" vertical="center"/>
    </xf>
    <xf numFmtId="0" fontId="51" fillId="20" borderId="63" xfId="0" applyFont="1" applyFill="1" applyBorder="1" applyAlignment="1">
      <alignment horizontal="left" vertical="center"/>
    </xf>
    <xf numFmtId="167" fontId="51" fillId="20" borderId="10" xfId="0" applyNumberFormat="1" applyFont="1" applyFill="1" applyBorder="1" applyAlignment="1">
      <alignment horizontal="left" vertical="center"/>
    </xf>
    <xf numFmtId="0" fontId="51" fillId="20" borderId="82" xfId="0" quotePrefix="1" applyFont="1" applyFill="1" applyBorder="1" applyAlignment="1">
      <alignment horizontal="left" vertical="center"/>
    </xf>
    <xf numFmtId="0" fontId="51" fillId="20" borderId="83" xfId="0" applyFont="1" applyFill="1" applyBorder="1" applyAlignment="1">
      <alignment horizontal="left" vertical="center"/>
    </xf>
    <xf numFmtId="167" fontId="51" fillId="20" borderId="54" xfId="0" applyNumberFormat="1" applyFont="1" applyFill="1" applyBorder="1" applyAlignment="1">
      <alignment horizontal="left" vertical="center"/>
    </xf>
    <xf numFmtId="0" fontId="51" fillId="20" borderId="54" xfId="0" quotePrefix="1" applyFont="1" applyFill="1" applyBorder="1" applyAlignment="1">
      <alignment horizontal="left" vertical="center"/>
    </xf>
    <xf numFmtId="0" fontId="51" fillId="20" borderId="54" xfId="0" applyFont="1" applyFill="1" applyBorder="1" applyAlignment="1">
      <alignment horizontal="left" vertical="center"/>
    </xf>
    <xf numFmtId="0" fontId="51" fillId="20" borderId="55" xfId="0" applyFont="1" applyFill="1" applyBorder="1" applyAlignment="1">
      <alignment horizontal="left" vertical="center"/>
    </xf>
    <xf numFmtId="165" fontId="51" fillId="20" borderId="10" xfId="0" applyNumberFormat="1" applyFont="1" applyFill="1" applyBorder="1" applyAlignment="1">
      <alignment horizontal="left" vertical="center"/>
    </xf>
    <xf numFmtId="0" fontId="51" fillId="8" borderId="6" xfId="0" quotePrefix="1" applyFont="1" applyFill="1" applyBorder="1" applyAlignment="1">
      <alignment horizontal="center" vertical="center" wrapText="1"/>
    </xf>
    <xf numFmtId="0" fontId="51" fillId="8" borderId="10" xfId="0" applyFont="1" applyFill="1" applyBorder="1" applyAlignment="1">
      <alignment horizontal="center" vertical="center" wrapText="1"/>
    </xf>
    <xf numFmtId="0" fontId="51" fillId="18" borderId="10" xfId="0" applyFont="1" applyFill="1" applyBorder="1" applyAlignment="1">
      <alignment horizontal="center" vertical="center" wrapText="1"/>
    </xf>
    <xf numFmtId="2" fontId="55" fillId="10" borderId="6" xfId="0" applyNumberFormat="1" applyFont="1" applyFill="1" applyBorder="1" applyAlignment="1">
      <alignment horizontal="center" vertical="center" wrapText="1"/>
    </xf>
    <xf numFmtId="0" fontId="55" fillId="10" borderId="10" xfId="0" applyFont="1" applyFill="1" applyBorder="1" applyAlignment="1">
      <alignment horizontal="center" vertical="center" wrapText="1"/>
    </xf>
    <xf numFmtId="1" fontId="51" fillId="15" borderId="62" xfId="0" applyNumberFormat="1" applyFont="1" applyFill="1" applyBorder="1" applyAlignment="1">
      <alignment horizontal="center" vertical="center" wrapText="1"/>
    </xf>
    <xf numFmtId="1" fontId="51" fillId="15" borderId="6" xfId="0" applyNumberFormat="1" applyFont="1" applyFill="1" applyBorder="1" applyAlignment="1">
      <alignment horizontal="center" vertical="center" wrapText="1"/>
    </xf>
    <xf numFmtId="166" fontId="51" fillId="0" borderId="62" xfId="0" applyNumberFormat="1" applyFont="1" applyBorder="1" applyAlignment="1">
      <alignment horizontal="center" vertical="center" wrapText="1"/>
    </xf>
    <xf numFmtId="0" fontId="51" fillId="0" borderId="62" xfId="0" applyFont="1" applyBorder="1" applyAlignment="1">
      <alignment horizontal="center" vertical="center" wrapText="1"/>
    </xf>
    <xf numFmtId="164" fontId="55" fillId="0" borderId="6" xfId="0" applyNumberFormat="1" applyFont="1" applyBorder="1" applyAlignment="1">
      <alignment horizontal="center" vertical="center"/>
    </xf>
    <xf numFmtId="0" fontId="55" fillId="0" borderId="6" xfId="0" applyFont="1" applyBorder="1" applyAlignment="1">
      <alignment horizontal="center" vertical="center"/>
    </xf>
    <xf numFmtId="0" fontId="51" fillId="0" borderId="6" xfId="0" applyFont="1" applyBorder="1" applyAlignment="1">
      <alignment horizontal="center" vertical="center"/>
    </xf>
    <xf numFmtId="2" fontId="51" fillId="18" borderId="10" xfId="0" applyNumberFormat="1" applyFont="1" applyFill="1" applyBorder="1" applyAlignment="1">
      <alignment horizontal="center" vertical="center" wrapText="1"/>
    </xf>
    <xf numFmtId="164" fontId="51" fillId="11" borderId="6" xfId="0" applyNumberFormat="1" applyFont="1" applyFill="1" applyBorder="1" applyAlignment="1">
      <alignment horizontal="center" vertical="center" wrapText="1"/>
    </xf>
    <xf numFmtId="0" fontId="59" fillId="7" borderId="84" xfId="3" applyFont="1" applyFill="1" applyBorder="1" applyAlignment="1">
      <alignment horizontal="center" vertical="center" wrapText="1"/>
    </xf>
    <xf numFmtId="0" fontId="63" fillId="7" borderId="84" xfId="3" applyFont="1" applyFill="1" applyBorder="1" applyAlignment="1">
      <alignment horizontal="center" vertical="center" wrapText="1"/>
    </xf>
    <xf numFmtId="0" fontId="50" fillId="7" borderId="84" xfId="0" applyFont="1" applyFill="1" applyBorder="1" applyAlignment="1">
      <alignment horizontal="left" vertical="center" wrapText="1"/>
    </xf>
    <xf numFmtId="0" fontId="52" fillId="6" borderId="0" xfId="0" applyFont="1" applyFill="1" applyAlignment="1">
      <alignment horizontal="left"/>
    </xf>
    <xf numFmtId="0" fontId="48" fillId="8" borderId="6" xfId="0" quotePrefix="1" applyFont="1" applyFill="1" applyBorder="1" applyAlignment="1">
      <alignment horizontal="left" vertical="center"/>
    </xf>
    <xf numFmtId="0" fontId="48" fillId="10" borderId="6" xfId="0" quotePrefix="1" applyFont="1" applyFill="1" applyBorder="1" applyAlignment="1">
      <alignment horizontal="left" vertical="center"/>
    </xf>
    <xf numFmtId="0" fontId="48" fillId="7" borderId="6" xfId="0" quotePrefix="1" applyFont="1" applyFill="1" applyBorder="1" applyAlignment="1">
      <alignment horizontal="left" vertical="center"/>
    </xf>
    <xf numFmtId="0" fontId="31" fillId="0" borderId="0" xfId="0" applyFont="1" applyAlignment="1">
      <alignment horizontal="left" vertical="center"/>
    </xf>
    <xf numFmtId="164" fontId="51" fillId="0" borderId="62" xfId="0" quotePrefix="1" applyNumberFormat="1" applyFont="1" applyBorder="1" applyAlignment="1">
      <alignment horizontal="left" vertical="center"/>
    </xf>
    <xf numFmtId="167" fontId="51" fillId="20" borderId="62" xfId="0" applyNumberFormat="1" applyFont="1" applyFill="1" applyBorder="1" applyAlignment="1">
      <alignment horizontal="left" vertical="center"/>
    </xf>
    <xf numFmtId="167" fontId="51" fillId="20" borderId="82" xfId="0" applyNumberFormat="1" applyFont="1" applyFill="1" applyBorder="1" applyAlignment="1">
      <alignment horizontal="left" vertical="center"/>
    </xf>
    <xf numFmtId="0" fontId="51" fillId="20" borderId="10" xfId="0" applyFont="1" applyFill="1" applyBorder="1" applyAlignment="1">
      <alignment horizontal="left" vertical="center" wrapText="1"/>
    </xf>
    <xf numFmtId="167" fontId="51" fillId="20" borderId="15" xfId="0" applyNumberFormat="1" applyFont="1" applyFill="1" applyBorder="1" applyAlignment="1">
      <alignment horizontal="left" vertical="center"/>
    </xf>
    <xf numFmtId="0" fontId="51" fillId="0" borderId="91" xfId="0" applyFont="1" applyBorder="1" applyAlignment="1">
      <alignment horizontal="left" vertical="center"/>
    </xf>
    <xf numFmtId="164" fontId="51" fillId="0" borderId="92" xfId="0" quotePrefix="1" applyNumberFormat="1" applyFont="1" applyBorder="1" applyAlignment="1">
      <alignment horizontal="left" vertical="center"/>
    </xf>
    <xf numFmtId="0" fontId="51" fillId="0" borderId="72" xfId="0" applyFont="1" applyBorder="1" applyAlignment="1">
      <alignment horizontal="left" vertical="center"/>
    </xf>
    <xf numFmtId="0" fontId="51" fillId="0" borderId="92" xfId="0" quotePrefix="1" applyFont="1" applyBorder="1" applyAlignment="1">
      <alignment horizontal="left" vertical="center"/>
    </xf>
    <xf numFmtId="0" fontId="58" fillId="7" borderId="80" xfId="0" applyFont="1" applyFill="1" applyBorder="1" applyAlignment="1">
      <alignment horizontal="left" vertical="center" wrapText="1"/>
    </xf>
    <xf numFmtId="0" fontId="51" fillId="5" borderId="91" xfId="0" applyFont="1" applyFill="1" applyBorder="1" applyAlignment="1">
      <alignment horizontal="center" vertical="center"/>
    </xf>
    <xf numFmtId="0" fontId="51" fillId="19" borderId="6" xfId="0" applyFont="1" applyFill="1" applyBorder="1" applyAlignment="1">
      <alignment horizontal="left" vertical="center"/>
    </xf>
    <xf numFmtId="0" fontId="51" fillId="19" borderId="6" xfId="0" quotePrefix="1" applyFont="1" applyFill="1" applyBorder="1" applyAlignment="1">
      <alignment horizontal="left" vertical="center"/>
    </xf>
    <xf numFmtId="0" fontId="51" fillId="19" borderId="8" xfId="0" applyFont="1" applyFill="1" applyBorder="1" applyAlignment="1">
      <alignment horizontal="left" vertical="center"/>
    </xf>
    <xf numFmtId="0" fontId="51" fillId="19" borderId="6" xfId="0" applyFont="1" applyFill="1" applyBorder="1" applyAlignment="1">
      <alignment horizontal="center" vertical="center" wrapText="1"/>
    </xf>
    <xf numFmtId="0" fontId="55" fillId="19" borderId="6" xfId="0" applyFont="1" applyFill="1" applyBorder="1" applyAlignment="1">
      <alignment horizontal="left" vertical="center"/>
    </xf>
    <xf numFmtId="0" fontId="55" fillId="19" borderId="8" xfId="0" applyFont="1" applyFill="1" applyBorder="1" applyAlignment="1">
      <alignment horizontal="left" vertical="center"/>
    </xf>
    <xf numFmtId="166" fontId="55" fillId="11" borderId="6" xfId="0" applyNumberFormat="1" applyFont="1" applyFill="1" applyBorder="1" applyAlignment="1">
      <alignment horizontal="center" vertical="center" wrapText="1"/>
    </xf>
    <xf numFmtId="0" fontId="55" fillId="11" borderId="6" xfId="0" quotePrefix="1" applyFont="1" applyFill="1" applyBorder="1" applyAlignment="1">
      <alignment horizontal="center" vertical="center" wrapText="1"/>
    </xf>
    <xf numFmtId="0" fontId="51" fillId="19" borderId="71" xfId="0" applyFont="1" applyFill="1" applyBorder="1" applyAlignment="1">
      <alignment horizontal="left" vertical="center"/>
    </xf>
    <xf numFmtId="0" fontId="51" fillId="0" borderId="6" xfId="0" quotePrefix="1" applyFont="1" applyBorder="1" applyAlignment="1">
      <alignment horizontal="left" vertical="center" wrapText="1"/>
    </xf>
    <xf numFmtId="2" fontId="51" fillId="11" borderId="6" xfId="0" applyNumberFormat="1" applyFont="1" applyFill="1" applyBorder="1" applyAlignment="1">
      <alignment horizontal="left" vertical="center"/>
    </xf>
    <xf numFmtId="0" fontId="51" fillId="0" borderId="91" xfId="0" applyFont="1" applyBorder="1" applyAlignment="1">
      <alignment horizontal="left" vertical="center" wrapText="1"/>
    </xf>
    <xf numFmtId="0" fontId="51" fillId="11" borderId="91" xfId="0" applyFont="1" applyFill="1" applyBorder="1" applyAlignment="1">
      <alignment horizontal="left" vertical="center"/>
    </xf>
    <xf numFmtId="0" fontId="51" fillId="0" borderId="82" xfId="0" applyFont="1" applyBorder="1" applyAlignment="1">
      <alignment horizontal="center" vertical="center"/>
    </xf>
    <xf numFmtId="0" fontId="48" fillId="0" borderId="7" xfId="0" applyFont="1" applyBorder="1" applyAlignment="1">
      <alignment horizontal="left" vertical="center"/>
    </xf>
    <xf numFmtId="0" fontId="51" fillId="0" borderId="91" xfId="0" applyFont="1" applyBorder="1" applyAlignment="1">
      <alignment horizontal="center" vertical="center" wrapText="1"/>
    </xf>
    <xf numFmtId="0" fontId="51" fillId="0" borderId="91" xfId="0" applyFont="1" applyBorder="1" applyAlignment="1">
      <alignment horizontal="center" vertical="center"/>
    </xf>
    <xf numFmtId="0" fontId="48" fillId="0" borderId="91" xfId="0" applyFont="1" applyBorder="1" applyAlignment="1">
      <alignment horizontal="center"/>
    </xf>
    <xf numFmtId="0" fontId="48" fillId="20" borderId="92" xfId="0" applyFont="1" applyFill="1" applyBorder="1" applyAlignment="1">
      <alignment horizontal="center" vertical="center" wrapText="1"/>
    </xf>
    <xf numFmtId="0" fontId="48" fillId="20" borderId="78" xfId="0" applyFont="1" applyFill="1" applyBorder="1" applyAlignment="1">
      <alignment horizontal="center" vertical="center" wrapText="1"/>
    </xf>
    <xf numFmtId="0" fontId="48" fillId="20" borderId="6" xfId="0" quotePrefix="1" applyFont="1" applyFill="1" applyBorder="1" applyAlignment="1">
      <alignment horizontal="left" vertical="center"/>
    </xf>
    <xf numFmtId="0" fontId="58" fillId="7" borderId="74" xfId="0" applyFont="1" applyFill="1" applyBorder="1" applyAlignment="1">
      <alignment horizontal="center" vertical="center" wrapText="1"/>
    </xf>
    <xf numFmtId="2" fontId="55" fillId="10" borderId="78" xfId="0" applyNumberFormat="1" applyFont="1" applyFill="1" applyBorder="1" applyAlignment="1">
      <alignment horizontal="center" vertical="center" wrapText="1"/>
    </xf>
    <xf numFmtId="0" fontId="55" fillId="10" borderId="78" xfId="0" applyFont="1" applyFill="1" applyBorder="1" applyAlignment="1">
      <alignment horizontal="center" vertical="center" wrapText="1"/>
    </xf>
    <xf numFmtId="164" fontId="55" fillId="10" borderId="6" xfId="0" applyNumberFormat="1" applyFont="1" applyFill="1" applyBorder="1" applyAlignment="1">
      <alignment horizontal="center" vertical="center" wrapText="1"/>
    </xf>
    <xf numFmtId="2" fontId="55" fillId="10" borderId="92" xfId="0" applyNumberFormat="1" applyFont="1" applyFill="1" applyBorder="1" applyAlignment="1">
      <alignment horizontal="center" vertical="center" wrapText="1"/>
    </xf>
    <xf numFmtId="0" fontId="55" fillId="10" borderId="92" xfId="0" applyFont="1" applyFill="1" applyBorder="1" applyAlignment="1">
      <alignment horizontal="center" vertical="center" wrapText="1"/>
    </xf>
    <xf numFmtId="2" fontId="55" fillId="22" borderId="78" xfId="0" applyNumberFormat="1" applyFont="1" applyFill="1" applyBorder="1" applyAlignment="1">
      <alignment horizontal="center" vertical="center" wrapText="1"/>
    </xf>
    <xf numFmtId="0" fontId="55" fillId="22" borderId="78" xfId="0" applyFont="1" applyFill="1" applyBorder="1" applyAlignment="1">
      <alignment horizontal="center" vertical="center" wrapText="1"/>
    </xf>
    <xf numFmtId="2" fontId="55" fillId="22" borderId="6" xfId="0" applyNumberFormat="1" applyFont="1" applyFill="1" applyBorder="1" applyAlignment="1">
      <alignment horizontal="center" vertical="center" wrapText="1"/>
    </xf>
    <xf numFmtId="0" fontId="55" fillId="22" borderId="6" xfId="0" applyFont="1" applyFill="1" applyBorder="1" applyAlignment="1">
      <alignment horizontal="center" vertical="center" wrapText="1"/>
    </xf>
    <xf numFmtId="0" fontId="55" fillId="22" borderId="10" xfId="0" applyFont="1" applyFill="1" applyBorder="1" applyAlignment="1">
      <alignment horizontal="center" vertical="center" wrapText="1"/>
    </xf>
    <xf numFmtId="0" fontId="55" fillId="20" borderId="78" xfId="0" applyFont="1" applyFill="1" applyBorder="1" applyAlignment="1">
      <alignment horizontal="center" vertical="center" wrapText="1"/>
    </xf>
    <xf numFmtId="0" fontId="55" fillId="20" borderId="6" xfId="0" applyFont="1" applyFill="1" applyBorder="1" applyAlignment="1">
      <alignment horizontal="center" vertical="center" wrapText="1"/>
    </xf>
    <xf numFmtId="0" fontId="55" fillId="20" borderId="10" xfId="0" applyFont="1" applyFill="1" applyBorder="1" applyAlignment="1">
      <alignment horizontal="center" vertical="center" wrapText="1"/>
    </xf>
    <xf numFmtId="166" fontId="55" fillId="20" borderId="6" xfId="0" applyNumberFormat="1" applyFont="1" applyFill="1" applyBorder="1" applyAlignment="1">
      <alignment horizontal="center" vertical="center" wrapText="1"/>
    </xf>
    <xf numFmtId="0" fontId="55" fillId="20" borderId="6" xfId="0" quotePrefix="1" applyFont="1" applyFill="1" applyBorder="1" applyAlignment="1">
      <alignment horizontal="center" vertical="center" wrapText="1"/>
    </xf>
    <xf numFmtId="0" fontId="51" fillId="10" borderId="92" xfId="0" applyFont="1" applyFill="1" applyBorder="1" applyAlignment="1">
      <alignment horizontal="center" vertical="center" wrapText="1"/>
    </xf>
    <xf numFmtId="0" fontId="58" fillId="2" borderId="0" xfId="0" applyFont="1" applyFill="1" applyAlignment="1">
      <alignment horizontal="center" vertical="center"/>
    </xf>
    <xf numFmtId="0" fontId="51" fillId="20" borderId="6" xfId="0" applyFont="1" applyFill="1" applyBorder="1" applyAlignment="1">
      <alignment horizontal="center" vertical="center" wrapText="1"/>
    </xf>
    <xf numFmtId="0" fontId="51" fillId="20" borderId="6" xfId="0" applyFont="1" applyFill="1" applyBorder="1" applyAlignment="1">
      <alignment horizontal="center" vertical="center"/>
    </xf>
    <xf numFmtId="0" fontId="48" fillId="0" borderId="11" xfId="0" applyFont="1" applyBorder="1" applyAlignment="1">
      <alignment horizontal="left"/>
    </xf>
    <xf numFmtId="0" fontId="48" fillId="10" borderId="92" xfId="0" applyFont="1" applyFill="1" applyBorder="1" applyAlignment="1">
      <alignment horizontal="left" vertical="center"/>
    </xf>
    <xf numFmtId="0" fontId="48" fillId="10" borderId="10" xfId="0" applyFont="1" applyFill="1" applyBorder="1" applyAlignment="1">
      <alignment horizontal="left" vertical="center"/>
    </xf>
    <xf numFmtId="0" fontId="48" fillId="7" borderId="92" xfId="0" applyFont="1" applyFill="1" applyBorder="1" applyAlignment="1">
      <alignment horizontal="left" vertical="center"/>
    </xf>
    <xf numFmtId="0" fontId="48" fillId="7" borderId="10" xfId="0" applyFont="1" applyFill="1" applyBorder="1" applyAlignment="1">
      <alignment horizontal="left" vertical="center"/>
    </xf>
    <xf numFmtId="0" fontId="48" fillId="10" borderId="92" xfId="0" quotePrefix="1" applyFont="1" applyFill="1" applyBorder="1" applyAlignment="1">
      <alignment horizontal="left" vertical="center"/>
    </xf>
    <xf numFmtId="0" fontId="48" fillId="10" borderId="10" xfId="0" quotePrefix="1" applyFont="1" applyFill="1" applyBorder="1" applyAlignment="1">
      <alignment horizontal="left" vertical="center"/>
    </xf>
    <xf numFmtId="0" fontId="48" fillId="7" borderId="92" xfId="0" quotePrefix="1" applyFont="1" applyFill="1" applyBorder="1" applyAlignment="1">
      <alignment horizontal="left" vertical="center"/>
    </xf>
    <xf numFmtId="0" fontId="48" fillId="7" borderId="10" xfId="0" quotePrefix="1" applyFont="1" applyFill="1" applyBorder="1" applyAlignment="1">
      <alignment horizontal="left" vertical="center"/>
    </xf>
    <xf numFmtId="0" fontId="55" fillId="0" borderId="0" xfId="0" applyFont="1" applyAlignment="1">
      <alignment vertical="center"/>
    </xf>
    <xf numFmtId="2" fontId="51" fillId="9" borderId="6" xfId="0" applyNumberFormat="1" applyFont="1" applyFill="1" applyBorder="1" applyAlignment="1">
      <alignment horizontal="left" vertical="center"/>
    </xf>
    <xf numFmtId="164" fontId="48" fillId="9" borderId="6" xfId="0" applyNumberFormat="1" applyFont="1" applyFill="1" applyBorder="1" applyAlignment="1">
      <alignment horizontal="left" vertical="center"/>
    </xf>
    <xf numFmtId="0" fontId="51" fillId="20" borderId="92" xfId="0" applyFont="1" applyFill="1" applyBorder="1" applyAlignment="1">
      <alignment horizontal="left" vertical="center"/>
    </xf>
    <xf numFmtId="0" fontId="51" fillId="0" borderId="88" xfId="0" applyFont="1" applyBorder="1" applyAlignment="1">
      <alignment horizontal="left" vertical="center"/>
    </xf>
    <xf numFmtId="0" fontId="51" fillId="0" borderId="92" xfId="0" quotePrefix="1" applyFont="1" applyBorder="1" applyAlignment="1">
      <alignment horizontal="left" vertical="center" wrapText="1"/>
    </xf>
    <xf numFmtId="0" fontId="51" fillId="0" borderId="100" xfId="0" applyFont="1" applyBorder="1" applyAlignment="1">
      <alignment horizontal="left" vertical="center"/>
    </xf>
    <xf numFmtId="0" fontId="51" fillId="20" borderId="91" xfId="0" applyFont="1" applyFill="1" applyBorder="1" applyAlignment="1">
      <alignment horizontal="left" vertical="center"/>
    </xf>
    <xf numFmtId="0" fontId="51" fillId="0" borderId="91" xfId="0" applyFont="1" applyBorder="1" applyAlignment="1">
      <alignment vertical="center"/>
    </xf>
    <xf numFmtId="0" fontId="48" fillId="0" borderId="91" xfId="0" applyFont="1" applyBorder="1" applyAlignment="1">
      <alignment horizontal="center" vertical="center"/>
    </xf>
    <xf numFmtId="0" fontId="84" fillId="0" borderId="9" xfId="34" applyFont="1" applyBorder="1" applyAlignment="1">
      <alignment horizontal="left" vertical="center" wrapText="1"/>
    </xf>
    <xf numFmtId="2" fontId="48" fillId="0" borderId="91" xfId="0" applyNumberFormat="1" applyFont="1" applyBorder="1" applyAlignment="1">
      <alignment horizontal="center" vertical="center"/>
    </xf>
    <xf numFmtId="0" fontId="48" fillId="20" borderId="100" xfId="0" applyFont="1" applyFill="1" applyBorder="1" applyAlignment="1">
      <alignment horizontal="center" vertical="center"/>
    </xf>
    <xf numFmtId="166" fontId="51" fillId="9" borderId="91" xfId="0" applyNumberFormat="1" applyFont="1" applyFill="1" applyBorder="1" applyAlignment="1">
      <alignment horizontal="center" vertical="center" wrapText="1"/>
    </xf>
    <xf numFmtId="0" fontId="51" fillId="9" borderId="91" xfId="0" applyFont="1" applyFill="1" applyBorder="1" applyAlignment="1">
      <alignment horizontal="center" vertical="center" wrapText="1"/>
    </xf>
    <xf numFmtId="2" fontId="51" fillId="9" borderId="91" xfId="0" applyNumberFormat="1" applyFont="1" applyFill="1" applyBorder="1" applyAlignment="1">
      <alignment horizontal="center" vertical="center" wrapText="1"/>
    </xf>
    <xf numFmtId="166" fontId="51" fillId="24" borderId="91" xfId="0" applyNumberFormat="1" applyFont="1" applyFill="1" applyBorder="1" applyAlignment="1">
      <alignment horizontal="center" vertical="center" wrapText="1"/>
    </xf>
    <xf numFmtId="0" fontId="51" fillId="24" borderId="91" xfId="0" applyFont="1" applyFill="1" applyBorder="1" applyAlignment="1">
      <alignment horizontal="center" vertical="center" wrapText="1"/>
    </xf>
    <xf numFmtId="2" fontId="51" fillId="24" borderId="91" xfId="0" applyNumberFormat="1" applyFont="1" applyFill="1" applyBorder="1" applyAlignment="1">
      <alignment horizontal="center" vertical="center" wrapText="1"/>
    </xf>
    <xf numFmtId="0" fontId="48" fillId="24" borderId="91" xfId="0" applyFont="1" applyFill="1" applyBorder="1" applyAlignment="1">
      <alignment horizontal="center"/>
    </xf>
    <xf numFmtId="165" fontId="51" fillId="24" borderId="91" xfId="0" applyNumberFormat="1" applyFont="1" applyFill="1" applyBorder="1" applyAlignment="1">
      <alignment horizontal="center" vertical="center"/>
    </xf>
    <xf numFmtId="0" fontId="51" fillId="8" borderId="91" xfId="0" applyFont="1" applyFill="1" applyBorder="1" applyAlignment="1">
      <alignment horizontal="left" vertical="center" wrapText="1"/>
    </xf>
    <xf numFmtId="164" fontId="51" fillId="21" borderId="92" xfId="0" applyNumberFormat="1" applyFont="1" applyFill="1" applyBorder="1" applyAlignment="1">
      <alignment horizontal="center" vertical="center" wrapText="1"/>
    </xf>
    <xf numFmtId="0" fontId="51" fillId="21" borderId="92" xfId="0" applyFont="1" applyFill="1" applyBorder="1" applyAlignment="1">
      <alignment horizontal="center" vertical="center" wrapText="1"/>
    </xf>
    <xf numFmtId="164" fontId="55" fillId="21" borderId="91" xfId="0" applyNumberFormat="1" applyFont="1" applyFill="1" applyBorder="1" applyAlignment="1">
      <alignment horizontal="center" vertical="center"/>
    </xf>
    <xf numFmtId="0" fontId="55" fillId="21" borderId="91" xfId="0" applyFont="1" applyFill="1" applyBorder="1" applyAlignment="1">
      <alignment horizontal="center" vertical="center"/>
    </xf>
    <xf numFmtId="164" fontId="51" fillId="21" borderId="103" xfId="0" applyNumberFormat="1" applyFont="1" applyFill="1" applyBorder="1" applyAlignment="1">
      <alignment horizontal="center" vertical="center" wrapText="1"/>
    </xf>
    <xf numFmtId="0" fontId="51" fillId="21" borderId="103" xfId="0" applyFont="1" applyFill="1" applyBorder="1" applyAlignment="1">
      <alignment horizontal="center" vertical="center" wrapText="1"/>
    </xf>
    <xf numFmtId="2" fontId="51" fillId="21" borderId="91" xfId="0" applyNumberFormat="1" applyFont="1" applyFill="1" applyBorder="1" applyAlignment="1">
      <alignment horizontal="center" vertical="center" wrapText="1"/>
    </xf>
    <xf numFmtId="0" fontId="51" fillId="21" borderId="91" xfId="0" applyFont="1" applyFill="1" applyBorder="1" applyAlignment="1">
      <alignment horizontal="center" vertical="center" wrapText="1"/>
    </xf>
    <xf numFmtId="0" fontId="51" fillId="11" borderId="100" xfId="0" applyFont="1" applyFill="1" applyBorder="1" applyAlignment="1">
      <alignment horizontal="left" vertical="center"/>
    </xf>
    <xf numFmtId="0" fontId="51" fillId="11" borderId="91" xfId="0" applyFont="1" applyFill="1" applyBorder="1" applyAlignment="1">
      <alignment horizontal="center" vertical="center" wrapText="1"/>
    </xf>
    <xf numFmtId="2" fontId="51" fillId="11" borderId="91" xfId="0" applyNumberFormat="1" applyFont="1" applyFill="1" applyBorder="1" applyAlignment="1">
      <alignment horizontal="center" vertical="center" wrapText="1"/>
    </xf>
    <xf numFmtId="0" fontId="51" fillId="11" borderId="11" xfId="0" applyFont="1" applyFill="1" applyBorder="1" applyAlignment="1">
      <alignment horizontal="left" vertical="center"/>
    </xf>
    <xf numFmtId="0" fontId="51" fillId="11" borderId="92" xfId="0" quotePrefix="1" applyFont="1" applyFill="1" applyBorder="1" applyAlignment="1">
      <alignment horizontal="center" vertical="center" wrapText="1"/>
    </xf>
    <xf numFmtId="0" fontId="51" fillId="11" borderId="92" xfId="0" applyFont="1" applyFill="1" applyBorder="1" applyAlignment="1">
      <alignment horizontal="center" vertical="center" wrapText="1"/>
    </xf>
    <xf numFmtId="0" fontId="51" fillId="11" borderId="92" xfId="0" applyFont="1" applyFill="1" applyBorder="1" applyAlignment="1">
      <alignment horizontal="center" vertical="center"/>
    </xf>
    <xf numFmtId="0" fontId="51" fillId="7" borderId="91" xfId="0" applyFont="1" applyFill="1" applyBorder="1" applyAlignment="1">
      <alignment horizontal="left" vertical="center" wrapText="1"/>
    </xf>
    <xf numFmtId="0" fontId="55" fillId="11" borderId="100" xfId="0" applyFont="1" applyFill="1" applyBorder="1" applyAlignment="1">
      <alignment horizontal="left" vertical="center"/>
    </xf>
    <xf numFmtId="166" fontId="55" fillId="11" borderId="91" xfId="0" applyNumberFormat="1" applyFont="1" applyFill="1" applyBorder="1" applyAlignment="1">
      <alignment horizontal="center" vertical="center" wrapText="1"/>
    </xf>
    <xf numFmtId="0" fontId="55" fillId="11" borderId="91" xfId="0" quotePrefix="1" applyFont="1" applyFill="1" applyBorder="1" applyAlignment="1">
      <alignment horizontal="center" vertical="center" wrapText="1"/>
    </xf>
    <xf numFmtId="0" fontId="51" fillId="25" borderId="37" xfId="0" quotePrefix="1" applyFont="1" applyFill="1" applyBorder="1" applyAlignment="1">
      <alignment horizontal="left" vertical="center"/>
    </xf>
    <xf numFmtId="0" fontId="51" fillId="25" borderId="15" xfId="0" applyFont="1" applyFill="1" applyBorder="1" applyAlignment="1">
      <alignment horizontal="left" vertical="center"/>
    </xf>
    <xf numFmtId="0" fontId="51" fillId="25" borderId="15" xfId="0" quotePrefix="1" applyFont="1" applyFill="1" applyBorder="1" applyAlignment="1">
      <alignment horizontal="left" vertical="center"/>
    </xf>
    <xf numFmtId="0" fontId="51" fillId="25" borderId="15" xfId="0" applyFont="1" applyFill="1" applyBorder="1" applyAlignment="1">
      <alignment horizontal="left" vertical="center" wrapText="1"/>
    </xf>
    <xf numFmtId="0" fontId="51" fillId="25" borderId="7" xfId="0" quotePrefix="1" applyFont="1" applyFill="1" applyBorder="1" applyAlignment="1">
      <alignment horizontal="left" vertical="center"/>
    </xf>
    <xf numFmtId="0" fontId="51" fillId="25" borderId="6" xfId="0" applyFont="1" applyFill="1" applyBorder="1" applyAlignment="1">
      <alignment horizontal="left" vertical="center"/>
    </xf>
    <xf numFmtId="0" fontId="51" fillId="25" borderId="6" xfId="0" quotePrefix="1" applyFont="1" applyFill="1" applyBorder="1" applyAlignment="1">
      <alignment horizontal="left" vertical="center"/>
    </xf>
    <xf numFmtId="0" fontId="51" fillId="25" borderId="6" xfId="0" applyFont="1" applyFill="1" applyBorder="1" applyAlignment="1">
      <alignment horizontal="left" vertical="center" wrapText="1"/>
    </xf>
    <xf numFmtId="166" fontId="51" fillId="25" borderId="6" xfId="0" applyNumberFormat="1" applyFont="1" applyFill="1" applyBorder="1" applyAlignment="1">
      <alignment horizontal="left" vertical="center"/>
    </xf>
    <xf numFmtId="0" fontId="51" fillId="25" borderId="9" xfId="0" quotePrefix="1" applyFont="1" applyFill="1" applyBorder="1" applyAlignment="1">
      <alignment horizontal="left" vertical="center"/>
    </xf>
    <xf numFmtId="0" fontId="51" fillId="25" borderId="10" xfId="0" applyFont="1" applyFill="1" applyBorder="1" applyAlignment="1">
      <alignment horizontal="left" vertical="center"/>
    </xf>
    <xf numFmtId="0" fontId="51" fillId="25" borderId="10" xfId="0" quotePrefix="1" applyFont="1" applyFill="1" applyBorder="1" applyAlignment="1">
      <alignment horizontal="left" vertical="center"/>
    </xf>
    <xf numFmtId="0" fontId="51" fillId="25" borderId="10" xfId="0" applyFont="1" applyFill="1" applyBorder="1" applyAlignment="1">
      <alignment horizontal="left" vertical="center" wrapText="1"/>
    </xf>
    <xf numFmtId="0" fontId="51" fillId="0" borderId="103" xfId="0" applyFont="1" applyBorder="1" applyAlignment="1">
      <alignment horizontal="left" vertical="center"/>
    </xf>
    <xf numFmtId="0" fontId="51" fillId="0" borderId="103" xfId="0" applyFont="1" applyBorder="1" applyAlignment="1">
      <alignment horizontal="left" vertical="center" wrapText="1"/>
    </xf>
    <xf numFmtId="0" fontId="58" fillId="7" borderId="105" xfId="0" applyFont="1" applyFill="1" applyBorder="1" applyAlignment="1">
      <alignment horizontal="left" vertical="center" wrapText="1"/>
    </xf>
    <xf numFmtId="0" fontId="51" fillId="8" borderId="91" xfId="0" quotePrefix="1" applyFont="1" applyFill="1" applyBorder="1" applyAlignment="1">
      <alignment horizontal="left" vertical="center"/>
    </xf>
    <xf numFmtId="0" fontId="51" fillId="12" borderId="100" xfId="0" quotePrefix="1" applyFont="1" applyFill="1" applyBorder="1" applyAlignment="1">
      <alignment horizontal="left" vertical="center"/>
    </xf>
    <xf numFmtId="0" fontId="51" fillId="0" borderId="100" xfId="0" applyFont="1" applyBorder="1" applyAlignment="1">
      <alignment horizontal="left" vertical="center" wrapText="1"/>
    </xf>
    <xf numFmtId="0" fontId="51" fillId="8" borderId="91" xfId="0" applyFont="1" applyFill="1" applyBorder="1" applyAlignment="1">
      <alignment horizontal="left" vertical="center"/>
    </xf>
    <xf numFmtId="0" fontId="51" fillId="8" borderId="101" xfId="0" applyFont="1" applyFill="1" applyBorder="1" applyAlignment="1">
      <alignment horizontal="left" vertical="center"/>
    </xf>
    <xf numFmtId="0" fontId="51" fillId="0" borderId="96" xfId="0" applyFont="1" applyBorder="1" applyAlignment="1">
      <alignment horizontal="left" vertical="center"/>
    </xf>
    <xf numFmtId="0" fontId="51" fillId="0" borderId="97" xfId="0" applyFont="1" applyBorder="1" applyAlignment="1">
      <alignment horizontal="left" vertical="center"/>
    </xf>
    <xf numFmtId="0" fontId="51" fillId="8" borderId="96" xfId="0" applyFont="1" applyFill="1" applyBorder="1" applyAlignment="1">
      <alignment horizontal="left" vertical="center"/>
    </xf>
    <xf numFmtId="0" fontId="51" fillId="8" borderId="97" xfId="0" applyFont="1" applyFill="1" applyBorder="1" applyAlignment="1">
      <alignment horizontal="left" vertical="center"/>
    </xf>
    <xf numFmtId="0" fontId="51" fillId="9" borderId="91" xfId="0" applyFont="1" applyFill="1" applyBorder="1" applyAlignment="1">
      <alignment horizontal="left" vertical="center"/>
    </xf>
    <xf numFmtId="0" fontId="51" fillId="9" borderId="91" xfId="0" quotePrefix="1" applyFont="1" applyFill="1" applyBorder="1" applyAlignment="1">
      <alignment horizontal="left" vertical="center"/>
    </xf>
    <xf numFmtId="0" fontId="51" fillId="20" borderId="100" xfId="0" applyFont="1" applyFill="1" applyBorder="1" applyAlignment="1">
      <alignment horizontal="left" vertical="center"/>
    </xf>
    <xf numFmtId="0" fontId="51" fillId="7" borderId="100" xfId="0" applyFont="1" applyFill="1" applyBorder="1" applyAlignment="1">
      <alignment horizontal="left" vertical="center"/>
    </xf>
    <xf numFmtId="0" fontId="55" fillId="11" borderId="91" xfId="0" applyFont="1" applyFill="1" applyBorder="1" applyAlignment="1">
      <alignment horizontal="left" vertical="center"/>
    </xf>
    <xf numFmtId="0" fontId="55" fillId="11" borderId="101" xfId="0" applyFont="1" applyFill="1" applyBorder="1" applyAlignment="1">
      <alignment horizontal="left" vertical="center"/>
    </xf>
    <xf numFmtId="0" fontId="51" fillId="20" borderId="30" xfId="0" applyFont="1" applyFill="1" applyBorder="1" applyAlignment="1">
      <alignment horizontal="left" vertical="center"/>
    </xf>
    <xf numFmtId="0" fontId="51" fillId="0" borderId="78" xfId="0" applyFont="1" applyBorder="1" applyAlignment="1">
      <alignment horizontal="left" vertical="center" wrapText="1"/>
    </xf>
    <xf numFmtId="2" fontId="48" fillId="0" borderId="15" xfId="0" applyNumberFormat="1" applyFont="1" applyBorder="1" applyAlignment="1">
      <alignment horizontal="left" vertical="center"/>
    </xf>
    <xf numFmtId="2" fontId="48" fillId="0" borderId="6" xfId="0" applyNumberFormat="1" applyFont="1" applyBorder="1" applyAlignment="1">
      <alignment horizontal="left" vertical="center"/>
    </xf>
    <xf numFmtId="2" fontId="48" fillId="0" borderId="91" xfId="0" applyNumberFormat="1" applyFont="1" applyBorder="1" applyAlignment="1">
      <alignment horizontal="left" vertical="center"/>
    </xf>
    <xf numFmtId="0" fontId="55" fillId="22" borderId="106" xfId="0" applyFont="1" applyFill="1" applyBorder="1" applyAlignment="1">
      <alignment horizontal="center" vertical="center" wrapText="1"/>
    </xf>
    <xf numFmtId="0" fontId="55" fillId="10" borderId="106" xfId="0" applyFont="1" applyFill="1" applyBorder="1" applyAlignment="1">
      <alignment horizontal="center" vertical="center" wrapText="1"/>
    </xf>
    <xf numFmtId="0" fontId="55" fillId="20" borderId="106" xfId="0" applyFont="1" applyFill="1" applyBorder="1" applyAlignment="1">
      <alignment horizontal="center" vertical="center" wrapText="1"/>
    </xf>
    <xf numFmtId="0" fontId="51" fillId="0" borderId="99" xfId="0" quotePrefix="1" applyFont="1" applyBorder="1" applyAlignment="1">
      <alignment horizontal="center" vertical="center" wrapText="1"/>
    </xf>
    <xf numFmtId="2" fontId="51" fillId="0" borderId="92" xfId="0" applyNumberFormat="1" applyFont="1" applyBorder="1" applyAlignment="1">
      <alignment horizontal="center" vertical="center" wrapText="1"/>
    </xf>
    <xf numFmtId="0" fontId="51" fillId="0" borderId="102" xfId="0" applyFont="1" applyBorder="1" applyAlignment="1">
      <alignment horizontal="left" vertical="center"/>
    </xf>
    <xf numFmtId="164" fontId="51" fillId="0" borderId="103" xfId="0" applyNumberFormat="1" applyFont="1" applyBorder="1" applyAlignment="1">
      <alignment horizontal="left" vertical="center"/>
    </xf>
    <xf numFmtId="0" fontId="51" fillId="0" borderId="104" xfId="0" applyFont="1" applyBorder="1" applyAlignment="1">
      <alignment horizontal="left" vertical="center"/>
    </xf>
    <xf numFmtId="164" fontId="51" fillId="0" borderId="91" xfId="0" applyNumberFormat="1" applyFont="1" applyBorder="1" applyAlignment="1">
      <alignment horizontal="left" vertical="center"/>
    </xf>
    <xf numFmtId="0" fontId="51" fillId="0" borderId="101" xfId="0" applyFont="1" applyBorder="1" applyAlignment="1">
      <alignment horizontal="left" vertical="center"/>
    </xf>
    <xf numFmtId="0" fontId="48" fillId="0" borderId="91" xfId="0" applyFont="1" applyBorder="1" applyAlignment="1">
      <alignment horizontal="left" vertical="center"/>
    </xf>
    <xf numFmtId="0" fontId="48" fillId="0" borderId="100" xfId="0" applyFont="1" applyBorder="1" applyAlignment="1">
      <alignment horizontal="left" vertical="center"/>
    </xf>
    <xf numFmtId="0" fontId="51" fillId="0" borderId="9" xfId="0" applyFont="1" applyBorder="1" applyAlignment="1">
      <alignment horizontal="left" vertical="center"/>
    </xf>
    <xf numFmtId="164" fontId="48" fillId="0" borderId="91" xfId="0" applyNumberFormat="1" applyFont="1" applyBorder="1" applyAlignment="1">
      <alignment horizontal="left" vertical="center"/>
    </xf>
    <xf numFmtId="0" fontId="51" fillId="20" borderId="93" xfId="0" applyFont="1" applyFill="1" applyBorder="1" applyAlignment="1">
      <alignment horizontal="left" vertical="center"/>
    </xf>
    <xf numFmtId="0" fontId="51" fillId="20" borderId="90" xfId="0" applyFont="1" applyFill="1" applyBorder="1" applyAlignment="1">
      <alignment horizontal="left" vertical="center"/>
    </xf>
    <xf numFmtId="0" fontId="51" fillId="20" borderId="91" xfId="0" quotePrefix="1" applyFont="1" applyFill="1" applyBorder="1" applyAlignment="1">
      <alignment horizontal="left" vertical="center"/>
    </xf>
    <xf numFmtId="0" fontId="51" fillId="0" borderId="92" xfId="0" applyFont="1" applyBorder="1" applyAlignment="1">
      <alignment horizontal="center" vertical="center"/>
    </xf>
    <xf numFmtId="0" fontId="51" fillId="0" borderId="106" xfId="0" applyFont="1" applyBorder="1" applyAlignment="1">
      <alignment horizontal="center" vertical="center"/>
    </xf>
    <xf numFmtId="0" fontId="51" fillId="0" borderId="99" xfId="0" applyFont="1" applyBorder="1" applyAlignment="1">
      <alignment horizontal="center" vertical="center"/>
    </xf>
    <xf numFmtId="0" fontId="51" fillId="0" borderId="99" xfId="0" applyFont="1" applyBorder="1" applyAlignment="1">
      <alignment horizontal="left" vertical="center"/>
    </xf>
    <xf numFmtId="0" fontId="51" fillId="0" borderId="99" xfId="0" applyFont="1" applyBorder="1" applyAlignment="1">
      <alignment horizontal="left" vertical="center" wrapText="1"/>
    </xf>
    <xf numFmtId="164" fontId="51" fillId="0" borderId="99" xfId="0" applyNumberFormat="1" applyFont="1" applyBorder="1" applyAlignment="1">
      <alignment horizontal="left" vertical="center"/>
    </xf>
    <xf numFmtId="0" fontId="51" fillId="0" borderId="110" xfId="0" applyFont="1" applyBorder="1" applyAlignment="1">
      <alignment horizontal="left" vertical="center"/>
    </xf>
    <xf numFmtId="0" fontId="51" fillId="0" borderId="110" xfId="0" applyFont="1" applyBorder="1" applyAlignment="1">
      <alignment horizontal="center" vertical="center"/>
    </xf>
    <xf numFmtId="0" fontId="51" fillId="0" borderId="110" xfId="0" applyFont="1" applyBorder="1" applyAlignment="1">
      <alignment horizontal="center" vertical="center" wrapText="1"/>
    </xf>
    <xf numFmtId="0" fontId="37" fillId="0" borderId="0" xfId="37" applyFont="1" applyAlignment="1">
      <alignment horizontal="center" vertical="center" wrapText="1"/>
    </xf>
    <xf numFmtId="0" fontId="48" fillId="0" borderId="111" xfId="0" applyFont="1" applyBorder="1" applyAlignment="1">
      <alignment horizontal="center" vertical="center"/>
    </xf>
    <xf numFmtId="0" fontId="48" fillId="0" borderId="101" xfId="0" applyFont="1" applyBorder="1"/>
    <xf numFmtId="0" fontId="59" fillId="0" borderId="100" xfId="37" applyFont="1" applyBorder="1" applyAlignment="1">
      <alignment horizontal="left" vertical="center" wrapText="1"/>
    </xf>
    <xf numFmtId="2" fontId="48" fillId="0" borderId="111" xfId="0" applyNumberFormat="1" applyFont="1" applyBorder="1" applyAlignment="1">
      <alignment horizontal="center" vertical="center"/>
    </xf>
    <xf numFmtId="2" fontId="48" fillId="0" borderId="111" xfId="0" applyNumberFormat="1" applyFont="1" applyBorder="1" applyAlignment="1">
      <alignment horizontal="left" vertical="center"/>
    </xf>
    <xf numFmtId="0" fontId="37" fillId="0" borderId="0" xfId="46" applyFont="1" applyAlignment="1">
      <alignment horizontal="center" vertical="center" wrapText="1"/>
    </xf>
    <xf numFmtId="0" fontId="48" fillId="0" borderId="115" xfId="0" applyFont="1" applyBorder="1"/>
    <xf numFmtId="2" fontId="48" fillId="0" borderId="114" xfId="0" applyNumberFormat="1" applyFont="1" applyBorder="1" applyAlignment="1">
      <alignment horizontal="center" vertical="center"/>
    </xf>
    <xf numFmtId="0" fontId="48" fillId="0" borderId="114" xfId="0" applyFont="1" applyBorder="1" applyAlignment="1">
      <alignment horizontal="center" vertical="center"/>
    </xf>
    <xf numFmtId="0" fontId="51" fillId="0" borderId="114" xfId="46" applyFont="1" applyBorder="1" applyAlignment="1">
      <alignment horizontal="left" vertical="center" wrapText="1"/>
    </xf>
    <xf numFmtId="0" fontId="48" fillId="8" borderId="92" xfId="0" applyFont="1" applyFill="1" applyBorder="1" applyAlignment="1">
      <alignment horizontal="center" vertical="center"/>
    </xf>
    <xf numFmtId="0" fontId="31" fillId="0" borderId="0" xfId="0" applyFont="1" applyAlignment="1">
      <alignment horizontal="center" vertical="center" wrapText="1"/>
    </xf>
    <xf numFmtId="0" fontId="48" fillId="8" borderId="92" xfId="0" quotePrefix="1" applyFont="1" applyFill="1" applyBorder="1" applyAlignment="1">
      <alignment horizontal="center" vertical="center"/>
    </xf>
    <xf numFmtId="0" fontId="51" fillId="5" borderId="113" xfId="0" applyFont="1" applyFill="1" applyBorder="1" applyAlignment="1">
      <alignment horizontal="center" vertical="center"/>
    </xf>
    <xf numFmtId="0" fontId="51" fillId="5" borderId="110" xfId="0" applyFont="1" applyFill="1" applyBorder="1" applyAlignment="1">
      <alignment horizontal="center" vertical="center"/>
    </xf>
    <xf numFmtId="0" fontId="59" fillId="7" borderId="112" xfId="46" applyFont="1" applyFill="1" applyBorder="1" applyAlignment="1">
      <alignment horizontal="center" vertical="center" wrapText="1"/>
    </xf>
    <xf numFmtId="0" fontId="45" fillId="0" borderId="0" xfId="0" applyFont="1"/>
    <xf numFmtId="0" fontId="59" fillId="0" borderId="100" xfId="46" applyFont="1" applyBorder="1" applyAlignment="1">
      <alignment horizontal="left" vertical="center" wrapText="1"/>
    </xf>
    <xf numFmtId="0" fontId="48" fillId="0" borderId="118" xfId="0" applyFont="1" applyBorder="1"/>
    <xf numFmtId="2" fontId="48" fillId="0" borderId="117" xfId="0" applyNumberFormat="1" applyFont="1" applyBorder="1" applyAlignment="1">
      <alignment horizontal="center" vertical="center"/>
    </xf>
    <xf numFmtId="0" fontId="48" fillId="0" borderId="117" xfId="0" applyFont="1" applyBorder="1" applyAlignment="1">
      <alignment horizontal="center" vertical="center"/>
    </xf>
    <xf numFmtId="0" fontId="51" fillId="0" borderId="117" xfId="46" applyFont="1" applyBorder="1" applyAlignment="1">
      <alignment horizontal="left" vertical="center" wrapText="1"/>
    </xf>
    <xf numFmtId="0" fontId="51" fillId="5" borderId="119" xfId="0" applyFont="1" applyFill="1" applyBorder="1" applyAlignment="1">
      <alignment horizontal="center" vertical="center"/>
    </xf>
    <xf numFmtId="0" fontId="51" fillId="5" borderId="116" xfId="0" applyFont="1" applyFill="1" applyBorder="1" applyAlignment="1">
      <alignment horizontal="center" vertical="center"/>
    </xf>
    <xf numFmtId="0" fontId="51" fillId="5" borderId="117" xfId="0" applyFont="1" applyFill="1" applyBorder="1" applyAlignment="1">
      <alignment horizontal="center" vertical="center"/>
    </xf>
    <xf numFmtId="2" fontId="55" fillId="0" borderId="0" xfId="0" applyNumberFormat="1" applyFont="1" applyAlignment="1">
      <alignment horizontal="center" vertical="center" wrapText="1"/>
    </xf>
    <xf numFmtId="0" fontId="59" fillId="7" borderId="123" xfId="0" applyFont="1" applyFill="1" applyBorder="1" applyAlignment="1">
      <alignment horizontal="center" vertical="center" wrapText="1"/>
    </xf>
    <xf numFmtId="164" fontId="51" fillId="26" borderId="125" xfId="0" applyNumberFormat="1" applyFont="1" applyFill="1" applyBorder="1" applyAlignment="1">
      <alignment horizontal="center" vertical="center" wrapText="1"/>
    </xf>
    <xf numFmtId="0" fontId="51" fillId="26" borderId="125" xfId="0" applyFont="1" applyFill="1" applyBorder="1" applyAlignment="1">
      <alignment horizontal="center" vertical="center" wrapText="1"/>
    </xf>
    <xf numFmtId="164" fontId="51" fillId="26" borderId="127" xfId="0" applyNumberFormat="1" applyFont="1" applyFill="1" applyBorder="1" applyAlignment="1">
      <alignment horizontal="center" vertical="center" wrapText="1"/>
    </xf>
    <xf numFmtId="0" fontId="51" fillId="26" borderId="127" xfId="0" applyFont="1" applyFill="1" applyBorder="1" applyAlignment="1">
      <alignment horizontal="center" vertical="center" wrapText="1"/>
    </xf>
    <xf numFmtId="2" fontId="51" fillId="26" borderId="127" xfId="0" applyNumberFormat="1" applyFont="1" applyFill="1" applyBorder="1" applyAlignment="1">
      <alignment horizontal="center" vertical="center" wrapText="1"/>
    </xf>
    <xf numFmtId="2" fontId="51" fillId="26" borderId="110" xfId="0" applyNumberFormat="1" applyFont="1" applyFill="1" applyBorder="1" applyAlignment="1">
      <alignment horizontal="center" vertical="center" wrapText="1"/>
    </xf>
    <xf numFmtId="0" fontId="51" fillId="26" borderId="110" xfId="0" applyFont="1" applyFill="1" applyBorder="1" applyAlignment="1">
      <alignment horizontal="center" vertical="center" wrapText="1"/>
    </xf>
    <xf numFmtId="164" fontId="55" fillId="9" borderId="92" xfId="0" applyNumberFormat="1" applyFont="1" applyFill="1" applyBorder="1" applyAlignment="1">
      <alignment horizontal="center" vertical="center" wrapText="1"/>
    </xf>
    <xf numFmtId="0" fontId="55" fillId="9" borderId="92" xfId="0" applyFont="1" applyFill="1" applyBorder="1" applyAlignment="1">
      <alignment horizontal="center" vertical="center" wrapText="1"/>
    </xf>
    <xf numFmtId="166" fontId="55" fillId="8" borderId="92" xfId="0" applyNumberFormat="1" applyFont="1" applyFill="1" applyBorder="1" applyAlignment="1">
      <alignment horizontal="center" vertical="center" wrapText="1"/>
    </xf>
    <xf numFmtId="0" fontId="55" fillId="8" borderId="92" xfId="0" applyFont="1" applyFill="1" applyBorder="1" applyAlignment="1">
      <alignment horizontal="center" vertical="center" wrapText="1"/>
    </xf>
    <xf numFmtId="0" fontId="55" fillId="8" borderId="92" xfId="0" quotePrefix="1" applyFont="1" applyFill="1" applyBorder="1" applyAlignment="1">
      <alignment horizontal="center" vertical="center" wrapText="1"/>
    </xf>
    <xf numFmtId="166" fontId="55" fillId="8" borderId="129" xfId="0" applyNumberFormat="1" applyFont="1" applyFill="1" applyBorder="1" applyAlignment="1">
      <alignment horizontal="center" vertical="center" wrapText="1"/>
    </xf>
    <xf numFmtId="0" fontId="55" fillId="8" borderId="129" xfId="0" applyFont="1" applyFill="1" applyBorder="1" applyAlignment="1">
      <alignment horizontal="center" vertical="center" wrapText="1"/>
    </xf>
    <xf numFmtId="0" fontId="55" fillId="8" borderId="129" xfId="0" quotePrefix="1" applyFont="1" applyFill="1" applyBorder="1" applyAlignment="1">
      <alignment horizontal="center" vertical="center" wrapText="1"/>
    </xf>
    <xf numFmtId="0" fontId="55" fillId="0" borderId="0" xfId="0" applyFont="1" applyAlignment="1">
      <alignment horizontal="center" vertical="center" wrapText="1"/>
    </xf>
    <xf numFmtId="0" fontId="51" fillId="26" borderId="131" xfId="0" applyFont="1" applyFill="1" applyBorder="1" applyAlignment="1">
      <alignment horizontal="center" vertical="center" wrapText="1"/>
    </xf>
    <xf numFmtId="165" fontId="55" fillId="0" borderId="0" xfId="0" applyNumberFormat="1" applyFont="1" applyAlignment="1">
      <alignment horizontal="center" vertical="center"/>
    </xf>
    <xf numFmtId="0" fontId="51" fillId="24" borderId="131" xfId="0" applyFont="1" applyFill="1" applyBorder="1" applyAlignment="1">
      <alignment horizontal="center" vertical="center" wrapText="1"/>
    </xf>
    <xf numFmtId="2" fontId="51" fillId="24" borderId="131" xfId="0" applyNumberFormat="1" applyFont="1" applyFill="1" applyBorder="1" applyAlignment="1">
      <alignment horizontal="center" vertical="center" wrapText="1"/>
    </xf>
    <xf numFmtId="0" fontId="48" fillId="24" borderId="131" xfId="0" applyFont="1" applyFill="1" applyBorder="1" applyAlignment="1">
      <alignment horizontal="center"/>
    </xf>
    <xf numFmtId="165" fontId="78" fillId="0" borderId="0" xfId="0" applyNumberFormat="1" applyFont="1" applyAlignment="1">
      <alignment horizontal="center" vertical="center"/>
    </xf>
    <xf numFmtId="0" fontId="51" fillId="0" borderId="92" xfId="0" applyFont="1" applyBorder="1" applyAlignment="1">
      <alignment horizontal="left" vertical="center"/>
    </xf>
    <xf numFmtId="0" fontId="51" fillId="8" borderId="100" xfId="0" quotePrefix="1" applyFont="1" applyFill="1" applyBorder="1" applyAlignment="1">
      <alignment horizontal="left" vertical="center"/>
    </xf>
    <xf numFmtId="0" fontId="51" fillId="8" borderId="136" xfId="0" applyFont="1" applyFill="1" applyBorder="1" applyAlignment="1">
      <alignment horizontal="left" vertical="center"/>
    </xf>
    <xf numFmtId="0" fontId="51" fillId="8" borderId="136" xfId="0" quotePrefix="1" applyFont="1" applyFill="1" applyBorder="1" applyAlignment="1">
      <alignment horizontal="left" vertical="center"/>
    </xf>
    <xf numFmtId="1" fontId="51" fillId="8" borderId="136" xfId="0" applyNumberFormat="1" applyFont="1" applyFill="1" applyBorder="1" applyAlignment="1">
      <alignment horizontal="left" vertical="center"/>
    </xf>
    <xf numFmtId="0" fontId="51" fillId="8" borderId="96" xfId="0" quotePrefix="1" applyFont="1" applyFill="1" applyBorder="1" applyAlignment="1">
      <alignment horizontal="left" vertical="center"/>
    </xf>
    <xf numFmtId="0" fontId="51" fillId="8" borderId="9" xfId="0" quotePrefix="1" applyFont="1" applyFill="1" applyBorder="1" applyAlignment="1">
      <alignment horizontal="left" vertical="center"/>
    </xf>
    <xf numFmtId="0" fontId="51" fillId="8" borderId="110" xfId="0" applyFont="1" applyFill="1" applyBorder="1" applyAlignment="1">
      <alignment horizontal="left" vertical="center"/>
    </xf>
    <xf numFmtId="0" fontId="51" fillId="8" borderId="110" xfId="0" quotePrefix="1" applyFont="1" applyFill="1" applyBorder="1" applyAlignment="1">
      <alignment horizontal="left" vertical="center"/>
    </xf>
    <xf numFmtId="0" fontId="51" fillId="8" borderId="92" xfId="0" applyFont="1" applyFill="1" applyBorder="1" applyAlignment="1">
      <alignment horizontal="left" vertical="center"/>
    </xf>
    <xf numFmtId="1" fontId="51" fillId="8" borderId="92" xfId="0" applyNumberFormat="1" applyFont="1" applyFill="1" applyBorder="1" applyAlignment="1">
      <alignment horizontal="left" vertical="center"/>
    </xf>
    <xf numFmtId="0" fontId="59" fillId="7" borderId="142" xfId="0" applyFont="1" applyFill="1" applyBorder="1" applyAlignment="1">
      <alignment horizontal="left" vertical="center"/>
    </xf>
    <xf numFmtId="0" fontId="59" fillId="7" borderId="144" xfId="0" applyFont="1" applyFill="1" applyBorder="1" applyAlignment="1">
      <alignment horizontal="left" vertical="center"/>
    </xf>
    <xf numFmtId="0" fontId="59" fillId="7" borderId="143" xfId="0" applyFont="1" applyFill="1" applyBorder="1" applyAlignment="1">
      <alignment horizontal="left" vertical="center"/>
    </xf>
    <xf numFmtId="0" fontId="51" fillId="26" borderId="145" xfId="0" quotePrefix="1" applyFont="1" applyFill="1" applyBorder="1" applyAlignment="1">
      <alignment horizontal="left" vertical="center"/>
    </xf>
    <xf numFmtId="0" fontId="51" fillId="26" borderId="146" xfId="0" applyFont="1" applyFill="1" applyBorder="1" applyAlignment="1">
      <alignment horizontal="left" vertical="center"/>
    </xf>
    <xf numFmtId="0" fontId="51" fillId="26" borderId="146" xfId="0" quotePrefix="1" applyFont="1" applyFill="1" applyBorder="1" applyAlignment="1">
      <alignment horizontal="left" vertical="center"/>
    </xf>
    <xf numFmtId="164" fontId="51" fillId="26" borderId="146" xfId="0" applyNumberFormat="1" applyFont="1" applyFill="1" applyBorder="1" applyAlignment="1">
      <alignment horizontal="left" vertical="center"/>
    </xf>
    <xf numFmtId="0" fontId="51" fillId="26" borderId="146" xfId="0" applyFont="1" applyFill="1" applyBorder="1" applyAlignment="1">
      <alignment horizontal="left" vertical="center" wrapText="1"/>
    </xf>
    <xf numFmtId="0" fontId="51" fillId="26" borderId="100" xfId="0" quotePrefix="1" applyFont="1" applyFill="1" applyBorder="1" applyAlignment="1">
      <alignment horizontal="left" vertical="center"/>
    </xf>
    <xf numFmtId="0" fontId="51" fillId="8" borderId="100" xfId="0" applyFont="1" applyFill="1" applyBorder="1" applyAlignment="1">
      <alignment horizontal="left" vertical="center"/>
    </xf>
    <xf numFmtId="0" fontId="51" fillId="8" borderId="140" xfId="0" applyFont="1" applyFill="1" applyBorder="1" applyAlignment="1">
      <alignment horizontal="left" vertical="center"/>
    </xf>
    <xf numFmtId="0" fontId="51" fillId="8" borderId="140" xfId="0" quotePrefix="1" applyFont="1" applyFill="1" applyBorder="1" applyAlignment="1">
      <alignment horizontal="left" vertical="center"/>
    </xf>
    <xf numFmtId="0" fontId="51" fillId="8" borderId="92" xfId="0" quotePrefix="1" applyFont="1" applyFill="1" applyBorder="1" applyAlignment="1">
      <alignment horizontal="left" vertical="center"/>
    </xf>
    <xf numFmtId="0" fontId="51" fillId="8" borderId="141" xfId="0" applyFont="1" applyFill="1" applyBorder="1" applyAlignment="1">
      <alignment horizontal="left" vertical="center"/>
    </xf>
    <xf numFmtId="0" fontId="51" fillId="27" borderId="100" xfId="0" applyFont="1" applyFill="1" applyBorder="1" applyAlignment="1">
      <alignment horizontal="left" vertical="center"/>
    </xf>
    <xf numFmtId="0" fontId="51" fillId="27" borderId="140" xfId="0" quotePrefix="1" applyFont="1" applyFill="1" applyBorder="1" applyAlignment="1">
      <alignment horizontal="left" vertical="center"/>
    </xf>
    <xf numFmtId="2" fontId="51" fillId="27" borderId="140" xfId="0" quotePrefix="1" applyNumberFormat="1" applyFont="1" applyFill="1" applyBorder="1" applyAlignment="1">
      <alignment horizontal="left" vertical="center"/>
    </xf>
    <xf numFmtId="0" fontId="51" fillId="27" borderId="140" xfId="0" applyFont="1" applyFill="1" applyBorder="1" applyAlignment="1">
      <alignment horizontal="left" vertical="center"/>
    </xf>
    <xf numFmtId="0" fontId="51" fillId="27" borderId="148" xfId="0" applyFont="1" applyFill="1" applyBorder="1" applyAlignment="1">
      <alignment horizontal="left" vertical="center"/>
    </xf>
    <xf numFmtId="0" fontId="55" fillId="27" borderId="96" xfId="0" applyFont="1" applyFill="1" applyBorder="1" applyAlignment="1">
      <alignment horizontal="left" vertical="center"/>
    </xf>
    <xf numFmtId="0" fontId="55" fillId="27" borderId="92" xfId="0" applyFont="1" applyFill="1" applyBorder="1" applyAlignment="1">
      <alignment horizontal="left" vertical="center"/>
    </xf>
    <xf numFmtId="2" fontId="55" fillId="27" borderId="92" xfId="0" applyNumberFormat="1" applyFont="1" applyFill="1" applyBorder="1" applyAlignment="1">
      <alignment horizontal="left" vertical="center"/>
    </xf>
    <xf numFmtId="0" fontId="51" fillId="27" borderId="92" xfId="0" applyFont="1" applyFill="1" applyBorder="1" applyAlignment="1">
      <alignment horizontal="left" vertical="center"/>
    </xf>
    <xf numFmtId="0" fontId="55" fillId="27" borderId="97" xfId="0" applyFont="1" applyFill="1" applyBorder="1" applyAlignment="1">
      <alignment horizontal="left" vertical="center"/>
    </xf>
    <xf numFmtId="0" fontId="55" fillId="27" borderId="100" xfId="0" applyFont="1" applyFill="1" applyBorder="1" applyAlignment="1">
      <alignment horizontal="left" vertical="center"/>
    </xf>
    <xf numFmtId="0" fontId="55" fillId="27" borderId="140" xfId="0" applyFont="1" applyFill="1" applyBorder="1" applyAlignment="1">
      <alignment horizontal="left" vertical="center"/>
    </xf>
    <xf numFmtId="2" fontId="55" fillId="27" borderId="140" xfId="0" applyNumberFormat="1" applyFont="1" applyFill="1" applyBorder="1" applyAlignment="1">
      <alignment horizontal="left" vertical="center"/>
    </xf>
    <xf numFmtId="0" fontId="55" fillId="27" borderId="148" xfId="0" applyFont="1" applyFill="1" applyBorder="1" applyAlignment="1">
      <alignment horizontal="left" vertical="center"/>
    </xf>
    <xf numFmtId="0" fontId="51" fillId="0" borderId="92" xfId="0" applyFont="1" applyBorder="1" applyAlignment="1">
      <alignment horizontal="center" vertical="center" wrapText="1"/>
    </xf>
    <xf numFmtId="0" fontId="51" fillId="0" borderId="140" xfId="0" quotePrefix="1" applyFont="1" applyBorder="1" applyAlignment="1">
      <alignment horizontal="center" vertical="center" wrapText="1"/>
    </xf>
    <xf numFmtId="0" fontId="51" fillId="9" borderId="100" xfId="0" applyFont="1" applyFill="1" applyBorder="1" applyAlignment="1">
      <alignment horizontal="left" vertical="center"/>
    </xf>
    <xf numFmtId="0" fontId="50" fillId="7" borderId="84" xfId="0" applyFont="1" applyFill="1" applyBorder="1" applyAlignment="1">
      <alignment horizontal="center" vertical="center"/>
    </xf>
    <xf numFmtId="0" fontId="50" fillId="7" borderId="85" xfId="0" applyFont="1" applyFill="1" applyBorder="1" applyAlignment="1">
      <alignment horizontal="center" vertical="center"/>
    </xf>
    <xf numFmtId="0" fontId="50" fillId="7" borderId="84" xfId="0" applyFont="1" applyFill="1" applyBorder="1" applyAlignment="1">
      <alignment horizontal="left" vertical="center"/>
    </xf>
    <xf numFmtId="164" fontId="51" fillId="0" borderId="15" xfId="0" quotePrefix="1" applyNumberFormat="1" applyFont="1" applyBorder="1" applyAlignment="1">
      <alignment horizontal="left" vertical="center"/>
    </xf>
    <xf numFmtId="164" fontId="48" fillId="0" borderId="6" xfId="0" applyNumberFormat="1" applyFont="1" applyBorder="1" applyAlignment="1">
      <alignment horizontal="left" vertical="center"/>
    </xf>
    <xf numFmtId="0" fontId="51" fillId="0" borderId="78" xfId="0" quotePrefix="1" applyFont="1" applyBorder="1" applyAlignment="1">
      <alignment horizontal="left" vertical="center" wrapText="1"/>
    </xf>
    <xf numFmtId="0" fontId="51" fillId="0" borderId="10" xfId="0" quotePrefix="1" applyFont="1" applyBorder="1" applyAlignment="1">
      <alignment horizontal="left" vertical="center" wrapText="1"/>
    </xf>
    <xf numFmtId="0" fontId="51" fillId="10" borderId="6" xfId="0" applyFont="1" applyFill="1" applyBorder="1" applyAlignment="1">
      <alignment horizontal="left" vertical="center" wrapText="1"/>
    </xf>
    <xf numFmtId="166" fontId="48" fillId="10" borderId="6" xfId="0" applyNumberFormat="1" applyFont="1" applyFill="1" applyBorder="1" applyAlignment="1">
      <alignment horizontal="left" vertical="center"/>
    </xf>
    <xf numFmtId="0" fontId="51" fillId="10" borderId="6" xfId="0" applyFont="1" applyFill="1" applyBorder="1" applyAlignment="1">
      <alignment horizontal="left" vertical="center"/>
    </xf>
    <xf numFmtId="166" fontId="48" fillId="10" borderId="91" xfId="0" applyNumberFormat="1" applyFont="1" applyFill="1" applyBorder="1" applyAlignment="1">
      <alignment horizontal="left" vertical="center"/>
    </xf>
    <xf numFmtId="166" fontId="48" fillId="10" borderId="106" xfId="0" applyNumberFormat="1" applyFont="1" applyFill="1" applyBorder="1" applyAlignment="1">
      <alignment horizontal="left" vertical="center"/>
    </xf>
    <xf numFmtId="0" fontId="51" fillId="7" borderId="6" xfId="0" applyFont="1" applyFill="1" applyBorder="1" applyAlignment="1">
      <alignment horizontal="left" vertical="center" wrapText="1"/>
    </xf>
    <xf numFmtId="166" fontId="48" fillId="7" borderId="91" xfId="0" applyNumberFormat="1" applyFont="1" applyFill="1" applyBorder="1" applyAlignment="1">
      <alignment horizontal="left" vertical="center"/>
    </xf>
    <xf numFmtId="166" fontId="48" fillId="7" borderId="106" xfId="0" applyNumberFormat="1" applyFont="1" applyFill="1" applyBorder="1" applyAlignment="1">
      <alignment horizontal="left" vertical="center"/>
    </xf>
    <xf numFmtId="2" fontId="51" fillId="0" borderId="91" xfId="0" applyNumberFormat="1" applyFont="1" applyBorder="1" applyAlignment="1">
      <alignment horizontal="left" vertical="center"/>
    </xf>
    <xf numFmtId="2" fontId="51" fillId="21" borderId="6" xfId="0" applyNumberFormat="1" applyFont="1" applyFill="1" applyBorder="1" applyAlignment="1">
      <alignment horizontal="left" vertical="center"/>
    </xf>
    <xf numFmtId="164" fontId="48" fillId="21" borderId="6" xfId="0" applyNumberFormat="1" applyFont="1" applyFill="1" applyBorder="1" applyAlignment="1">
      <alignment horizontal="left" vertical="center"/>
    </xf>
    <xf numFmtId="164" fontId="48" fillId="10" borderId="6" xfId="0" applyNumberFormat="1" applyFont="1" applyFill="1" applyBorder="1" applyAlignment="1">
      <alignment horizontal="left" vertical="center"/>
    </xf>
    <xf numFmtId="164" fontId="48" fillId="22" borderId="6" xfId="0" applyNumberFormat="1" applyFont="1" applyFill="1" applyBorder="1" applyAlignment="1">
      <alignment horizontal="left" vertical="center"/>
    </xf>
    <xf numFmtId="0" fontId="48" fillId="22" borderId="6" xfId="0" quotePrefix="1" applyFont="1" applyFill="1" applyBorder="1" applyAlignment="1">
      <alignment horizontal="left" vertical="center"/>
    </xf>
    <xf numFmtId="0" fontId="51" fillId="22" borderId="6" xfId="0" applyFont="1" applyFill="1" applyBorder="1" applyAlignment="1">
      <alignment horizontal="left" vertical="center"/>
    </xf>
    <xf numFmtId="164" fontId="48" fillId="20" borderId="6" xfId="0" applyNumberFormat="1" applyFont="1" applyFill="1" applyBorder="1" applyAlignment="1">
      <alignment horizontal="left" vertical="center"/>
    </xf>
    <xf numFmtId="164" fontId="48" fillId="11" borderId="6" xfId="0" applyNumberFormat="1" applyFont="1" applyFill="1" applyBorder="1" applyAlignment="1">
      <alignment horizontal="left" vertical="center"/>
    </xf>
    <xf numFmtId="0" fontId="59" fillId="7" borderId="144" xfId="0" applyFont="1" applyFill="1" applyBorder="1" applyAlignment="1">
      <alignment horizontal="center" vertical="center" wrapText="1"/>
    </xf>
    <xf numFmtId="0" fontId="48" fillId="0" borderId="92" xfId="0" applyFont="1" applyBorder="1" applyAlignment="1">
      <alignment horizontal="center" vertical="center"/>
    </xf>
    <xf numFmtId="0" fontId="48" fillId="0" borderId="149" xfId="0" applyFont="1" applyBorder="1" applyAlignment="1">
      <alignment horizontal="center" vertical="center"/>
    </xf>
    <xf numFmtId="0" fontId="48" fillId="0" borderId="110" xfId="0" applyFont="1" applyBorder="1" applyAlignment="1">
      <alignment horizontal="center"/>
    </xf>
    <xf numFmtId="0" fontId="51" fillId="0" borderId="100" xfId="0" applyFont="1" applyBorder="1" applyAlignment="1">
      <alignment vertical="center"/>
    </xf>
    <xf numFmtId="0" fontId="51" fillId="0" borderId="146" xfId="0" applyFont="1" applyBorder="1" applyAlignment="1">
      <alignment horizontal="left" vertical="center"/>
    </xf>
    <xf numFmtId="0" fontId="51" fillId="0" borderId="146" xfId="0" applyFont="1" applyBorder="1" applyAlignment="1">
      <alignment horizontal="center" vertical="center"/>
    </xf>
    <xf numFmtId="0" fontId="48" fillId="21" borderId="149" xfId="0" quotePrefix="1" applyFont="1" applyFill="1" applyBorder="1" applyAlignment="1">
      <alignment horizontal="left" vertical="center"/>
    </xf>
    <xf numFmtId="0" fontId="50" fillId="8" borderId="145" xfId="0" applyFont="1" applyFill="1" applyBorder="1" applyAlignment="1">
      <alignment horizontal="center"/>
    </xf>
    <xf numFmtId="0" fontId="50" fillId="8" borderId="146" xfId="0" applyFont="1" applyFill="1" applyBorder="1" applyAlignment="1">
      <alignment horizontal="center"/>
    </xf>
    <xf numFmtId="0" fontId="48" fillId="8" borderId="146" xfId="0" applyFont="1" applyFill="1" applyBorder="1"/>
    <xf numFmtId="0" fontId="48" fillId="8" borderId="146" xfId="0" quotePrefix="1" applyFont="1" applyFill="1" applyBorder="1" applyAlignment="1">
      <alignment horizontal="center" vertical="center"/>
    </xf>
    <xf numFmtId="0" fontId="48" fillId="8" borderId="146" xfId="0" applyFont="1" applyFill="1" applyBorder="1" applyAlignment="1">
      <alignment horizontal="center" vertical="center"/>
    </xf>
    <xf numFmtId="0" fontId="48" fillId="8" borderId="146" xfId="0" quotePrefix="1" applyFont="1" applyFill="1" applyBorder="1" applyAlignment="1">
      <alignment horizontal="left" vertical="center"/>
    </xf>
    <xf numFmtId="0" fontId="48" fillId="8" borderId="146" xfId="0" applyFont="1" applyFill="1" applyBorder="1" applyAlignment="1">
      <alignment horizontal="left" vertical="center"/>
    </xf>
    <xf numFmtId="0" fontId="48" fillId="8" borderId="147" xfId="0" applyFont="1" applyFill="1" applyBorder="1" applyAlignment="1">
      <alignment horizontal="left" vertical="center"/>
    </xf>
    <xf numFmtId="0" fontId="50" fillId="8" borderId="100" xfId="0" applyFont="1" applyFill="1" applyBorder="1" applyAlignment="1">
      <alignment horizontal="center"/>
    </xf>
    <xf numFmtId="0" fontId="50" fillId="8" borderId="149" xfId="0" applyFont="1" applyFill="1" applyBorder="1" applyAlignment="1">
      <alignment horizontal="center"/>
    </xf>
    <xf numFmtId="0" fontId="48" fillId="8" borderId="149" xfId="0" applyFont="1" applyFill="1" applyBorder="1"/>
    <xf numFmtId="0" fontId="48" fillId="8" borderId="149" xfId="0" quotePrefix="1" applyFont="1" applyFill="1" applyBorder="1" applyAlignment="1">
      <alignment horizontal="center" vertical="center"/>
    </xf>
    <xf numFmtId="0" fontId="48" fillId="8" borderId="149" xfId="0" quotePrefix="1" applyFont="1" applyFill="1" applyBorder="1" applyAlignment="1">
      <alignment horizontal="left" vertical="center"/>
    </xf>
    <xf numFmtId="0" fontId="48" fillId="8" borderId="149" xfId="0" applyFont="1" applyFill="1" applyBorder="1" applyAlignment="1">
      <alignment horizontal="left" vertical="center"/>
    </xf>
    <xf numFmtId="0" fontId="48" fillId="8" borderId="97" xfId="0" applyFont="1" applyFill="1" applyBorder="1" applyAlignment="1">
      <alignment horizontal="left" vertical="center"/>
    </xf>
    <xf numFmtId="0" fontId="48" fillId="8" borderId="149" xfId="0" applyFont="1" applyFill="1" applyBorder="1" applyAlignment="1">
      <alignment horizontal="center" vertical="center"/>
    </xf>
    <xf numFmtId="0" fontId="48" fillId="8" borderId="148" xfId="0" applyFont="1" applyFill="1" applyBorder="1" applyAlignment="1">
      <alignment horizontal="left" vertical="center"/>
    </xf>
    <xf numFmtId="0" fontId="48" fillId="8" borderId="149" xfId="0" applyFont="1" applyFill="1" applyBorder="1" applyAlignment="1">
      <alignment horizontal="center" vertical="center" wrapText="1"/>
    </xf>
    <xf numFmtId="0" fontId="48" fillId="8" borderId="148" xfId="0" quotePrefix="1" applyFont="1" applyFill="1" applyBorder="1" applyAlignment="1">
      <alignment horizontal="left" vertical="center"/>
    </xf>
    <xf numFmtId="0" fontId="48" fillId="26" borderId="149" xfId="0" applyFont="1" applyFill="1" applyBorder="1"/>
    <xf numFmtId="0" fontId="48" fillId="26" borderId="149" xfId="0" applyFont="1" applyFill="1" applyBorder="1" applyAlignment="1">
      <alignment horizontal="center"/>
    </xf>
    <xf numFmtId="0" fontId="48" fillId="21" borderId="149" xfId="0" applyFont="1" applyFill="1" applyBorder="1"/>
    <xf numFmtId="0" fontId="48" fillId="21" borderId="149" xfId="0" applyFont="1" applyFill="1" applyBorder="1" applyAlignment="1">
      <alignment horizontal="center" vertical="center"/>
    </xf>
    <xf numFmtId="0" fontId="48" fillId="21" borderId="149" xfId="0" quotePrefix="1" applyFont="1" applyFill="1" applyBorder="1" applyAlignment="1">
      <alignment horizontal="center" vertical="center"/>
    </xf>
    <xf numFmtId="0" fontId="48" fillId="21" borderId="149" xfId="0" applyFont="1" applyFill="1" applyBorder="1" applyAlignment="1">
      <alignment horizontal="left" vertical="center"/>
    </xf>
    <xf numFmtId="0" fontId="48" fillId="21" borderId="148" xfId="0" applyFont="1" applyFill="1" applyBorder="1" applyAlignment="1">
      <alignment horizontal="left" vertical="center"/>
    </xf>
    <xf numFmtId="0" fontId="48" fillId="11" borderId="149" xfId="0" applyFont="1" applyFill="1" applyBorder="1" applyAlignment="1">
      <alignment horizontal="left" vertical="center"/>
    </xf>
    <xf numFmtId="0" fontId="48" fillId="11" borderId="149" xfId="0" applyFont="1" applyFill="1" applyBorder="1" applyAlignment="1">
      <alignment horizontal="center" vertical="center"/>
    </xf>
    <xf numFmtId="0" fontId="48" fillId="11" borderId="149" xfId="0" quotePrefix="1" applyFont="1" applyFill="1" applyBorder="1" applyAlignment="1">
      <alignment horizontal="center" vertical="center"/>
    </xf>
    <xf numFmtId="0" fontId="48" fillId="11" borderId="149" xfId="0" quotePrefix="1" applyFont="1" applyFill="1" applyBorder="1" applyAlignment="1">
      <alignment horizontal="left" vertical="center"/>
    </xf>
    <xf numFmtId="0" fontId="48" fillId="11" borderId="149" xfId="0" applyFont="1" applyFill="1" applyBorder="1" applyAlignment="1">
      <alignment horizontal="left" vertical="center" wrapText="1"/>
    </xf>
    <xf numFmtId="0" fontId="48" fillId="11" borderId="148" xfId="0" quotePrefix="1" applyFont="1" applyFill="1" applyBorder="1" applyAlignment="1">
      <alignment horizontal="left" vertical="center"/>
    </xf>
    <xf numFmtId="0" fontId="48" fillId="11" borderId="148" xfId="0" applyFont="1" applyFill="1" applyBorder="1" applyAlignment="1">
      <alignment horizontal="left" vertical="center"/>
    </xf>
    <xf numFmtId="0" fontId="48" fillId="10" borderId="149" xfId="0" applyFont="1" applyFill="1" applyBorder="1"/>
    <xf numFmtId="0" fontId="48" fillId="10" borderId="149" xfId="0" quotePrefix="1" applyFont="1" applyFill="1" applyBorder="1" applyAlignment="1">
      <alignment horizontal="center" vertical="center"/>
    </xf>
    <xf numFmtId="0" fontId="48" fillId="10" borderId="149" xfId="0" applyFont="1" applyFill="1" applyBorder="1" applyAlignment="1">
      <alignment horizontal="center" vertical="center"/>
    </xf>
    <xf numFmtId="0" fontId="48" fillId="10" borderId="149" xfId="0" applyFont="1" applyFill="1" applyBorder="1" applyAlignment="1">
      <alignment horizontal="left" vertical="center"/>
    </xf>
    <xf numFmtId="0" fontId="48" fillId="10" borderId="148" xfId="0" applyFont="1" applyFill="1" applyBorder="1" applyAlignment="1">
      <alignment horizontal="left" vertical="center"/>
    </xf>
    <xf numFmtId="0" fontId="48" fillId="22" borderId="149" xfId="0" applyFont="1" applyFill="1" applyBorder="1"/>
    <xf numFmtId="0" fontId="48" fillId="22" borderId="149" xfId="0" applyFont="1" applyFill="1" applyBorder="1" applyAlignment="1">
      <alignment horizontal="center" vertical="center"/>
    </xf>
    <xf numFmtId="0" fontId="48" fillId="22" borderId="149" xfId="0" applyFont="1" applyFill="1" applyBorder="1" applyAlignment="1">
      <alignment horizontal="left" vertical="center"/>
    </xf>
    <xf numFmtId="0" fontId="48" fillId="22" borderId="148" xfId="0" applyFont="1" applyFill="1" applyBorder="1" applyAlignment="1">
      <alignment horizontal="left" vertical="center"/>
    </xf>
    <xf numFmtId="0" fontId="48" fillId="20" borderId="149" xfId="0" applyFont="1" applyFill="1" applyBorder="1"/>
    <xf numFmtId="0" fontId="48" fillId="20" borderId="149" xfId="0" quotePrefix="1" applyFont="1" applyFill="1" applyBorder="1" applyAlignment="1">
      <alignment horizontal="center" vertical="center"/>
    </xf>
    <xf numFmtId="0" fontId="48" fillId="20" borderId="149" xfId="0" quotePrefix="1" applyFont="1" applyFill="1" applyBorder="1" applyAlignment="1">
      <alignment horizontal="left" vertical="center"/>
    </xf>
    <xf numFmtId="0" fontId="48" fillId="20" borderId="148" xfId="0" quotePrefix="1" applyFont="1" applyFill="1" applyBorder="1" applyAlignment="1">
      <alignment horizontal="left" vertical="center"/>
    </xf>
    <xf numFmtId="0" fontId="48" fillId="20" borderId="149" xfId="0" applyFont="1" applyFill="1" applyBorder="1" applyAlignment="1">
      <alignment horizontal="center" vertical="center"/>
    </xf>
    <xf numFmtId="0" fontId="48" fillId="20" borderId="149" xfId="0" applyFont="1" applyFill="1" applyBorder="1" applyAlignment="1">
      <alignment horizontal="left" vertical="center"/>
    </xf>
    <xf numFmtId="0" fontId="48" fillId="20" borderId="148" xfId="0" applyFont="1" applyFill="1" applyBorder="1" applyAlignment="1">
      <alignment horizontal="left" vertical="center"/>
    </xf>
    <xf numFmtId="0" fontId="48" fillId="12" borderId="149" xfId="0" applyFont="1" applyFill="1" applyBorder="1"/>
    <xf numFmtId="0" fontId="48" fillId="12" borderId="149" xfId="0" quotePrefix="1" applyFont="1" applyFill="1" applyBorder="1" applyAlignment="1">
      <alignment horizontal="center" vertical="center"/>
    </xf>
    <xf numFmtId="0" fontId="48" fillId="12" borderId="149" xfId="0" applyFont="1" applyFill="1" applyBorder="1" applyAlignment="1">
      <alignment horizontal="center" vertical="center"/>
    </xf>
    <xf numFmtId="0" fontId="48" fillId="12" borderId="149" xfId="0" quotePrefix="1" applyFont="1" applyFill="1" applyBorder="1" applyAlignment="1">
      <alignment horizontal="left" vertical="center"/>
    </xf>
    <xf numFmtId="0" fontId="48" fillId="12" borderId="149" xfId="0" applyFont="1" applyFill="1" applyBorder="1" applyAlignment="1">
      <alignment horizontal="left" vertical="center"/>
    </xf>
    <xf numFmtId="0" fontId="48" fillId="12" borderId="148" xfId="0" applyFont="1" applyFill="1" applyBorder="1" applyAlignment="1">
      <alignment horizontal="left" vertical="center"/>
    </xf>
    <xf numFmtId="0" fontId="48" fillId="18" borderId="149" xfId="0" applyFont="1" applyFill="1" applyBorder="1"/>
    <xf numFmtId="0" fontId="48" fillId="18" borderId="149" xfId="0" applyFont="1" applyFill="1" applyBorder="1" applyAlignment="1">
      <alignment horizontal="center" vertical="center"/>
    </xf>
    <xf numFmtId="0" fontId="48" fillId="18" borderId="149" xfId="0" quotePrefix="1" applyFont="1" applyFill="1" applyBorder="1" applyAlignment="1">
      <alignment horizontal="center" vertical="center"/>
    </xf>
    <xf numFmtId="0" fontId="48" fillId="18" borderId="149" xfId="0" quotePrefix="1" applyFont="1" applyFill="1" applyBorder="1" applyAlignment="1">
      <alignment horizontal="left" vertical="center"/>
    </xf>
    <xf numFmtId="0" fontId="48" fillId="18" borderId="149" xfId="0" applyFont="1" applyFill="1" applyBorder="1" applyAlignment="1">
      <alignment horizontal="left" vertical="center"/>
    </xf>
    <xf numFmtId="0" fontId="48" fillId="18" borderId="148" xfId="0" applyFont="1" applyFill="1" applyBorder="1" applyAlignment="1">
      <alignment horizontal="left" vertical="center"/>
    </xf>
    <xf numFmtId="0" fontId="48" fillId="9" borderId="149" xfId="0" applyFont="1" applyFill="1" applyBorder="1"/>
    <xf numFmtId="0" fontId="48" fillId="9" borderId="149" xfId="0" applyFont="1" applyFill="1" applyBorder="1" applyAlignment="1">
      <alignment horizontal="center" vertical="center"/>
    </xf>
    <xf numFmtId="0" fontId="48" fillId="9" borderId="149" xfId="0" applyFont="1" applyFill="1" applyBorder="1" applyAlignment="1">
      <alignment horizontal="left" vertical="center"/>
    </xf>
    <xf numFmtId="0" fontId="48" fillId="9" borderId="148" xfId="0" applyFont="1" applyFill="1" applyBorder="1" applyAlignment="1">
      <alignment horizontal="left" vertical="center"/>
    </xf>
    <xf numFmtId="16" fontId="48" fillId="9" borderId="149" xfId="0" quotePrefix="1" applyNumberFormat="1" applyFont="1" applyFill="1" applyBorder="1" applyAlignment="1">
      <alignment horizontal="center" vertical="center"/>
    </xf>
    <xf numFmtId="0" fontId="48" fillId="9" borderId="149" xfId="0" quotePrefix="1" applyFont="1" applyFill="1" applyBorder="1" applyAlignment="1">
      <alignment horizontal="center" vertical="center"/>
    </xf>
    <xf numFmtId="0" fontId="51" fillId="7" borderId="149" xfId="0" applyFont="1" applyFill="1" applyBorder="1"/>
    <xf numFmtId="0" fontId="48" fillId="7" borderId="149" xfId="0" applyFont="1" applyFill="1" applyBorder="1" applyAlignment="1">
      <alignment horizontal="center" vertical="center"/>
    </xf>
    <xf numFmtId="0" fontId="48" fillId="7" borderId="149" xfId="0" quotePrefix="1" applyFont="1" applyFill="1" applyBorder="1" applyAlignment="1">
      <alignment horizontal="center" vertical="center"/>
    </xf>
    <xf numFmtId="0" fontId="51" fillId="7" borderId="149" xfId="3" quotePrefix="1" applyFont="1" applyFill="1" applyBorder="1" applyAlignment="1">
      <alignment horizontal="center" vertical="center" wrapText="1"/>
    </xf>
    <xf numFmtId="0" fontId="48" fillId="7" borderId="149" xfId="0" quotePrefix="1" applyFont="1" applyFill="1" applyBorder="1" applyAlignment="1">
      <alignment horizontal="left" vertical="center"/>
    </xf>
    <xf numFmtId="0" fontId="48" fillId="7" borderId="149" xfId="0" applyFont="1" applyFill="1" applyBorder="1" applyAlignment="1">
      <alignment horizontal="left" vertical="center"/>
    </xf>
    <xf numFmtId="0" fontId="48" fillId="7" borderId="148" xfId="0" applyFont="1" applyFill="1" applyBorder="1" applyAlignment="1">
      <alignment horizontal="left" vertical="center"/>
    </xf>
    <xf numFmtId="0" fontId="48" fillId="16" borderId="149" xfId="0" applyFont="1" applyFill="1" applyBorder="1" applyAlignment="1">
      <alignment horizontal="left" vertical="center"/>
    </xf>
    <xf numFmtId="0" fontId="48" fillId="16" borderId="149" xfId="0" quotePrefix="1" applyFont="1" applyFill="1" applyBorder="1" applyAlignment="1">
      <alignment horizontal="center" vertical="center"/>
    </xf>
    <xf numFmtId="0" fontId="48" fillId="16" borderId="149" xfId="0" applyFont="1" applyFill="1" applyBorder="1" applyAlignment="1">
      <alignment horizontal="center" vertical="center"/>
    </xf>
    <xf numFmtId="0" fontId="51" fillId="16" borderId="149" xfId="3" quotePrefix="1" applyFont="1" applyFill="1" applyBorder="1" applyAlignment="1">
      <alignment horizontal="center" vertical="center" wrapText="1"/>
    </xf>
    <xf numFmtId="0" fontId="48" fillId="16" borderId="149" xfId="0" quotePrefix="1" applyFont="1" applyFill="1" applyBorder="1" applyAlignment="1">
      <alignment horizontal="left" vertical="center"/>
    </xf>
    <xf numFmtId="0" fontId="48" fillId="16" borderId="148" xfId="0" applyFont="1" applyFill="1" applyBorder="1" applyAlignment="1">
      <alignment horizontal="left" vertical="center"/>
    </xf>
    <xf numFmtId="0" fontId="51" fillId="16" borderId="149" xfId="0" applyFont="1" applyFill="1" applyBorder="1"/>
    <xf numFmtId="0" fontId="51" fillId="15" borderId="149" xfId="0" applyFont="1" applyFill="1" applyBorder="1"/>
    <xf numFmtId="0" fontId="48" fillId="15" borderId="149" xfId="0" applyFont="1" applyFill="1" applyBorder="1" applyAlignment="1">
      <alignment horizontal="center" vertical="center"/>
    </xf>
    <xf numFmtId="0" fontId="48" fillId="15" borderId="149" xfId="0" quotePrefix="1" applyFont="1" applyFill="1" applyBorder="1" applyAlignment="1">
      <alignment horizontal="center" vertical="center"/>
    </xf>
    <xf numFmtId="0" fontId="48" fillId="15" borderId="149" xfId="0" quotePrefix="1" applyFont="1" applyFill="1" applyBorder="1" applyAlignment="1">
      <alignment horizontal="left" vertical="center"/>
    </xf>
    <xf numFmtId="0" fontId="48" fillId="15" borderId="149" xfId="0" applyFont="1" applyFill="1" applyBorder="1" applyAlignment="1">
      <alignment horizontal="left" vertical="center"/>
    </xf>
    <xf numFmtId="0" fontId="48" fillId="15" borderId="148" xfId="0" applyFont="1" applyFill="1" applyBorder="1" applyAlignment="1">
      <alignment horizontal="left" vertical="center"/>
    </xf>
    <xf numFmtId="0" fontId="48" fillId="4" borderId="149" xfId="0" applyFont="1" applyFill="1" applyBorder="1" applyAlignment="1">
      <alignment horizontal="left" vertical="center"/>
    </xf>
    <xf numFmtId="0" fontId="48" fillId="4" borderId="149" xfId="0" applyFont="1" applyFill="1" applyBorder="1" applyAlignment="1">
      <alignment horizontal="center" vertical="center"/>
    </xf>
    <xf numFmtId="0" fontId="48" fillId="4" borderId="149" xfId="0" quotePrefix="1" applyFont="1" applyFill="1" applyBorder="1" applyAlignment="1">
      <alignment horizontal="center" vertical="center"/>
    </xf>
    <xf numFmtId="0" fontId="48" fillId="4" borderId="148" xfId="0" applyFont="1" applyFill="1" applyBorder="1" applyAlignment="1">
      <alignment horizontal="left" vertical="center"/>
    </xf>
    <xf numFmtId="0" fontId="51" fillId="11" borderId="146" xfId="0" applyFont="1" applyFill="1" applyBorder="1" applyAlignment="1">
      <alignment horizontal="center" vertical="center" wrapText="1"/>
    </xf>
    <xf numFmtId="0" fontId="51" fillId="11" borderId="146" xfId="0" applyFont="1" applyFill="1" applyBorder="1" applyAlignment="1">
      <alignment horizontal="center" vertical="center"/>
    </xf>
    <xf numFmtId="0" fontId="51" fillId="11" borderId="149" xfId="0" applyFont="1" applyFill="1" applyBorder="1" applyAlignment="1">
      <alignment horizontal="center" vertical="center" wrapText="1"/>
    </xf>
    <xf numFmtId="2" fontId="51" fillId="11" borderId="149" xfId="0" applyNumberFormat="1" applyFont="1" applyFill="1" applyBorder="1" applyAlignment="1">
      <alignment horizontal="center" vertical="center"/>
    </xf>
    <xf numFmtId="0" fontId="51" fillId="11" borderId="149" xfId="0" applyFont="1" applyFill="1" applyBorder="1" applyAlignment="1">
      <alignment horizontal="center" vertical="center"/>
    </xf>
    <xf numFmtId="0" fontId="51" fillId="11" borderId="150" xfId="0" applyFont="1" applyFill="1" applyBorder="1" applyAlignment="1">
      <alignment horizontal="left" vertical="center"/>
    </xf>
    <xf numFmtId="2" fontId="51" fillId="11" borderId="149" xfId="0" applyNumberFormat="1" applyFont="1" applyFill="1" applyBorder="1" applyAlignment="1">
      <alignment horizontal="center" vertical="center" wrapText="1"/>
    </xf>
    <xf numFmtId="164" fontId="51" fillId="11" borderId="149" xfId="0" applyNumberFormat="1" applyFont="1" applyFill="1" applyBorder="1" applyAlignment="1">
      <alignment horizontal="center" vertical="center"/>
    </xf>
    <xf numFmtId="0" fontId="51" fillId="11" borderId="149" xfId="0" quotePrefix="1" applyFont="1" applyFill="1" applyBorder="1" applyAlignment="1">
      <alignment horizontal="center" vertical="center" wrapText="1"/>
    </xf>
    <xf numFmtId="164" fontId="51" fillId="11" borderId="110" xfId="0" applyNumberFormat="1" applyFont="1" applyFill="1" applyBorder="1" applyAlignment="1">
      <alignment horizontal="center" vertical="center"/>
    </xf>
    <xf numFmtId="0" fontId="51" fillId="11" borderId="110" xfId="0" applyFont="1" applyFill="1" applyBorder="1" applyAlignment="1">
      <alignment horizontal="center" vertical="center" wrapText="1"/>
    </xf>
    <xf numFmtId="0" fontId="51" fillId="11" borderId="110" xfId="0" applyFont="1" applyFill="1" applyBorder="1" applyAlignment="1">
      <alignment horizontal="center" vertical="center"/>
    </xf>
    <xf numFmtId="0" fontId="51" fillId="19" borderId="149" xfId="0" applyFont="1" applyFill="1" applyBorder="1" applyAlignment="1">
      <alignment horizontal="center" vertical="center" wrapText="1"/>
    </xf>
    <xf numFmtId="0" fontId="51" fillId="19" borderId="149" xfId="0" applyFont="1" applyFill="1" applyBorder="1" applyAlignment="1">
      <alignment horizontal="center" vertical="center"/>
    </xf>
    <xf numFmtId="0" fontId="51" fillId="19" borderId="149" xfId="0" quotePrefix="1" applyFont="1" applyFill="1" applyBorder="1" applyAlignment="1">
      <alignment horizontal="center" vertical="center" wrapText="1"/>
    </xf>
    <xf numFmtId="0" fontId="51" fillId="0" borderId="144" xfId="0" applyFont="1" applyBorder="1" applyAlignment="1">
      <alignment horizontal="center" vertical="center"/>
    </xf>
    <xf numFmtId="0" fontId="59" fillId="7" borderId="121" xfId="0" applyFont="1" applyFill="1" applyBorder="1" applyAlignment="1">
      <alignment horizontal="left" vertical="center"/>
    </xf>
    <xf numFmtId="0" fontId="51" fillId="0" borderId="77" xfId="0" applyFont="1" applyBorder="1" applyAlignment="1">
      <alignment horizontal="left" vertical="center"/>
    </xf>
    <xf numFmtId="0" fontId="51" fillId="0" borderId="81" xfId="0" applyFont="1" applyBorder="1" applyAlignment="1">
      <alignment horizontal="left" vertical="center"/>
    </xf>
    <xf numFmtId="0" fontId="51" fillId="10" borderId="100" xfId="0" applyFont="1" applyFill="1" applyBorder="1" applyAlignment="1">
      <alignment horizontal="left" vertical="center"/>
    </xf>
    <xf numFmtId="0" fontId="51" fillId="22" borderId="100" xfId="0" applyFont="1" applyFill="1" applyBorder="1" applyAlignment="1">
      <alignment horizontal="left" vertical="center"/>
    </xf>
    <xf numFmtId="0" fontId="48" fillId="10" borderId="7" xfId="0" applyFont="1" applyFill="1" applyBorder="1" applyAlignment="1">
      <alignment horizontal="left" vertical="center"/>
    </xf>
    <xf numFmtId="0" fontId="48" fillId="22" borderId="7" xfId="0" applyFont="1" applyFill="1" applyBorder="1" applyAlignment="1">
      <alignment horizontal="left" vertical="center"/>
    </xf>
    <xf numFmtId="0" fontId="48" fillId="20" borderId="7" xfId="0" applyFont="1" applyFill="1" applyBorder="1" applyAlignment="1">
      <alignment horizontal="left" vertical="center"/>
    </xf>
    <xf numFmtId="0" fontId="48" fillId="11" borderId="7" xfId="0" applyFont="1" applyFill="1" applyBorder="1" applyAlignment="1">
      <alignment horizontal="left" vertical="center"/>
    </xf>
    <xf numFmtId="0" fontId="50" fillId="0" borderId="145" xfId="0" applyFont="1" applyBorder="1" applyAlignment="1">
      <alignment horizontal="center" vertical="center"/>
    </xf>
    <xf numFmtId="11" fontId="51" fillId="0" borderId="146" xfId="0" applyNumberFormat="1" applyFont="1" applyBorder="1" applyAlignment="1">
      <alignment horizontal="center" vertical="center"/>
    </xf>
    <xf numFmtId="0" fontId="51" fillId="0" borderId="147" xfId="0" applyFont="1" applyBorder="1" applyAlignment="1">
      <alignment horizontal="center" vertical="center"/>
    </xf>
    <xf numFmtId="0" fontId="50" fillId="0" borderId="90" xfId="0" applyFont="1" applyBorder="1" applyAlignment="1">
      <alignment horizontal="center" vertical="center"/>
    </xf>
    <xf numFmtId="0" fontId="51" fillId="0" borderId="93" xfId="0" applyFont="1" applyBorder="1" applyAlignment="1">
      <alignment horizontal="center" vertical="center"/>
    </xf>
    <xf numFmtId="0" fontId="48" fillId="0" borderId="91" xfId="0" applyFont="1" applyBorder="1"/>
    <xf numFmtId="0" fontId="48" fillId="0" borderId="93" xfId="0" applyFont="1" applyBorder="1"/>
    <xf numFmtId="0" fontId="50" fillId="0" borderId="90" xfId="0" applyFont="1" applyBorder="1" applyAlignment="1">
      <alignment horizontal="center" vertical="center" wrapText="1"/>
    </xf>
    <xf numFmtId="0" fontId="48" fillId="0" borderId="110" xfId="0" applyFont="1" applyBorder="1"/>
    <xf numFmtId="0" fontId="50" fillId="28" borderId="84" xfId="0" applyFont="1" applyFill="1" applyBorder="1" applyAlignment="1">
      <alignment horizontal="center" vertical="center"/>
    </xf>
    <xf numFmtId="0" fontId="50" fillId="28" borderId="67" xfId="0" applyFont="1" applyFill="1" applyBorder="1" applyAlignment="1">
      <alignment horizontal="center" vertical="center"/>
    </xf>
    <xf numFmtId="0" fontId="50" fillId="28" borderId="74" xfId="0" applyFont="1" applyFill="1" applyBorder="1" applyAlignment="1">
      <alignment horizontal="center" vertical="center"/>
    </xf>
    <xf numFmtId="0" fontId="59" fillId="28" borderId="84" xfId="0" applyFont="1" applyFill="1" applyBorder="1" applyAlignment="1">
      <alignment horizontal="center" vertical="center"/>
    </xf>
    <xf numFmtId="0" fontId="59" fillId="28" borderId="67" xfId="0" applyFont="1" applyFill="1" applyBorder="1" applyAlignment="1">
      <alignment horizontal="center" vertical="center"/>
    </xf>
    <xf numFmtId="0" fontId="0" fillId="8" borderId="149" xfId="0" applyFill="1" applyBorder="1" applyAlignment="1">
      <alignment horizontal="center" vertical="center"/>
    </xf>
    <xf numFmtId="0" fontId="0" fillId="21" borderId="149" xfId="0" applyFill="1" applyBorder="1" applyAlignment="1">
      <alignment horizontal="center" vertical="center"/>
    </xf>
    <xf numFmtId="0" fontId="0" fillId="11" borderId="149" xfId="0" applyFill="1" applyBorder="1" applyAlignment="1">
      <alignment horizontal="center" vertical="center"/>
    </xf>
    <xf numFmtId="0" fontId="0" fillId="10" borderId="149" xfId="0" applyFill="1" applyBorder="1" applyAlignment="1">
      <alignment horizontal="center" vertical="center"/>
    </xf>
    <xf numFmtId="0" fontId="0" fillId="22" borderId="149" xfId="0" applyFill="1" applyBorder="1" applyAlignment="1">
      <alignment horizontal="center" vertical="center"/>
    </xf>
    <xf numFmtId="0" fontId="0" fillId="20" borderId="149" xfId="0" applyFill="1" applyBorder="1" applyAlignment="1">
      <alignment horizontal="center" vertical="center"/>
    </xf>
    <xf numFmtId="0" fontId="0" fillId="12" borderId="149" xfId="0" applyFill="1" applyBorder="1" applyAlignment="1">
      <alignment horizontal="center" vertical="center"/>
    </xf>
    <xf numFmtId="0" fontId="0" fillId="18" borderId="149" xfId="0" applyFill="1" applyBorder="1" applyAlignment="1">
      <alignment horizontal="center" vertical="center"/>
    </xf>
    <xf numFmtId="0" fontId="51" fillId="0" borderId="145" xfId="0" applyFont="1" applyBorder="1" applyAlignment="1">
      <alignment horizontal="left" vertical="center"/>
    </xf>
    <xf numFmtId="0" fontId="51" fillId="0" borderId="146" xfId="46" applyFont="1" applyBorder="1" applyAlignment="1">
      <alignment horizontal="left" vertical="center" wrapText="1"/>
    </xf>
    <xf numFmtId="0" fontId="51" fillId="0" borderId="110" xfId="46" applyFont="1" applyBorder="1" applyAlignment="1">
      <alignment horizontal="left" vertical="center" wrapText="1"/>
    </xf>
    <xf numFmtId="164" fontId="51" fillId="0" borderId="110" xfId="0" quotePrefix="1" applyNumberFormat="1" applyFont="1" applyBorder="1" applyAlignment="1">
      <alignment horizontal="left" vertical="center"/>
    </xf>
    <xf numFmtId="0" fontId="51" fillId="0" borderId="149" xfId="0" applyFont="1" applyBorder="1" applyAlignment="1">
      <alignment vertical="center"/>
    </xf>
    <xf numFmtId="0" fontId="51" fillId="0" borderId="149" xfId="0" applyFont="1" applyBorder="1" applyAlignment="1">
      <alignment horizontal="center" vertical="center"/>
    </xf>
    <xf numFmtId="0" fontId="51" fillId="0" borderId="110" xfId="0" applyFont="1" applyBorder="1" applyAlignment="1">
      <alignment vertical="center"/>
    </xf>
    <xf numFmtId="2" fontId="48" fillId="0" borderId="92" xfId="0" applyNumberFormat="1" applyFont="1" applyBorder="1" applyAlignment="1">
      <alignment horizontal="center" vertical="center"/>
    </xf>
    <xf numFmtId="0" fontId="87" fillId="0" borderId="0" xfId="0" applyFont="1"/>
    <xf numFmtId="0" fontId="51" fillId="0" borderId="88" xfId="0" applyFont="1" applyBorder="1" applyAlignment="1">
      <alignment horizontal="left"/>
    </xf>
    <xf numFmtId="0" fontId="59" fillId="13" borderId="152" xfId="12" applyFont="1" applyFill="1" applyBorder="1"/>
    <xf numFmtId="0" fontId="59" fillId="13" borderId="142" xfId="12" applyFont="1" applyFill="1" applyBorder="1" applyAlignment="1">
      <alignment horizontal="center"/>
    </xf>
    <xf numFmtId="0" fontId="59" fillId="13" borderId="144" xfId="12" applyFont="1" applyFill="1" applyBorder="1" applyAlignment="1">
      <alignment horizontal="center" vertical="top" wrapText="1"/>
    </xf>
    <xf numFmtId="0" fontId="59" fillId="13" borderId="144" xfId="12" applyFont="1" applyFill="1" applyBorder="1" applyAlignment="1">
      <alignment horizontal="center" vertical="center" wrapText="1"/>
    </xf>
    <xf numFmtId="0" fontId="59" fillId="13" borderId="143" xfId="12" applyFont="1" applyFill="1" applyBorder="1" applyAlignment="1">
      <alignment horizontal="center" vertical="top" wrapText="1"/>
    </xf>
    <xf numFmtId="0" fontId="48" fillId="0" borderId="145" xfId="0" applyFont="1" applyBorder="1"/>
    <xf numFmtId="0" fontId="48" fillId="0" borderId="146" xfId="0" applyFont="1" applyBorder="1"/>
    <xf numFmtId="0" fontId="48" fillId="0" borderId="146" xfId="0" applyFont="1" applyBorder="1" applyAlignment="1">
      <alignment horizontal="center"/>
    </xf>
    <xf numFmtId="0" fontId="48" fillId="0" borderId="147" xfId="0" applyFont="1" applyBorder="1"/>
    <xf numFmtId="0" fontId="48" fillId="0" borderId="92" xfId="0" applyFont="1" applyBorder="1"/>
    <xf numFmtId="0" fontId="48" fillId="0" borderId="92" xfId="0" applyFont="1" applyBorder="1" applyAlignment="1">
      <alignment horizontal="center"/>
    </xf>
    <xf numFmtId="0" fontId="48" fillId="0" borderId="97" xfId="0" applyFont="1" applyBorder="1"/>
    <xf numFmtId="0" fontId="48" fillId="0" borderId="90" xfId="22" applyFont="1" applyBorder="1"/>
    <xf numFmtId="0" fontId="48" fillId="0" borderId="91" xfId="22" applyFont="1" applyBorder="1"/>
    <xf numFmtId="0" fontId="48" fillId="0" borderId="91" xfId="22" applyFont="1" applyBorder="1" applyAlignment="1">
      <alignment horizontal="center"/>
    </xf>
    <xf numFmtId="0" fontId="48" fillId="0" borderId="91" xfId="22" applyFont="1" applyBorder="1" applyAlignment="1">
      <alignment horizontal="left" vertical="center"/>
    </xf>
    <xf numFmtId="0" fontId="48" fillId="0" borderId="93" xfId="22" applyFont="1" applyBorder="1"/>
    <xf numFmtId="0" fontId="48" fillId="0" borderId="90" xfId="22" applyFont="1" applyBorder="1" applyAlignment="1">
      <alignment horizontal="left" vertical="center"/>
    </xf>
    <xf numFmtId="0" fontId="48" fillId="0" borderId="91" xfId="22" applyFont="1" applyBorder="1" applyAlignment="1">
      <alignment horizontal="center" vertical="center"/>
    </xf>
    <xf numFmtId="0" fontId="48" fillId="0" borderId="93" xfId="22" applyFont="1" applyBorder="1" applyAlignment="1">
      <alignment horizontal="left" vertical="center"/>
    </xf>
    <xf numFmtId="0" fontId="48" fillId="0" borderId="9" xfId="22" applyFont="1" applyBorder="1"/>
    <xf numFmtId="0" fontId="48" fillId="0" borderId="110" xfId="22" applyFont="1" applyBorder="1"/>
    <xf numFmtId="0" fontId="48" fillId="0" borderId="110" xfId="22" applyFont="1" applyBorder="1" applyAlignment="1">
      <alignment horizontal="center"/>
    </xf>
    <xf numFmtId="0" fontId="48" fillId="0" borderId="11" xfId="22" applyFont="1" applyBorder="1"/>
    <xf numFmtId="0" fontId="48" fillId="0" borderId="90" xfId="0" applyFont="1" applyBorder="1"/>
    <xf numFmtId="0" fontId="84" fillId="0" borderId="90" xfId="34" applyFont="1" applyBorder="1" applyAlignment="1">
      <alignment horizontal="left" vertical="center" wrapText="1"/>
    </xf>
    <xf numFmtId="0" fontId="51" fillId="0" borderId="93" xfId="0" applyFont="1" applyBorder="1" applyAlignment="1">
      <alignment horizontal="center" vertical="center" wrapText="1"/>
    </xf>
    <xf numFmtId="0" fontId="48" fillId="0" borderId="110" xfId="0" applyFont="1" applyBorder="1" applyAlignment="1">
      <alignment horizontal="left" vertical="center"/>
    </xf>
    <xf numFmtId="0" fontId="59" fillId="7" borderId="122" xfId="0" applyFont="1" applyFill="1" applyBorder="1" applyAlignment="1">
      <alignment horizontal="left" vertical="center"/>
    </xf>
    <xf numFmtId="0" fontId="51" fillId="20" borderId="108" xfId="0" applyFont="1" applyFill="1" applyBorder="1" applyAlignment="1">
      <alignment horizontal="left" vertical="center"/>
    </xf>
    <xf numFmtId="0" fontId="51" fillId="20" borderId="110" xfId="0" applyFont="1" applyFill="1" applyBorder="1" applyAlignment="1">
      <alignment horizontal="left" vertical="center"/>
    </xf>
    <xf numFmtId="0" fontId="69" fillId="0" borderId="145" xfId="0" applyFont="1" applyBorder="1" applyAlignment="1">
      <alignment horizontal="left"/>
    </xf>
    <xf numFmtId="0" fontId="48" fillId="0" borderId="146" xfId="0" applyFont="1" applyBorder="1" applyAlignment="1">
      <alignment horizontal="left" vertical="center" wrapText="1"/>
    </xf>
    <xf numFmtId="0" fontId="69" fillId="0" borderId="90" xfId="0" applyFont="1" applyBorder="1" applyAlignment="1">
      <alignment horizontal="left"/>
    </xf>
    <xf numFmtId="0" fontId="48" fillId="0" borderId="91" xfId="0" applyFont="1" applyBorder="1" applyAlignment="1">
      <alignment horizontal="left" vertical="center" wrapText="1"/>
    </xf>
    <xf numFmtId="0" fontId="48" fillId="0" borderId="147" xfId="0" applyFont="1" applyBorder="1" applyAlignment="1">
      <alignment horizontal="left"/>
    </xf>
    <xf numFmtId="0" fontId="48" fillId="0" borderId="93" xfId="0" applyFont="1" applyBorder="1" applyAlignment="1">
      <alignment horizontal="left"/>
    </xf>
    <xf numFmtId="0" fontId="48" fillId="0" borderId="91" xfId="0" applyFont="1" applyBorder="1" applyAlignment="1">
      <alignment horizontal="center" vertical="center" wrapText="1"/>
    </xf>
    <xf numFmtId="0" fontId="48" fillId="0" borderId="146" xfId="0" applyFont="1" applyBorder="1" applyAlignment="1">
      <alignment horizontal="center" vertical="center" wrapText="1"/>
    </xf>
    <xf numFmtId="0" fontId="63" fillId="0" borderId="153" xfId="3" applyFont="1" applyBorder="1" applyAlignment="1">
      <alignment horizontal="left" vertical="center" wrapText="1"/>
    </xf>
    <xf numFmtId="2" fontId="48" fillId="0" borderId="13" xfId="0" applyNumberFormat="1" applyFont="1" applyBorder="1" applyAlignment="1">
      <alignment horizontal="left" vertical="center"/>
    </xf>
    <xf numFmtId="2" fontId="48" fillId="0" borderId="13" xfId="0" applyNumberFormat="1" applyFont="1" applyBorder="1" applyAlignment="1">
      <alignment horizontal="center" vertical="center"/>
    </xf>
    <xf numFmtId="0" fontId="48" fillId="0" borderId="13" xfId="0" applyFont="1" applyBorder="1" applyAlignment="1">
      <alignment horizontal="center" vertical="center"/>
    </xf>
    <xf numFmtId="0" fontId="48" fillId="0" borderId="49" xfId="0" applyFont="1" applyBorder="1" applyAlignment="1">
      <alignment horizontal="left" vertical="center"/>
    </xf>
    <xf numFmtId="0" fontId="48" fillId="0" borderId="110" xfId="0" applyFont="1" applyBorder="1" applyAlignment="1">
      <alignment horizontal="left"/>
    </xf>
    <xf numFmtId="0" fontId="48" fillId="0" borderId="110" xfId="0" applyFont="1" applyBorder="1" applyAlignment="1">
      <alignment horizontal="left" vertical="center" wrapText="1"/>
    </xf>
    <xf numFmtId="0" fontId="48" fillId="0" borderId="110" xfId="0" applyFont="1" applyBorder="1" applyAlignment="1">
      <alignment horizontal="center" vertical="center" wrapText="1"/>
    </xf>
    <xf numFmtId="0" fontId="48" fillId="18" borderId="110" xfId="0" applyFont="1" applyFill="1" applyBorder="1" applyAlignment="1">
      <alignment horizontal="left" vertical="center"/>
    </xf>
    <xf numFmtId="0" fontId="48" fillId="18" borderId="110" xfId="0" applyFont="1" applyFill="1" applyBorder="1" applyAlignment="1">
      <alignment horizontal="center" vertical="center"/>
    </xf>
    <xf numFmtId="0" fontId="48" fillId="18" borderId="110" xfId="0" quotePrefix="1" applyFont="1" applyFill="1" applyBorder="1" applyAlignment="1">
      <alignment horizontal="center" vertical="center"/>
    </xf>
    <xf numFmtId="0" fontId="48" fillId="18" borderId="11" xfId="0" applyFont="1" applyFill="1" applyBorder="1" applyAlignment="1">
      <alignment horizontal="left" vertical="center"/>
    </xf>
    <xf numFmtId="0" fontId="51" fillId="5" borderId="146" xfId="0" applyFont="1" applyFill="1" applyBorder="1" applyAlignment="1">
      <alignment horizontal="center" vertical="center"/>
    </xf>
    <xf numFmtId="0" fontId="51" fillId="5" borderId="146" xfId="0" quotePrefix="1" applyFont="1" applyFill="1" applyBorder="1" applyAlignment="1">
      <alignment horizontal="center" vertical="center"/>
    </xf>
    <xf numFmtId="0" fontId="51" fillId="5" borderId="91" xfId="0" quotePrefix="1" applyFont="1" applyFill="1" applyBorder="1" applyAlignment="1">
      <alignment horizontal="center" vertical="center"/>
    </xf>
    <xf numFmtId="0" fontId="51" fillId="5" borderId="147" xfId="0" quotePrefix="1" applyFont="1" applyFill="1" applyBorder="1" applyAlignment="1">
      <alignment horizontal="center" vertical="center"/>
    </xf>
    <xf numFmtId="0" fontId="51" fillId="5" borderId="93" xfId="0" applyFont="1" applyFill="1" applyBorder="1" applyAlignment="1">
      <alignment horizontal="center" vertical="center"/>
    </xf>
    <xf numFmtId="0" fontId="51" fillId="0" borderId="146" xfId="0" applyFont="1" applyBorder="1" applyAlignment="1">
      <alignment horizontal="left" vertical="center" wrapText="1"/>
    </xf>
    <xf numFmtId="0" fontId="51" fillId="0" borderId="146" xfId="0" applyFont="1" applyBorder="1" applyAlignment="1">
      <alignment horizontal="center" vertical="center" wrapText="1"/>
    </xf>
    <xf numFmtId="0" fontId="51" fillId="0" borderId="37" xfId="2" applyFont="1" applyBorder="1" applyAlignment="1">
      <alignment horizontal="left" vertical="center" wrapText="1"/>
    </xf>
    <xf numFmtId="0" fontId="51" fillId="0" borderId="92" xfId="0" applyFont="1" applyBorder="1" applyAlignment="1">
      <alignment horizontal="left" vertical="center" wrapText="1"/>
    </xf>
    <xf numFmtId="0" fontId="51" fillId="0" borderId="90" xfId="2" applyFont="1" applyBorder="1" applyAlignment="1">
      <alignment horizontal="left" vertical="center" wrapText="1"/>
    </xf>
    <xf numFmtId="0" fontId="51" fillId="0" borderId="110" xfId="0" applyFont="1" applyBorder="1" applyAlignment="1">
      <alignment horizontal="left" vertical="center" wrapText="1"/>
    </xf>
    <xf numFmtId="0" fontId="51" fillId="0" borderId="89" xfId="0" applyFont="1" applyBorder="1" applyAlignment="1">
      <alignment horizontal="center" vertical="center" wrapText="1"/>
    </xf>
    <xf numFmtId="0" fontId="52" fillId="6" borderId="0" xfId="0" applyFont="1" applyFill="1" applyAlignment="1">
      <alignment horizontal="center"/>
    </xf>
    <xf numFmtId="0" fontId="48" fillId="26" borderId="149" xfId="0" applyFont="1" applyFill="1" applyBorder="1" applyAlignment="1">
      <alignment horizontal="left"/>
    </xf>
    <xf numFmtId="0" fontId="69" fillId="0" borderId="100" xfId="0" applyFont="1" applyBorder="1" applyAlignment="1">
      <alignment horizontal="left"/>
    </xf>
    <xf numFmtId="0" fontId="48" fillId="0" borderId="149" xfId="0" applyFont="1" applyBorder="1" applyAlignment="1">
      <alignment horizontal="left"/>
    </xf>
    <xf numFmtId="0" fontId="13" fillId="0" borderId="149" xfId="155" applyFont="1" applyBorder="1" applyAlignment="1">
      <alignment horizontal="center"/>
    </xf>
    <xf numFmtId="0" fontId="48" fillId="0" borderId="149" xfId="0" applyFont="1" applyBorder="1" applyAlignment="1">
      <alignment horizontal="center"/>
    </xf>
    <xf numFmtId="0" fontId="48" fillId="0" borderId="149" xfId="0" applyFont="1" applyBorder="1" applyAlignment="1">
      <alignment horizontal="left" vertical="center"/>
    </xf>
    <xf numFmtId="0" fontId="48" fillId="0" borderId="148" xfId="0" applyFont="1" applyBorder="1" applyAlignment="1">
      <alignment horizontal="left"/>
    </xf>
    <xf numFmtId="2" fontId="48" fillId="0" borderId="149" xfId="0" applyNumberFormat="1" applyFont="1" applyBorder="1" applyAlignment="1">
      <alignment horizontal="left" vertical="center"/>
    </xf>
    <xf numFmtId="0" fontId="0" fillId="0" borderId="149" xfId="0" applyBorder="1" applyAlignment="1">
      <alignment horizontal="center"/>
    </xf>
    <xf numFmtId="0" fontId="13" fillId="0" borderId="149" xfId="156" applyFont="1" applyBorder="1" applyAlignment="1">
      <alignment horizontal="center"/>
    </xf>
    <xf numFmtId="0" fontId="13" fillId="0" borderId="149" xfId="157" applyFont="1" applyBorder="1" applyAlignment="1">
      <alignment horizontal="center"/>
    </xf>
    <xf numFmtId="0" fontId="48" fillId="0" borderId="149" xfId="0" applyFont="1" applyBorder="1" applyAlignment="1">
      <alignment horizontal="center" vertical="center" wrapText="1"/>
    </xf>
    <xf numFmtId="0" fontId="48" fillId="0" borderId="149" xfId="0" applyFont="1" applyBorder="1" applyAlignment="1">
      <alignment horizontal="left" vertical="center" wrapText="1"/>
    </xf>
    <xf numFmtId="0" fontId="13" fillId="0" borderId="149" xfId="158" applyFont="1" applyBorder="1" applyAlignment="1">
      <alignment horizontal="center"/>
    </xf>
    <xf numFmtId="0" fontId="48" fillId="0" borderId="110" xfId="0" applyFont="1" applyBorder="1" applyAlignment="1">
      <alignment horizontal="center" vertical="center"/>
    </xf>
    <xf numFmtId="0" fontId="13" fillId="0" borderId="110" xfId="163" applyBorder="1" applyAlignment="1">
      <alignment horizontal="center"/>
    </xf>
    <xf numFmtId="0" fontId="51" fillId="20" borderId="96" xfId="0" applyFont="1" applyFill="1" applyBorder="1" applyAlignment="1">
      <alignment horizontal="left" vertical="center"/>
    </xf>
    <xf numFmtId="166" fontId="51" fillId="20" borderId="92" xfId="0" applyNumberFormat="1" applyFont="1" applyFill="1" applyBorder="1" applyAlignment="1">
      <alignment horizontal="left" vertical="center"/>
    </xf>
    <xf numFmtId="0" fontId="51" fillId="20" borderId="97" xfId="0" applyFont="1" applyFill="1" applyBorder="1" applyAlignment="1">
      <alignment horizontal="left" vertical="center"/>
    </xf>
    <xf numFmtId="0" fontId="51" fillId="20" borderId="96" xfId="0" applyFont="1" applyFill="1" applyBorder="1" applyAlignment="1">
      <alignment horizontal="left" vertical="center" wrapText="1"/>
    </xf>
    <xf numFmtId="0" fontId="51" fillId="20" borderId="149" xfId="0" applyFont="1" applyFill="1" applyBorder="1" applyAlignment="1">
      <alignment horizontal="left" vertical="center"/>
    </xf>
    <xf numFmtId="0" fontId="51" fillId="20" borderId="100" xfId="0" applyFont="1" applyFill="1" applyBorder="1" applyAlignment="1">
      <alignment horizontal="left" vertical="center" wrapText="1"/>
    </xf>
    <xf numFmtId="166" fontId="51" fillId="20" borderId="149" xfId="0" applyNumberFormat="1" applyFont="1" applyFill="1" applyBorder="1" applyAlignment="1">
      <alignment horizontal="left" vertical="center"/>
    </xf>
    <xf numFmtId="167" fontId="51" fillId="20" borderId="149" xfId="0" applyNumberFormat="1" applyFont="1" applyFill="1" applyBorder="1" applyAlignment="1">
      <alignment horizontal="left" vertical="center"/>
    </xf>
    <xf numFmtId="0" fontId="51" fillId="20" borderId="149" xfId="0" quotePrefix="1" applyFont="1" applyFill="1" applyBorder="1" applyAlignment="1">
      <alignment horizontal="left" vertical="center"/>
    </xf>
    <xf numFmtId="0" fontId="51" fillId="20" borderId="148" xfId="0" applyFont="1" applyFill="1" applyBorder="1" applyAlignment="1">
      <alignment horizontal="left" vertical="center"/>
    </xf>
    <xf numFmtId="166" fontId="51" fillId="20" borderId="110" xfId="0" applyNumberFormat="1" applyFont="1" applyFill="1" applyBorder="1" applyAlignment="1">
      <alignment horizontal="left" vertical="center"/>
    </xf>
    <xf numFmtId="0" fontId="51" fillId="20" borderId="110" xfId="0" quotePrefix="1" applyFont="1" applyFill="1" applyBorder="1" applyAlignment="1">
      <alignment horizontal="left" vertical="center"/>
    </xf>
    <xf numFmtId="0" fontId="51" fillId="20" borderId="92" xfId="0" quotePrefix="1" applyFont="1" applyFill="1" applyBorder="1" applyAlignment="1">
      <alignment horizontal="left" vertical="center"/>
    </xf>
    <xf numFmtId="0" fontId="51" fillId="26" borderId="149" xfId="0" applyFont="1" applyFill="1" applyBorder="1" applyAlignment="1">
      <alignment horizontal="center" vertical="center" wrapText="1"/>
    </xf>
    <xf numFmtId="0" fontId="51" fillId="26" borderId="149" xfId="0" applyFont="1" applyFill="1" applyBorder="1" applyAlignment="1">
      <alignment horizontal="left" vertical="center" wrapText="1"/>
    </xf>
    <xf numFmtId="0" fontId="51" fillId="26" borderId="149" xfId="0" quotePrefix="1" applyFont="1" applyFill="1" applyBorder="1" applyAlignment="1">
      <alignment horizontal="left" vertical="center"/>
    </xf>
    <xf numFmtId="2" fontId="51" fillId="26" borderId="149" xfId="0" applyNumberFormat="1" applyFont="1" applyFill="1" applyBorder="1" applyAlignment="1">
      <alignment horizontal="left" vertical="center"/>
    </xf>
    <xf numFmtId="0" fontId="51" fillId="26" borderId="149" xfId="0" applyFont="1" applyFill="1" applyBorder="1" applyAlignment="1">
      <alignment horizontal="left" vertical="center"/>
    </xf>
    <xf numFmtId="0" fontId="51" fillId="7" borderId="149" xfId="0" quotePrefix="1" applyFont="1" applyFill="1" applyBorder="1" applyAlignment="1">
      <alignment horizontal="left" vertical="center"/>
    </xf>
    <xf numFmtId="0" fontId="51" fillId="7" borderId="149" xfId="0" applyFont="1" applyFill="1" applyBorder="1" applyAlignment="1">
      <alignment horizontal="left" vertical="center"/>
    </xf>
    <xf numFmtId="0" fontId="51" fillId="7" borderId="148" xfId="0" applyFont="1" applyFill="1" applyBorder="1" applyAlignment="1">
      <alignment horizontal="left" vertical="center"/>
    </xf>
    <xf numFmtId="0" fontId="51" fillId="27" borderId="149" xfId="0" quotePrefix="1" applyFont="1" applyFill="1" applyBorder="1" applyAlignment="1">
      <alignment horizontal="left" vertical="center"/>
    </xf>
    <xf numFmtId="0" fontId="51" fillId="27" borderId="149" xfId="0" applyFont="1" applyFill="1" applyBorder="1" applyAlignment="1">
      <alignment horizontal="left" vertical="center"/>
    </xf>
    <xf numFmtId="165" fontId="58" fillId="0" borderId="0" xfId="0" applyNumberFormat="1" applyFont="1" applyAlignment="1">
      <alignment horizontal="center" vertical="center"/>
    </xf>
    <xf numFmtId="0" fontId="55" fillId="0" borderId="144" xfId="0" applyFont="1" applyBorder="1" applyAlignment="1">
      <alignment vertical="center"/>
    </xf>
    <xf numFmtId="0" fontId="55" fillId="0" borderId="144" xfId="0" applyFont="1" applyBorder="1" applyAlignment="1">
      <alignment horizontal="center" vertical="center"/>
    </xf>
    <xf numFmtId="166" fontId="51" fillId="26" borderId="149" xfId="0" applyNumberFormat="1" applyFont="1" applyFill="1" applyBorder="1" applyAlignment="1">
      <alignment horizontal="center" vertical="center" wrapText="1"/>
    </xf>
    <xf numFmtId="0" fontId="59" fillId="7" borderId="75" xfId="0" applyFont="1" applyFill="1" applyBorder="1" applyAlignment="1">
      <alignment horizontal="left" vertical="center"/>
    </xf>
    <xf numFmtId="2" fontId="51" fillId="27" borderId="149" xfId="0" quotePrefix="1" applyNumberFormat="1" applyFont="1" applyFill="1" applyBorder="1" applyAlignment="1">
      <alignment horizontal="left" vertical="center"/>
    </xf>
    <xf numFmtId="165" fontId="55" fillId="9" borderId="149" xfId="0" applyNumberFormat="1" applyFont="1" applyFill="1" applyBorder="1" applyAlignment="1">
      <alignment horizontal="center" vertical="center" wrapText="1"/>
    </xf>
    <xf numFmtId="0" fontId="55" fillId="9" borderId="149" xfId="0" applyFont="1" applyFill="1" applyBorder="1" applyAlignment="1">
      <alignment horizontal="center" vertical="center" wrapText="1"/>
    </xf>
    <xf numFmtId="0" fontId="55" fillId="9" borderId="146" xfId="0" applyFont="1" applyFill="1" applyBorder="1" applyAlignment="1">
      <alignment horizontal="center" vertical="center" wrapText="1"/>
    </xf>
    <xf numFmtId="2" fontId="55" fillId="9" borderId="149" xfId="0" applyNumberFormat="1" applyFont="1" applyFill="1" applyBorder="1" applyAlignment="1">
      <alignment horizontal="center" vertical="center" wrapText="1"/>
    </xf>
    <xf numFmtId="166" fontId="55" fillId="9" borderId="149" xfId="0" applyNumberFormat="1" applyFont="1" applyFill="1" applyBorder="1" applyAlignment="1">
      <alignment horizontal="center" vertical="center" wrapText="1"/>
    </xf>
    <xf numFmtId="164" fontId="55" fillId="9" borderId="149" xfId="0" applyNumberFormat="1" applyFont="1" applyFill="1" applyBorder="1" applyAlignment="1">
      <alignment horizontal="center" vertical="center" wrapText="1"/>
    </xf>
    <xf numFmtId="0" fontId="55" fillId="0" borderId="142" xfId="0" applyFont="1" applyBorder="1" applyAlignment="1">
      <alignment vertical="center" wrapText="1"/>
    </xf>
    <xf numFmtId="0" fontId="48" fillId="0" borderId="151" xfId="0" applyFont="1" applyBorder="1" applyAlignment="1">
      <alignment horizontal="center" vertical="center"/>
    </xf>
    <xf numFmtId="0" fontId="48" fillId="9" borderId="90" xfId="0" applyFont="1" applyFill="1" applyBorder="1" applyAlignment="1">
      <alignment horizontal="left" vertical="center"/>
    </xf>
    <xf numFmtId="165" fontId="55" fillId="9" borderId="91" xfId="0" applyNumberFormat="1" applyFont="1" applyFill="1" applyBorder="1" applyAlignment="1">
      <alignment vertical="center" wrapText="1"/>
    </xf>
    <xf numFmtId="165" fontId="55" fillId="9" borderId="91" xfId="0" applyNumberFormat="1" applyFont="1" applyFill="1" applyBorder="1" applyAlignment="1">
      <alignment horizontal="center" vertical="center" wrapText="1"/>
    </xf>
    <xf numFmtId="0" fontId="55" fillId="9" borderId="91" xfId="0" applyFont="1" applyFill="1" applyBorder="1" applyAlignment="1">
      <alignment horizontal="center" vertical="center" wrapText="1"/>
    </xf>
    <xf numFmtId="0" fontId="48" fillId="9" borderId="91" xfId="0" applyFont="1" applyFill="1" applyBorder="1" applyAlignment="1">
      <alignment horizontal="center" vertical="center"/>
    </xf>
    <xf numFmtId="0" fontId="48" fillId="9" borderId="93" xfId="0" applyFont="1" applyFill="1" applyBorder="1" applyAlignment="1">
      <alignment horizontal="left" vertical="center"/>
    </xf>
    <xf numFmtId="0" fontId="51" fillId="7" borderId="145" xfId="0" applyFont="1" applyFill="1" applyBorder="1" applyAlignment="1">
      <alignment horizontal="left" vertical="center"/>
    </xf>
    <xf numFmtId="0" fontId="51" fillId="7" borderId="146" xfId="0" applyFont="1" applyFill="1" applyBorder="1" applyAlignment="1">
      <alignment horizontal="left" vertical="center" wrapText="1"/>
    </xf>
    <xf numFmtId="0" fontId="51" fillId="7" borderId="146" xfId="0" applyFont="1" applyFill="1" applyBorder="1" applyAlignment="1">
      <alignment horizontal="center" vertical="center" wrapText="1"/>
    </xf>
    <xf numFmtId="0" fontId="55" fillId="7" borderId="146" xfId="0" applyFont="1" applyFill="1" applyBorder="1" applyAlignment="1">
      <alignment horizontal="center" vertical="center" wrapText="1"/>
    </xf>
    <xf numFmtId="0" fontId="51" fillId="7" borderId="147" xfId="0" applyFont="1" applyFill="1" applyBorder="1" applyAlignment="1">
      <alignment horizontal="left" vertical="center"/>
    </xf>
    <xf numFmtId="2" fontId="51" fillId="7" borderId="149" xfId="0" applyNumberFormat="1" applyFont="1" applyFill="1" applyBorder="1" applyAlignment="1">
      <alignment horizontal="left" vertical="center" wrapText="1"/>
    </xf>
    <xf numFmtId="2" fontId="51" fillId="7" borderId="149" xfId="0" applyNumberFormat="1" applyFont="1" applyFill="1" applyBorder="1" applyAlignment="1">
      <alignment horizontal="center" vertical="center" wrapText="1"/>
    </xf>
    <xf numFmtId="0" fontId="51" fillId="7" borderId="149" xfId="0" applyFont="1" applyFill="1" applyBorder="1" applyAlignment="1">
      <alignment horizontal="center" vertical="center"/>
    </xf>
    <xf numFmtId="0" fontId="51" fillId="7" borderId="149" xfId="0" applyFont="1" applyFill="1" applyBorder="1" applyAlignment="1">
      <alignment horizontal="center" vertical="center" wrapText="1"/>
    </xf>
    <xf numFmtId="0" fontId="55" fillId="7" borderId="149" xfId="0" applyFont="1" applyFill="1" applyBorder="1" applyAlignment="1">
      <alignment horizontal="center" vertical="center" wrapText="1"/>
    </xf>
    <xf numFmtId="0" fontId="51" fillId="7" borderId="149" xfId="0" applyFont="1" applyFill="1" applyBorder="1" applyAlignment="1">
      <alignment horizontal="left" vertical="center" wrapText="1"/>
    </xf>
    <xf numFmtId="0" fontId="53" fillId="7" borderId="100" xfId="0" applyFont="1" applyFill="1" applyBorder="1" applyAlignment="1">
      <alignment horizontal="left" vertical="center" wrapText="1"/>
    </xf>
    <xf numFmtId="164" fontId="55" fillId="7" borderId="149" xfId="0" applyNumberFormat="1" applyFont="1" applyFill="1" applyBorder="1" applyAlignment="1">
      <alignment horizontal="left" vertical="center" wrapText="1"/>
    </xf>
    <xf numFmtId="164" fontId="55" fillId="7" borderId="149" xfId="0" applyNumberFormat="1" applyFont="1" applyFill="1" applyBorder="1" applyAlignment="1">
      <alignment horizontal="center" vertical="center" wrapText="1"/>
    </xf>
    <xf numFmtId="0" fontId="53" fillId="7" borderId="148" xfId="0" applyFont="1" applyFill="1" applyBorder="1" applyAlignment="1">
      <alignment horizontal="left" vertical="center" wrapText="1"/>
    </xf>
    <xf numFmtId="0" fontId="55" fillId="7" borderId="100" xfId="0" applyFont="1" applyFill="1" applyBorder="1" applyAlignment="1">
      <alignment horizontal="left" vertical="center" wrapText="1"/>
    </xf>
    <xf numFmtId="0" fontId="55" fillId="7" borderId="148" xfId="0" applyFont="1" applyFill="1" applyBorder="1" applyAlignment="1">
      <alignment horizontal="left" vertical="center" wrapText="1"/>
    </xf>
    <xf numFmtId="166" fontId="51" fillId="7" borderId="149" xfId="0" applyNumberFormat="1" applyFont="1" applyFill="1" applyBorder="1" applyAlignment="1">
      <alignment horizontal="left" vertical="center" wrapText="1"/>
    </xf>
    <xf numFmtId="166" fontId="51" fillId="7" borderId="149" xfId="0" applyNumberFormat="1" applyFont="1" applyFill="1" applyBorder="1" applyAlignment="1">
      <alignment horizontal="center" vertical="center" wrapText="1"/>
    </xf>
    <xf numFmtId="0" fontId="51" fillId="7" borderId="9" xfId="0" applyFont="1" applyFill="1" applyBorder="1" applyAlignment="1">
      <alignment horizontal="left" vertical="center"/>
    </xf>
    <xf numFmtId="2" fontId="51" fillId="7" borderId="110" xfId="0" applyNumberFormat="1" applyFont="1" applyFill="1" applyBorder="1" applyAlignment="1">
      <alignment horizontal="left" vertical="center" wrapText="1"/>
    </xf>
    <xf numFmtId="2" fontId="51" fillId="7" borderId="110" xfId="0" applyNumberFormat="1" applyFont="1" applyFill="1" applyBorder="1" applyAlignment="1">
      <alignment horizontal="center" vertical="center" wrapText="1"/>
    </xf>
    <xf numFmtId="0" fontId="55" fillId="7" borderId="110" xfId="0" applyFont="1" applyFill="1" applyBorder="1" applyAlignment="1">
      <alignment horizontal="center" vertical="center" wrapText="1"/>
    </xf>
    <xf numFmtId="0" fontId="51" fillId="7" borderId="110" xfId="0" applyFont="1" applyFill="1" applyBorder="1" applyAlignment="1">
      <alignment horizontal="center" vertical="center"/>
    </xf>
    <xf numFmtId="0" fontId="50" fillId="26" borderId="149" xfId="0" applyFont="1" applyFill="1" applyBorder="1" applyAlignment="1">
      <alignment horizontal="center"/>
    </xf>
    <xf numFmtId="0" fontId="50" fillId="21" borderId="149" xfId="0" applyFont="1" applyFill="1" applyBorder="1" applyAlignment="1">
      <alignment horizontal="center"/>
    </xf>
    <xf numFmtId="0" fontId="50" fillId="11" borderId="149" xfId="0" applyFont="1" applyFill="1" applyBorder="1" applyAlignment="1">
      <alignment horizontal="center" vertical="center"/>
    </xf>
    <xf numFmtId="0" fontId="50" fillId="10" borderId="149" xfId="0" applyFont="1" applyFill="1" applyBorder="1" applyAlignment="1">
      <alignment horizontal="center"/>
    </xf>
    <xf numFmtId="0" fontId="50" fillId="22" borderId="149" xfId="0" applyFont="1" applyFill="1" applyBorder="1" applyAlignment="1">
      <alignment horizontal="center"/>
    </xf>
    <xf numFmtId="0" fontId="50" fillId="20" borderId="149" xfId="0" applyFont="1" applyFill="1" applyBorder="1" applyAlignment="1">
      <alignment horizontal="center"/>
    </xf>
    <xf numFmtId="0" fontId="50" fillId="12" borderId="149" xfId="0" applyFont="1" applyFill="1" applyBorder="1" applyAlignment="1">
      <alignment horizontal="center"/>
    </xf>
    <xf numFmtId="0" fontId="50" fillId="18" borderId="149" xfId="0" applyFont="1" applyFill="1" applyBorder="1" applyAlignment="1">
      <alignment horizontal="center"/>
    </xf>
    <xf numFmtId="0" fontId="50" fillId="9" borderId="149" xfId="0" applyFont="1" applyFill="1" applyBorder="1" applyAlignment="1">
      <alignment horizontal="center"/>
    </xf>
    <xf numFmtId="0" fontId="51" fillId="7" borderId="149" xfId="0" applyFont="1" applyFill="1" applyBorder="1" applyAlignment="1">
      <alignment horizontal="left"/>
    </xf>
    <xf numFmtId="0" fontId="50" fillId="26" borderId="100" xfId="0" applyFont="1" applyFill="1" applyBorder="1" applyAlignment="1">
      <alignment horizontal="center"/>
    </xf>
    <xf numFmtId="0" fontId="50" fillId="21" borderId="100" xfId="0" applyFont="1" applyFill="1" applyBorder="1" applyAlignment="1">
      <alignment horizontal="center"/>
    </xf>
    <xf numFmtId="0" fontId="50" fillId="11" borderId="100" xfId="0" applyFont="1" applyFill="1" applyBorder="1" applyAlignment="1">
      <alignment horizontal="center" vertical="center"/>
    </xf>
    <xf numFmtId="0" fontId="50" fillId="10" borderId="100" xfId="0" applyFont="1" applyFill="1" applyBorder="1" applyAlignment="1">
      <alignment horizontal="center"/>
    </xf>
    <xf numFmtId="0" fontId="50" fillId="22" borderId="100" xfId="0" applyFont="1" applyFill="1" applyBorder="1" applyAlignment="1">
      <alignment horizontal="center"/>
    </xf>
    <xf numFmtId="0" fontId="50" fillId="20" borderId="100" xfId="0" applyFont="1" applyFill="1" applyBorder="1" applyAlignment="1">
      <alignment horizontal="center"/>
    </xf>
    <xf numFmtId="0" fontId="50" fillId="12" borderId="100" xfId="0" applyFont="1" applyFill="1" applyBorder="1" applyAlignment="1">
      <alignment horizontal="center"/>
    </xf>
    <xf numFmtId="0" fontId="50" fillId="18" borderId="100" xfId="0" applyFont="1" applyFill="1" applyBorder="1" applyAlignment="1">
      <alignment horizontal="center"/>
    </xf>
    <xf numFmtId="0" fontId="50" fillId="9" borderId="100" xfId="0" applyFont="1" applyFill="1" applyBorder="1" applyAlignment="1">
      <alignment horizontal="center"/>
    </xf>
    <xf numFmtId="0" fontId="51" fillId="9" borderId="149" xfId="0" applyFont="1" applyFill="1" applyBorder="1" applyAlignment="1">
      <alignment horizontal="left" vertical="center"/>
    </xf>
    <xf numFmtId="0" fontId="51" fillId="9" borderId="149" xfId="0" quotePrefix="1" applyFont="1" applyFill="1" applyBorder="1" applyAlignment="1">
      <alignment horizontal="left" vertical="center"/>
    </xf>
    <xf numFmtId="0" fontId="51" fillId="9" borderId="148" xfId="0" quotePrefix="1" applyFont="1" applyFill="1" applyBorder="1" applyAlignment="1">
      <alignment horizontal="left" vertical="center"/>
    </xf>
    <xf numFmtId="0" fontId="51" fillId="4" borderId="109" xfId="0" applyFont="1" applyFill="1" applyBorder="1" applyAlignment="1">
      <alignment horizontal="left" vertical="center"/>
    </xf>
    <xf numFmtId="0" fontId="51" fillId="4" borderId="89" xfId="0" applyFont="1" applyFill="1" applyBorder="1" applyAlignment="1">
      <alignment horizontal="left" vertical="center"/>
    </xf>
    <xf numFmtId="11" fontId="51" fillId="4" borderId="89" xfId="0" applyNumberFormat="1" applyFont="1" applyFill="1" applyBorder="1" applyAlignment="1">
      <alignment horizontal="left" vertical="center"/>
    </xf>
    <xf numFmtId="0" fontId="59" fillId="7" borderId="155" xfId="0" applyFont="1" applyFill="1" applyBorder="1" applyAlignment="1">
      <alignment horizontal="left" vertical="center"/>
    </xf>
    <xf numFmtId="0" fontId="58" fillId="7" borderId="120" xfId="0" applyFont="1" applyFill="1" applyBorder="1" applyAlignment="1">
      <alignment horizontal="left" vertical="center" wrapText="1"/>
    </xf>
    <xf numFmtId="0" fontId="83" fillId="12" borderId="6" xfId="0" applyFont="1" applyFill="1" applyBorder="1" applyAlignment="1">
      <alignment horizontal="center" vertical="center"/>
    </xf>
    <xf numFmtId="166" fontId="51" fillId="11" borderId="6" xfId="0" applyNumberFormat="1" applyFont="1" applyFill="1" applyBorder="1" applyAlignment="1">
      <alignment horizontal="center" vertical="center" wrapText="1"/>
    </xf>
    <xf numFmtId="0" fontId="58" fillId="7" borderId="152" xfId="0" applyFont="1" applyFill="1" applyBorder="1" applyAlignment="1">
      <alignment horizontal="left" vertical="center"/>
    </xf>
    <xf numFmtId="0" fontId="51" fillId="20" borderId="145" xfId="0" applyFont="1" applyFill="1" applyBorder="1" applyAlignment="1">
      <alignment horizontal="left" vertical="center"/>
    </xf>
    <xf numFmtId="0" fontId="51" fillId="20" borderId="146" xfId="0" applyFont="1" applyFill="1" applyBorder="1" applyAlignment="1">
      <alignment horizontal="left" vertical="center"/>
    </xf>
    <xf numFmtId="11" fontId="51" fillId="20" borderId="146" xfId="0" applyNumberFormat="1" applyFont="1" applyFill="1" applyBorder="1" applyAlignment="1">
      <alignment horizontal="left" vertical="center"/>
    </xf>
    <xf numFmtId="0" fontId="51" fillId="20" borderId="146" xfId="0" quotePrefix="1" applyFont="1" applyFill="1" applyBorder="1" applyAlignment="1">
      <alignment horizontal="left" vertical="center"/>
    </xf>
    <xf numFmtId="0" fontId="51" fillId="20" borderId="147" xfId="0" applyFont="1" applyFill="1" applyBorder="1" applyAlignment="1">
      <alignment horizontal="left" vertical="center"/>
    </xf>
    <xf numFmtId="11" fontId="51" fillId="20" borderId="91" xfId="0" applyNumberFormat="1" applyFont="1" applyFill="1" applyBorder="1" applyAlignment="1">
      <alignment horizontal="left" vertical="center"/>
    </xf>
    <xf numFmtId="0" fontId="51" fillId="20" borderId="109" xfId="0" applyFont="1" applyFill="1" applyBorder="1" applyAlignment="1">
      <alignment horizontal="left" vertical="center"/>
    </xf>
    <xf numFmtId="11" fontId="51" fillId="20" borderId="89" xfId="0" applyNumberFormat="1" applyFont="1" applyFill="1" applyBorder="1" applyAlignment="1">
      <alignment horizontal="left" vertical="center"/>
    </xf>
    <xf numFmtId="0" fontId="51" fillId="20" borderId="89" xfId="0" quotePrefix="1" applyFont="1" applyFill="1" applyBorder="1" applyAlignment="1">
      <alignment horizontal="left" vertical="center"/>
    </xf>
    <xf numFmtId="0" fontId="59" fillId="7" borderId="152" xfId="0" applyFont="1" applyFill="1" applyBorder="1" applyAlignment="1">
      <alignment horizontal="left" vertical="center" wrapText="1"/>
    </xf>
    <xf numFmtId="0" fontId="55" fillId="0" borderId="0" xfId="0" applyFont="1" applyAlignment="1">
      <alignment horizontal="left" vertical="center" wrapText="1"/>
    </xf>
    <xf numFmtId="0" fontId="58" fillId="7" borderId="158" xfId="0" applyFont="1" applyFill="1" applyBorder="1" applyAlignment="1">
      <alignment horizontal="left" vertical="center" wrapText="1"/>
    </xf>
    <xf numFmtId="0" fontId="59" fillId="7" borderId="156" xfId="0" applyFont="1" applyFill="1" applyBorder="1" applyAlignment="1">
      <alignment horizontal="left" vertical="center" wrapText="1"/>
    </xf>
    <xf numFmtId="2" fontId="51" fillId="0" borderId="146" xfId="0" applyNumberFormat="1" applyFont="1" applyBorder="1" applyAlignment="1">
      <alignment horizontal="left" vertical="center" wrapText="1"/>
    </xf>
    <xf numFmtId="2" fontId="51" fillId="0" borderId="146" xfId="0" applyNumberFormat="1" applyFont="1" applyBorder="1" applyAlignment="1">
      <alignment horizontal="center" vertical="center" wrapText="1"/>
    </xf>
    <xf numFmtId="0" fontId="0" fillId="0" borderId="159" xfId="0" applyBorder="1" applyAlignment="1">
      <alignment horizontal="center"/>
    </xf>
    <xf numFmtId="0" fontId="51" fillId="0" borderId="149" xfId="0" applyFont="1" applyBorder="1" applyAlignment="1">
      <alignment horizontal="center" vertical="center" wrapText="1"/>
    </xf>
    <xf numFmtId="0" fontId="51" fillId="0" borderId="149" xfId="0" quotePrefix="1" applyFont="1" applyBorder="1" applyAlignment="1">
      <alignment horizontal="center" vertical="center" wrapText="1"/>
    </xf>
    <xf numFmtId="0" fontId="51" fillId="0" borderId="89" xfId="0" applyFont="1" applyBorder="1" applyAlignment="1">
      <alignment horizontal="left" vertical="center" wrapText="1"/>
    </xf>
    <xf numFmtId="2" fontId="51" fillId="0" borderId="89" xfId="0" applyNumberFormat="1" applyFont="1" applyBorder="1" applyAlignment="1">
      <alignment horizontal="center" vertical="center" wrapText="1"/>
    </xf>
    <xf numFmtId="0" fontId="51" fillId="0" borderId="110" xfId="0" quotePrefix="1" applyFont="1" applyBorder="1" applyAlignment="1">
      <alignment horizontal="center" vertical="center" wrapText="1"/>
    </xf>
    <xf numFmtId="0" fontId="51" fillId="0" borderId="145" xfId="0" applyFont="1" applyBorder="1" applyAlignment="1">
      <alignment horizontal="left" vertical="center" wrapText="1"/>
    </xf>
    <xf numFmtId="0" fontId="51" fillId="0" borderId="96" xfId="0" applyFont="1" applyBorder="1" applyAlignment="1">
      <alignment horizontal="left" vertical="center" wrapText="1"/>
    </xf>
    <xf numFmtId="0" fontId="51" fillId="0" borderId="109" xfId="0" applyFont="1" applyBorder="1" applyAlignment="1">
      <alignment horizontal="left" vertical="center" wrapText="1"/>
    </xf>
    <xf numFmtId="0" fontId="51" fillId="26" borderId="9" xfId="0" quotePrefix="1" applyFont="1" applyFill="1" applyBorder="1" applyAlignment="1">
      <alignment horizontal="left" vertical="center"/>
    </xf>
    <xf numFmtId="0" fontId="51" fillId="26" borderId="110" xfId="0" applyFont="1" applyFill="1" applyBorder="1" applyAlignment="1">
      <alignment horizontal="left" vertical="center" wrapText="1"/>
    </xf>
    <xf numFmtId="0" fontId="51" fillId="26" borderId="110" xfId="0" quotePrefix="1" applyFont="1" applyFill="1" applyBorder="1" applyAlignment="1">
      <alignment horizontal="left" vertical="center"/>
    </xf>
    <xf numFmtId="2" fontId="51" fillId="26" borderId="110" xfId="0" applyNumberFormat="1" applyFont="1" applyFill="1" applyBorder="1" applyAlignment="1">
      <alignment horizontal="left" vertical="center"/>
    </xf>
    <xf numFmtId="0" fontId="51" fillId="26" borderId="110" xfId="0" applyFont="1" applyFill="1" applyBorder="1" applyAlignment="1">
      <alignment horizontal="left" vertical="center"/>
    </xf>
    <xf numFmtId="0" fontId="51" fillId="12" borderId="145" xfId="0" quotePrefix="1" applyFont="1" applyFill="1" applyBorder="1" applyAlignment="1">
      <alignment horizontal="left" vertical="center"/>
    </xf>
    <xf numFmtId="0" fontId="51" fillId="12" borderId="146" xfId="0" quotePrefix="1" applyFont="1" applyFill="1" applyBorder="1" applyAlignment="1">
      <alignment horizontal="left" vertical="center"/>
    </xf>
    <xf numFmtId="0" fontId="51" fillId="12" borderId="146" xfId="0" applyFont="1" applyFill="1" applyBorder="1" applyAlignment="1">
      <alignment horizontal="left" vertical="center" wrapText="1"/>
    </xf>
    <xf numFmtId="0" fontId="51" fillId="12" borderId="146" xfId="0" applyFont="1" applyFill="1" applyBorder="1" applyAlignment="1">
      <alignment horizontal="left" vertical="center"/>
    </xf>
    <xf numFmtId="0" fontId="51" fillId="12" borderId="149" xfId="0" quotePrefix="1" applyFont="1" applyFill="1" applyBorder="1" applyAlignment="1">
      <alignment horizontal="left" vertical="center"/>
    </xf>
    <xf numFmtId="0" fontId="51" fillId="12" borderId="149" xfId="0" applyFont="1" applyFill="1" applyBorder="1" applyAlignment="1">
      <alignment horizontal="left" vertical="center" wrapText="1"/>
    </xf>
    <xf numFmtId="0" fontId="51" fillId="12" borderId="149" xfId="0" applyFont="1" applyFill="1" applyBorder="1" applyAlignment="1">
      <alignment horizontal="left" vertical="center"/>
    </xf>
    <xf numFmtId="0" fontId="51" fillId="12" borderId="110" xfId="0" quotePrefix="1" applyFont="1" applyFill="1" applyBorder="1" applyAlignment="1">
      <alignment horizontal="left" vertical="center"/>
    </xf>
    <xf numFmtId="0" fontId="51" fillId="12" borderId="110" xfId="0" applyFont="1" applyFill="1" applyBorder="1" applyAlignment="1">
      <alignment horizontal="left" vertical="center"/>
    </xf>
    <xf numFmtId="0" fontId="51" fillId="12" borderId="110" xfId="0" applyFont="1" applyFill="1" applyBorder="1" applyAlignment="1">
      <alignment horizontal="left" vertical="center" wrapText="1"/>
    </xf>
    <xf numFmtId="0" fontId="51" fillId="0" borderId="146" xfId="0" quotePrefix="1" applyFont="1" applyBorder="1" applyAlignment="1">
      <alignment horizontal="left" vertical="center"/>
    </xf>
    <xf numFmtId="0" fontId="51" fillId="0" borderId="149" xfId="0" applyFont="1" applyBorder="1" applyAlignment="1">
      <alignment horizontal="left" vertical="center" wrapText="1"/>
    </xf>
    <xf numFmtId="0" fontId="51" fillId="0" borderId="149" xfId="0" quotePrefix="1" applyFont="1" applyBorder="1" applyAlignment="1">
      <alignment horizontal="left" vertical="center"/>
    </xf>
    <xf numFmtId="0" fontId="51" fillId="0" borderId="149" xfId="0" applyFont="1" applyBorder="1" applyAlignment="1">
      <alignment horizontal="left" vertical="center"/>
    </xf>
    <xf numFmtId="0" fontId="51" fillId="0" borderId="100" xfId="0" quotePrefix="1" applyFont="1" applyBorder="1" applyAlignment="1">
      <alignment horizontal="left" vertical="center"/>
    </xf>
    <xf numFmtId="0" fontId="48" fillId="0" borderId="148" xfId="0" applyFont="1" applyBorder="1"/>
    <xf numFmtId="0" fontId="51" fillId="0" borderId="9" xfId="0" applyFont="1" applyBorder="1" applyAlignment="1">
      <alignment horizontal="left" vertical="center" wrapText="1"/>
    </xf>
    <xf numFmtId="0" fontId="51" fillId="0" borderId="110" xfId="0" quotePrefix="1" applyFont="1" applyBorder="1" applyAlignment="1">
      <alignment horizontal="left" vertical="center"/>
    </xf>
    <xf numFmtId="2" fontId="48" fillId="0" borderId="149" xfId="0" applyNumberFormat="1" applyFont="1" applyBorder="1" applyAlignment="1">
      <alignment horizontal="center" vertical="center"/>
    </xf>
    <xf numFmtId="0" fontId="59" fillId="7" borderId="160" xfId="0" applyFont="1" applyFill="1" applyBorder="1" applyAlignment="1">
      <alignment horizontal="center" vertical="center"/>
    </xf>
    <xf numFmtId="0" fontId="59" fillId="7" borderId="161" xfId="0" applyFont="1" applyFill="1" applyBorder="1" applyAlignment="1">
      <alignment horizontal="center" vertical="center" wrapText="1"/>
    </xf>
    <xf numFmtId="0" fontId="59" fillId="7" borderId="162" xfId="0" applyFont="1" applyFill="1" applyBorder="1" applyAlignment="1">
      <alignment horizontal="center" vertical="center" wrapText="1"/>
    </xf>
    <xf numFmtId="0" fontId="60" fillId="0" borderId="109" xfId="0" applyFont="1" applyBorder="1" applyAlignment="1">
      <alignment horizontal="left" vertical="center"/>
    </xf>
    <xf numFmtId="0" fontId="51" fillId="0" borderId="89" xfId="0" quotePrefix="1" applyFont="1" applyBorder="1" applyAlignment="1">
      <alignment horizontal="center" vertical="center" wrapText="1"/>
    </xf>
    <xf numFmtId="0" fontId="59" fillId="0" borderId="108" xfId="0" applyFont="1" applyBorder="1" applyAlignment="1">
      <alignment horizontal="center" vertical="center"/>
    </xf>
    <xf numFmtId="0" fontId="51" fillId="11" borderId="163" xfId="0" quotePrefix="1" applyFont="1" applyFill="1" applyBorder="1" applyAlignment="1">
      <alignment horizontal="left" vertical="center"/>
    </xf>
    <xf numFmtId="0" fontId="51" fillId="11" borderId="164" xfId="0" quotePrefix="1" applyFont="1" applyFill="1" applyBorder="1" applyAlignment="1">
      <alignment horizontal="left" vertical="center"/>
    </xf>
    <xf numFmtId="0" fontId="51" fillId="11" borderId="164" xfId="0" applyFont="1" applyFill="1" applyBorder="1" applyAlignment="1">
      <alignment horizontal="left" vertical="center"/>
    </xf>
    <xf numFmtId="0" fontId="51" fillId="11" borderId="100" xfId="0" quotePrefix="1" applyFont="1" applyFill="1" applyBorder="1" applyAlignment="1">
      <alignment horizontal="left" vertical="center"/>
    </xf>
    <xf numFmtId="0" fontId="51" fillId="11" borderId="149" xfId="0" quotePrefix="1" applyFont="1" applyFill="1" applyBorder="1" applyAlignment="1">
      <alignment horizontal="left" vertical="center"/>
    </xf>
    <xf numFmtId="0" fontId="51" fillId="11" borderId="149" xfId="0" applyFont="1" applyFill="1" applyBorder="1" applyAlignment="1">
      <alignment horizontal="left" vertical="center"/>
    </xf>
    <xf numFmtId="0" fontId="51" fillId="11" borderId="110" xfId="0" quotePrefix="1" applyFont="1" applyFill="1" applyBorder="1" applyAlignment="1">
      <alignment horizontal="left" vertical="center"/>
    </xf>
    <xf numFmtId="0" fontId="51" fillId="11" borderId="110" xfId="0" applyFont="1" applyFill="1" applyBorder="1" applyAlignment="1">
      <alignment horizontal="left" vertical="center"/>
    </xf>
    <xf numFmtId="0" fontId="51" fillId="19" borderId="149" xfId="0" applyFont="1" applyFill="1" applyBorder="1" applyAlignment="1">
      <alignment horizontal="left" vertical="center" wrapText="1"/>
    </xf>
    <xf numFmtId="164" fontId="51" fillId="0" borderId="149" xfId="0" applyNumberFormat="1" applyFont="1" applyBorder="1" applyAlignment="1">
      <alignment horizontal="left" vertical="center"/>
    </xf>
    <xf numFmtId="0" fontId="51" fillId="0" borderId="148" xfId="0" applyFont="1" applyBorder="1" applyAlignment="1">
      <alignment horizontal="left" vertical="center"/>
    </xf>
    <xf numFmtId="0" fontId="48" fillId="0" borderId="166" xfId="0" applyFont="1" applyBorder="1" applyAlignment="1">
      <alignment horizontal="left"/>
    </xf>
    <xf numFmtId="0" fontId="51" fillId="0" borderId="167" xfId="0" applyFont="1" applyBorder="1" applyAlignment="1">
      <alignment horizontal="left" vertical="center" wrapText="1"/>
    </xf>
    <xf numFmtId="0" fontId="51" fillId="0" borderId="167" xfId="0" applyFont="1" applyBorder="1" applyAlignment="1">
      <alignment horizontal="center" vertical="center" wrapText="1"/>
    </xf>
    <xf numFmtId="0" fontId="48" fillId="0" borderId="90" xfId="0" applyFont="1" applyBorder="1" applyAlignment="1">
      <alignment horizontal="left"/>
    </xf>
    <xf numFmtId="0" fontId="51" fillId="20" borderId="170" xfId="0" applyFont="1" applyFill="1" applyBorder="1" applyAlignment="1">
      <alignment horizontal="left" vertical="center"/>
    </xf>
    <xf numFmtId="2" fontId="51" fillId="20" borderId="170" xfId="0" applyNumberFormat="1" applyFont="1" applyFill="1" applyBorder="1" applyAlignment="1">
      <alignment horizontal="left" vertical="center"/>
    </xf>
    <xf numFmtId="0" fontId="51" fillId="20" borderId="171" xfId="0" applyFont="1" applyFill="1" applyBorder="1" applyAlignment="1">
      <alignment horizontal="left" vertical="center"/>
    </xf>
    <xf numFmtId="0" fontId="32" fillId="0" borderId="0" xfId="0" applyFont="1" applyAlignment="1">
      <alignment horizontal="right"/>
    </xf>
    <xf numFmtId="0" fontId="0" fillId="0" borderId="149" xfId="0" applyBorder="1"/>
    <xf numFmtId="0" fontId="0" fillId="0" borderId="151" xfId="0" applyBorder="1"/>
    <xf numFmtId="0" fontId="0" fillId="0" borderId="172" xfId="0" applyBorder="1"/>
    <xf numFmtId="0" fontId="0" fillId="14" borderId="166" xfId="0" applyFill="1" applyBorder="1"/>
    <xf numFmtId="0" fontId="0" fillId="14" borderId="167" xfId="0" applyFill="1" applyBorder="1"/>
    <xf numFmtId="2" fontId="0" fillId="14" borderId="168" xfId="0" applyNumberFormat="1" applyFill="1" applyBorder="1"/>
    <xf numFmtId="0" fontId="0" fillId="0" borderId="107" xfId="0" applyBorder="1"/>
    <xf numFmtId="0" fontId="0" fillId="14" borderId="100" xfId="0" applyFill="1" applyBorder="1"/>
    <xf numFmtId="0" fontId="0" fillId="14" borderId="149" xfId="0" applyFill="1" applyBorder="1"/>
    <xf numFmtId="2" fontId="0" fillId="14" borderId="148" xfId="0" applyNumberFormat="1" applyFill="1" applyBorder="1"/>
    <xf numFmtId="0" fontId="0" fillId="14" borderId="169" xfId="0" applyFill="1" applyBorder="1"/>
    <xf numFmtId="0" fontId="0" fillId="14" borderId="170" xfId="0" applyFill="1" applyBorder="1"/>
    <xf numFmtId="2" fontId="0" fillId="14" borderId="171" xfId="0" applyNumberFormat="1" applyFill="1" applyBorder="1"/>
    <xf numFmtId="0" fontId="0" fillId="0" borderId="92" xfId="0" applyBorder="1"/>
    <xf numFmtId="0" fontId="59" fillId="7" borderId="160" xfId="0" applyFont="1" applyFill="1" applyBorder="1" applyAlignment="1">
      <alignment horizontal="left" vertical="center"/>
    </xf>
    <xf numFmtId="0" fontId="59" fillId="7" borderId="161" xfId="0" applyFont="1" applyFill="1" applyBorder="1" applyAlignment="1">
      <alignment horizontal="left" vertical="center" wrapText="1"/>
    </xf>
    <xf numFmtId="0" fontId="51" fillId="0" borderId="169" xfId="0" applyFont="1" applyBorder="1" applyAlignment="1">
      <alignment horizontal="left" vertical="center"/>
    </xf>
    <xf numFmtId="0" fontId="51" fillId="0" borderId="170" xfId="0" applyFont="1" applyBorder="1" applyAlignment="1">
      <alignment horizontal="left" vertical="center"/>
    </xf>
    <xf numFmtId="0" fontId="59" fillId="7" borderId="157" xfId="0" applyFont="1" applyFill="1" applyBorder="1" applyAlignment="1">
      <alignment vertical="center" wrapText="1"/>
    </xf>
    <xf numFmtId="0" fontId="51" fillId="0" borderId="166" xfId="0" applyFont="1" applyBorder="1" applyAlignment="1">
      <alignment vertical="center"/>
    </xf>
    <xf numFmtId="0" fontId="51" fillId="0" borderId="167" xfId="0" applyFont="1" applyBorder="1"/>
    <xf numFmtId="0" fontId="51" fillId="0" borderId="168" xfId="0" applyFont="1" applyBorder="1"/>
    <xf numFmtId="0" fontId="51" fillId="0" borderId="149" xfId="0" applyFont="1" applyBorder="1"/>
    <xf numFmtId="0" fontId="51" fillId="0" borderId="148" xfId="0" applyFont="1" applyBorder="1"/>
    <xf numFmtId="0" fontId="51" fillId="0" borderId="148" xfId="0" applyFont="1" applyBorder="1" applyAlignment="1">
      <alignment vertical="center"/>
    </xf>
    <xf numFmtId="0" fontId="51" fillId="0" borderId="169" xfId="0" applyFont="1" applyBorder="1" applyAlignment="1">
      <alignment vertical="center"/>
    </xf>
    <xf numFmtId="0" fontId="51" fillId="0" borderId="170" xfId="0" applyFont="1" applyBorder="1" applyAlignment="1">
      <alignment vertical="center"/>
    </xf>
    <xf numFmtId="0" fontId="51" fillId="0" borderId="171" xfId="0" applyFont="1" applyBorder="1" applyAlignment="1">
      <alignment vertical="center"/>
    </xf>
    <xf numFmtId="0" fontId="51" fillId="11" borderId="149" xfId="0" applyFont="1" applyFill="1" applyBorder="1" applyAlignment="1">
      <alignment horizontal="left" vertical="center" wrapText="1"/>
    </xf>
    <xf numFmtId="0" fontId="51" fillId="11" borderId="100" xfId="0" applyFont="1" applyFill="1" applyBorder="1" applyAlignment="1">
      <alignment horizontal="left" vertical="center" wrapText="1"/>
    </xf>
    <xf numFmtId="2" fontId="51" fillId="8" borderId="149" xfId="0" applyNumberFormat="1" applyFont="1" applyFill="1" applyBorder="1" applyAlignment="1">
      <alignment horizontal="center" vertical="center" wrapText="1"/>
    </xf>
    <xf numFmtId="166" fontId="51" fillId="0" borderId="149" xfId="0" applyNumberFormat="1" applyFont="1" applyBorder="1" applyAlignment="1">
      <alignment horizontal="left" vertical="center"/>
    </xf>
    <xf numFmtId="166" fontId="51" fillId="0" borderId="149" xfId="0" applyNumberFormat="1" applyFont="1" applyBorder="1" applyAlignment="1">
      <alignment horizontal="center" vertical="center"/>
    </xf>
    <xf numFmtId="0" fontId="51" fillId="0" borderId="109" xfId="0" applyFont="1" applyBorder="1" applyAlignment="1">
      <alignment horizontal="left" vertical="center"/>
    </xf>
    <xf numFmtId="166" fontId="51" fillId="0" borderId="89" xfId="0" applyNumberFormat="1" applyFont="1" applyBorder="1" applyAlignment="1">
      <alignment horizontal="left" vertical="center"/>
    </xf>
    <xf numFmtId="166" fontId="51" fillId="0" borderId="89" xfId="0" applyNumberFormat="1" applyFont="1" applyBorder="1" applyAlignment="1">
      <alignment horizontal="center" vertical="center"/>
    </xf>
    <xf numFmtId="0" fontId="51" fillId="0" borderId="89" xfId="0" applyFont="1" applyBorder="1" applyAlignment="1">
      <alignment horizontal="center" vertical="center"/>
    </xf>
    <xf numFmtId="166" fontId="51" fillId="0" borderId="92" xfId="0" applyNumberFormat="1" applyFont="1" applyBorder="1" applyAlignment="1">
      <alignment horizontal="left" vertical="center"/>
    </xf>
    <xf numFmtId="166" fontId="51" fillId="0" borderId="92" xfId="0" applyNumberFormat="1" applyFont="1" applyBorder="1" applyAlignment="1">
      <alignment horizontal="center" vertical="center"/>
    </xf>
    <xf numFmtId="0" fontId="48" fillId="8" borderId="167" xfId="0" quotePrefix="1" applyFont="1" applyFill="1" applyBorder="1" applyAlignment="1">
      <alignment horizontal="center" vertical="center"/>
    </xf>
    <xf numFmtId="0" fontId="51" fillId="0" borderId="13" xfId="0" applyFont="1" applyBorder="1" applyAlignment="1">
      <alignment horizontal="left" vertical="center"/>
    </xf>
    <xf numFmtId="0" fontId="51" fillId="0" borderId="153" xfId="0" applyFont="1" applyBorder="1" applyAlignment="1">
      <alignment horizontal="left" vertical="center"/>
    </xf>
    <xf numFmtId="164" fontId="51" fillId="0" borderId="13" xfId="0" applyNumberFormat="1" applyFont="1" applyBorder="1" applyAlignment="1">
      <alignment horizontal="left" vertical="center"/>
    </xf>
    <xf numFmtId="0" fontId="51" fillId="0" borderId="154" xfId="0" applyFont="1" applyBorder="1" applyAlignment="1">
      <alignment horizontal="left" vertical="center"/>
    </xf>
    <xf numFmtId="0" fontId="51" fillId="15" borderId="167" xfId="0" applyFont="1" applyFill="1" applyBorder="1" applyAlignment="1">
      <alignment horizontal="center" vertical="center" wrapText="1"/>
    </xf>
    <xf numFmtId="0" fontId="51" fillId="15" borderId="149" xfId="0" applyFont="1" applyFill="1" applyBorder="1" applyAlignment="1">
      <alignment horizontal="center" vertical="center" wrapText="1"/>
    </xf>
    <xf numFmtId="0" fontId="55" fillId="15" borderId="149" xfId="0" applyFont="1" applyFill="1" applyBorder="1" applyAlignment="1">
      <alignment horizontal="center" vertical="center" wrapText="1"/>
    </xf>
    <xf numFmtId="0" fontId="55" fillId="15" borderId="170" xfId="0" applyFont="1" applyFill="1" applyBorder="1" applyAlignment="1">
      <alignment horizontal="center" vertical="center" wrapText="1"/>
    </xf>
    <xf numFmtId="0" fontId="51" fillId="0" borderId="182" xfId="0" applyFont="1" applyBorder="1" applyAlignment="1">
      <alignment horizontal="left" vertical="center"/>
    </xf>
    <xf numFmtId="0" fontId="51" fillId="0" borderId="49" xfId="0" applyFont="1" applyBorder="1" applyAlignment="1">
      <alignment horizontal="left" vertical="center"/>
    </xf>
    <xf numFmtId="0" fontId="48" fillId="0" borderId="169" xfId="0" applyFont="1" applyBorder="1" applyAlignment="1">
      <alignment horizontal="left" vertical="center"/>
    </xf>
    <xf numFmtId="0" fontId="48" fillId="0" borderId="170" xfId="0" applyFont="1" applyBorder="1" applyAlignment="1">
      <alignment horizontal="left" vertical="center"/>
    </xf>
    <xf numFmtId="166" fontId="10" fillId="0" borderId="149" xfId="202" applyNumberFormat="1" applyBorder="1" applyAlignment="1">
      <alignment horizontal="center"/>
    </xf>
    <xf numFmtId="166" fontId="10" fillId="0" borderId="149" xfId="203" applyNumberFormat="1" applyBorder="1" applyAlignment="1">
      <alignment horizontal="center"/>
    </xf>
    <xf numFmtId="166" fontId="10" fillId="0" borderId="170" xfId="202" applyNumberFormat="1" applyBorder="1" applyAlignment="1">
      <alignment horizontal="center"/>
    </xf>
    <xf numFmtId="0" fontId="55" fillId="0" borderId="0" xfId="6" applyFont="1" applyAlignment="1">
      <alignment horizontal="center" vertical="center"/>
    </xf>
    <xf numFmtId="0" fontId="58" fillId="7" borderId="183" xfId="6" applyFont="1" applyFill="1" applyBorder="1" applyAlignment="1">
      <alignment horizontal="left" vertical="center" wrapText="1"/>
    </xf>
    <xf numFmtId="0" fontId="58" fillId="0" borderId="0" xfId="6" applyFont="1" applyAlignment="1">
      <alignment horizontal="center" vertical="center"/>
    </xf>
    <xf numFmtId="0" fontId="59" fillId="13" borderId="184" xfId="6" applyFont="1" applyFill="1" applyBorder="1" applyAlignment="1">
      <alignment horizontal="center" vertical="center"/>
    </xf>
    <xf numFmtId="0" fontId="59" fillId="13" borderId="185" xfId="6" applyFont="1" applyFill="1" applyBorder="1" applyAlignment="1">
      <alignment horizontal="left" vertical="center" wrapText="1"/>
    </xf>
    <xf numFmtId="0" fontId="59" fillId="13" borderId="185" xfId="6" applyFont="1" applyFill="1" applyBorder="1" applyAlignment="1">
      <alignment horizontal="center" vertical="center" wrapText="1"/>
    </xf>
    <xf numFmtId="0" fontId="59" fillId="13" borderId="186" xfId="6" applyFont="1" applyFill="1" applyBorder="1" applyAlignment="1">
      <alignment vertical="center"/>
    </xf>
    <xf numFmtId="0" fontId="51" fillId="0" borderId="188" xfId="6" applyFont="1" applyBorder="1" applyAlignment="1">
      <alignment horizontal="left" vertical="center" wrapText="1"/>
    </xf>
    <xf numFmtId="0" fontId="51" fillId="0" borderId="188" xfId="6" applyFont="1" applyBorder="1" applyAlignment="1">
      <alignment horizontal="center" vertical="center" wrapText="1"/>
    </xf>
    <xf numFmtId="0" fontId="51" fillId="0" borderId="189" xfId="6" applyFont="1" applyBorder="1" applyAlignment="1">
      <alignment horizontal="center" vertical="center" wrapText="1"/>
    </xf>
    <xf numFmtId="0" fontId="51" fillId="0" borderId="149" xfId="6" applyFont="1" applyBorder="1" applyAlignment="1">
      <alignment horizontal="left" vertical="center" wrapText="1"/>
    </xf>
    <xf numFmtId="0" fontId="51" fillId="0" borderId="149" xfId="6" applyFont="1" applyBorder="1" applyAlignment="1">
      <alignment horizontal="center" vertical="center" wrapText="1"/>
    </xf>
    <xf numFmtId="0" fontId="51" fillId="0" borderId="148" xfId="6" applyFont="1" applyBorder="1" applyAlignment="1">
      <alignment horizontal="center" vertical="center" wrapText="1"/>
    </xf>
    <xf numFmtId="0" fontId="48" fillId="0" borderId="149" xfId="6" applyFont="1" applyBorder="1" applyAlignment="1">
      <alignment horizontal="center" vertical="center" wrapText="1"/>
    </xf>
    <xf numFmtId="0" fontId="51" fillId="0" borderId="170" xfId="6" applyFont="1" applyBorder="1" applyAlignment="1">
      <alignment horizontal="left" vertical="center" wrapText="1"/>
    </xf>
    <xf numFmtId="0" fontId="51" fillId="0" borderId="170" xfId="6" applyFont="1" applyBorder="1" applyAlignment="1">
      <alignment horizontal="center" vertical="center" wrapText="1"/>
    </xf>
    <xf numFmtId="0" fontId="51" fillId="0" borderId="171" xfId="6" applyFont="1" applyBorder="1" applyAlignment="1">
      <alignment horizontal="center" vertical="center" wrapText="1"/>
    </xf>
    <xf numFmtId="0" fontId="58" fillId="7" borderId="190" xfId="0" applyFont="1" applyFill="1" applyBorder="1" applyAlignment="1">
      <alignment horizontal="left" vertical="center" wrapText="1"/>
    </xf>
    <xf numFmtId="0" fontId="59" fillId="7" borderId="191" xfId="0" applyFont="1" applyFill="1" applyBorder="1" applyAlignment="1">
      <alignment horizontal="left" vertical="center"/>
    </xf>
    <xf numFmtId="0" fontId="59" fillId="7" borderId="192" xfId="0" applyFont="1" applyFill="1" applyBorder="1" applyAlignment="1">
      <alignment horizontal="left" vertical="center" wrapText="1"/>
    </xf>
    <xf numFmtId="0" fontId="59" fillId="7" borderId="192" xfId="0" applyFont="1" applyFill="1" applyBorder="1" applyAlignment="1">
      <alignment horizontal="center" vertical="center" wrapText="1"/>
    </xf>
    <xf numFmtId="0" fontId="51" fillId="9" borderId="100" xfId="0" applyFont="1" applyFill="1" applyBorder="1" applyAlignment="1">
      <alignment horizontal="left" vertical="center" wrapText="1"/>
    </xf>
    <xf numFmtId="2" fontId="51" fillId="9" borderId="91" xfId="0" applyNumberFormat="1" applyFont="1" applyFill="1" applyBorder="1" applyAlignment="1">
      <alignment horizontal="left" vertical="center" wrapText="1"/>
    </xf>
    <xf numFmtId="0" fontId="59" fillId="7" borderId="192" xfId="6" applyFont="1" applyFill="1" applyBorder="1" applyAlignment="1">
      <alignment horizontal="center" vertical="center" wrapText="1"/>
    </xf>
    <xf numFmtId="0" fontId="51" fillId="0" borderId="170" xfId="0" applyFont="1" applyBorder="1" applyAlignment="1">
      <alignment horizontal="left" vertical="center" wrapText="1"/>
    </xf>
    <xf numFmtId="0" fontId="51" fillId="0" borderId="182" xfId="2" applyFont="1" applyBorder="1" applyAlignment="1">
      <alignment horizontal="left" vertical="center" wrapText="1"/>
    </xf>
    <xf numFmtId="0" fontId="51" fillId="0" borderId="151" xfId="0" applyFont="1" applyBorder="1" applyAlignment="1">
      <alignment horizontal="left" vertical="center" wrapText="1"/>
    </xf>
    <xf numFmtId="0" fontId="51" fillId="0" borderId="151" xfId="0" applyFont="1" applyBorder="1" applyAlignment="1">
      <alignment horizontal="center" vertical="center" wrapText="1"/>
    </xf>
    <xf numFmtId="0" fontId="51" fillId="0" borderId="194" xfId="0" applyFont="1" applyBorder="1" applyAlignment="1">
      <alignment horizontal="center" vertical="center" wrapText="1"/>
    </xf>
    <xf numFmtId="0" fontId="31" fillId="7" borderId="190" xfId="0" applyFont="1" applyFill="1" applyBorder="1" applyAlignment="1">
      <alignment horizontal="left" vertical="center" wrapText="1"/>
    </xf>
    <xf numFmtId="0" fontId="59" fillId="13" borderId="191" xfId="0" applyFont="1" applyFill="1" applyBorder="1" applyAlignment="1">
      <alignment horizontal="left" vertical="center"/>
    </xf>
    <xf numFmtId="0" fontId="59" fillId="13" borderId="192" xfId="0" applyFont="1" applyFill="1" applyBorder="1" applyAlignment="1">
      <alignment horizontal="left" vertical="center"/>
    </xf>
    <xf numFmtId="0" fontId="59" fillId="13" borderId="193" xfId="0" applyFont="1" applyFill="1" applyBorder="1" applyAlignment="1">
      <alignment horizontal="left" vertical="center"/>
    </xf>
    <xf numFmtId="0" fontId="75" fillId="0" borderId="100" xfId="3" applyFont="1" applyBorder="1" applyAlignment="1">
      <alignment horizontal="left" vertical="center" wrapText="1"/>
    </xf>
    <xf numFmtId="166" fontId="0" fillId="0" borderId="0" xfId="0" applyNumberFormat="1" applyAlignment="1">
      <alignment horizontal="left"/>
    </xf>
    <xf numFmtId="0" fontId="0" fillId="30" borderId="149" xfId="0" applyFill="1" applyBorder="1" applyAlignment="1">
      <alignment horizontal="left" vertical="center"/>
    </xf>
    <xf numFmtId="0" fontId="48" fillId="30" borderId="149" xfId="0" quotePrefix="1" applyFont="1" applyFill="1" applyBorder="1" applyAlignment="1">
      <alignment horizontal="left" vertical="center"/>
    </xf>
    <xf numFmtId="0" fontId="48" fillId="30" borderId="148" xfId="0" quotePrefix="1" applyFont="1" applyFill="1" applyBorder="1" applyAlignment="1">
      <alignment horizontal="left" vertical="center"/>
    </xf>
    <xf numFmtId="0" fontId="48" fillId="30" borderId="149" xfId="0" applyFont="1" applyFill="1" applyBorder="1" applyAlignment="1">
      <alignment horizontal="center" vertical="center"/>
    </xf>
    <xf numFmtId="0" fontId="48" fillId="8" borderId="195" xfId="0" quotePrefix="1" applyFont="1" applyFill="1" applyBorder="1" applyAlignment="1">
      <alignment horizontal="center" vertical="center"/>
    </xf>
    <xf numFmtId="0" fontId="48" fillId="18" borderId="170" xfId="0" quotePrefix="1" applyFont="1" applyFill="1" applyBorder="1" applyAlignment="1">
      <alignment horizontal="center" vertical="center"/>
    </xf>
    <xf numFmtId="0" fontId="48" fillId="5" borderId="195" xfId="0" applyFont="1" applyFill="1" applyBorder="1" applyAlignment="1">
      <alignment horizontal="center" vertical="center"/>
    </xf>
    <xf numFmtId="0" fontId="48" fillId="5" borderId="149" xfId="0" applyFont="1" applyFill="1" applyBorder="1" applyAlignment="1">
      <alignment horizontal="center" vertical="center"/>
    </xf>
    <xf numFmtId="0" fontId="51" fillId="5" borderId="149" xfId="0" applyFont="1" applyFill="1" applyBorder="1" applyAlignment="1">
      <alignment horizontal="center" vertical="center"/>
    </xf>
    <xf numFmtId="0" fontId="48" fillId="5" borderId="170" xfId="0" applyFont="1" applyFill="1" applyBorder="1" applyAlignment="1">
      <alignment horizontal="center" vertical="center"/>
    </xf>
    <xf numFmtId="0" fontId="63" fillId="7" borderId="156" xfId="3" applyFont="1" applyFill="1" applyBorder="1" applyAlignment="1">
      <alignment horizontal="center" vertical="center" wrapText="1"/>
    </xf>
    <xf numFmtId="0" fontId="48" fillId="30" borderId="149" xfId="0" applyFont="1" applyFill="1" applyBorder="1" applyAlignment="1">
      <alignment horizontal="left" vertical="center"/>
    </xf>
    <xf numFmtId="0" fontId="51" fillId="11" borderId="92" xfId="0" applyFont="1" applyFill="1" applyBorder="1" applyAlignment="1">
      <alignment horizontal="left" vertical="center" wrapText="1"/>
    </xf>
    <xf numFmtId="0" fontId="51" fillId="11" borderId="96" xfId="0" applyFont="1" applyFill="1" applyBorder="1" applyAlignment="1">
      <alignment horizontal="left" vertical="center"/>
    </xf>
    <xf numFmtId="2" fontId="51" fillId="11" borderId="92" xfId="0" applyNumberFormat="1" applyFont="1" applyFill="1" applyBorder="1" applyAlignment="1">
      <alignment horizontal="center" vertical="center" wrapText="1"/>
    </xf>
    <xf numFmtId="2" fontId="51" fillId="11" borderId="149" xfId="0" applyNumberFormat="1" applyFont="1" applyFill="1" applyBorder="1" applyAlignment="1">
      <alignment horizontal="left" vertical="center" wrapText="1"/>
    </xf>
    <xf numFmtId="164" fontId="51" fillId="11" borderId="149" xfId="0" applyNumberFormat="1" applyFont="1" applyFill="1" applyBorder="1" applyAlignment="1">
      <alignment horizontal="left" vertical="center"/>
    </xf>
    <xf numFmtId="0" fontId="55" fillId="11" borderId="149" xfId="0" applyFont="1" applyFill="1" applyBorder="1" applyAlignment="1">
      <alignment horizontal="left" vertical="center" wrapText="1"/>
    </xf>
    <xf numFmtId="1" fontId="51" fillId="19" borderId="13" xfId="0" applyNumberFormat="1" applyFont="1" applyFill="1" applyBorder="1" applyAlignment="1">
      <alignment horizontal="center" vertical="center"/>
    </xf>
    <xf numFmtId="0" fontId="95" fillId="19" borderId="100" xfId="0" applyFont="1" applyFill="1" applyBorder="1" applyAlignment="1">
      <alignment horizontal="left" vertical="center"/>
    </xf>
    <xf numFmtId="0" fontId="51" fillId="19" borderId="169" xfId="0" applyFont="1" applyFill="1" applyBorder="1" applyAlignment="1">
      <alignment horizontal="left" vertical="center"/>
    </xf>
    <xf numFmtId="166" fontId="51" fillId="19" borderId="170" xfId="0" applyNumberFormat="1" applyFont="1" applyFill="1" applyBorder="1" applyAlignment="1">
      <alignment horizontal="center" vertical="center"/>
    </xf>
    <xf numFmtId="0" fontId="51" fillId="19" borderId="170" xfId="0" applyFont="1" applyFill="1" applyBorder="1" applyAlignment="1">
      <alignment horizontal="center" vertical="center" wrapText="1"/>
    </xf>
    <xf numFmtId="0" fontId="51" fillId="19" borderId="170" xfId="0" applyFont="1" applyFill="1" applyBorder="1" applyAlignment="1">
      <alignment horizontal="center" vertical="center"/>
    </xf>
    <xf numFmtId="166" fontId="55" fillId="11" borderId="149" xfId="0" applyNumberFormat="1" applyFont="1" applyFill="1" applyBorder="1" applyAlignment="1">
      <alignment horizontal="center" vertical="center" wrapText="1"/>
    </xf>
    <xf numFmtId="0" fontId="55" fillId="11" borderId="149" xfId="0" quotePrefix="1" applyFont="1" applyFill="1" applyBorder="1" applyAlignment="1">
      <alignment horizontal="center" vertical="center" wrapText="1"/>
    </xf>
    <xf numFmtId="166" fontId="51" fillId="11" borderId="149" xfId="0" applyNumberFormat="1" applyFont="1" applyFill="1" applyBorder="1" applyAlignment="1">
      <alignment horizontal="center" vertical="center" wrapText="1"/>
    </xf>
    <xf numFmtId="0" fontId="59" fillId="7" borderId="192" xfId="0" applyFont="1" applyFill="1" applyBorder="1" applyAlignment="1">
      <alignment horizontal="left" vertical="center"/>
    </xf>
    <xf numFmtId="0" fontId="59" fillId="7" borderId="193" xfId="0" applyFont="1" applyFill="1" applyBorder="1" applyAlignment="1">
      <alignment horizontal="left" vertical="center"/>
    </xf>
    <xf numFmtId="164" fontId="48" fillId="0" borderId="149" xfId="0" applyNumberFormat="1" applyFont="1" applyBorder="1" applyAlignment="1">
      <alignment horizontal="left" vertical="center"/>
    </xf>
    <xf numFmtId="0" fontId="9" fillId="0" borderId="92" xfId="0" applyFont="1" applyBorder="1" applyAlignment="1">
      <alignment horizontal="left" vertical="center" wrapText="1"/>
    </xf>
    <xf numFmtId="0" fontId="51" fillId="0" borderId="169" xfId="0" applyFont="1" applyBorder="1" applyAlignment="1">
      <alignment horizontal="left" vertical="center" wrapText="1"/>
    </xf>
    <xf numFmtId="0" fontId="48" fillId="0" borderId="149" xfId="0" quotePrefix="1" applyFont="1" applyBorder="1" applyAlignment="1">
      <alignment horizontal="left" vertical="center"/>
    </xf>
    <xf numFmtId="0" fontId="48" fillId="0" borderId="170" xfId="0" quotePrefix="1" applyFont="1" applyBorder="1" applyAlignment="1">
      <alignment horizontal="left" vertical="center"/>
    </xf>
    <xf numFmtId="2" fontId="48" fillId="0" borderId="170" xfId="0" applyNumberFormat="1" applyFont="1" applyBorder="1" applyAlignment="1">
      <alignment horizontal="left" vertical="center"/>
    </xf>
    <xf numFmtId="0" fontId="51" fillId="9" borderId="169" xfId="0" applyFont="1" applyFill="1" applyBorder="1" applyAlignment="1">
      <alignment horizontal="left" vertical="center" wrapText="1"/>
    </xf>
    <xf numFmtId="2" fontId="51" fillId="9" borderId="170" xfId="0" applyNumberFormat="1" applyFont="1" applyFill="1" applyBorder="1" applyAlignment="1">
      <alignment horizontal="left" vertical="center" wrapText="1"/>
    </xf>
    <xf numFmtId="2" fontId="51" fillId="9" borderId="170" xfId="0" applyNumberFormat="1" applyFont="1" applyFill="1" applyBorder="1" applyAlignment="1">
      <alignment horizontal="center" vertical="center" wrapText="1"/>
    </xf>
    <xf numFmtId="0" fontId="51" fillId="9" borderId="170" xfId="0" applyFont="1" applyFill="1" applyBorder="1" applyAlignment="1">
      <alignment horizontal="center" vertical="center" wrapText="1"/>
    </xf>
    <xf numFmtId="2" fontId="51" fillId="9" borderId="149" xfId="0" applyNumberFormat="1" applyFont="1" applyFill="1" applyBorder="1" applyAlignment="1">
      <alignment horizontal="center" vertical="center" wrapText="1"/>
    </xf>
    <xf numFmtId="0" fontId="51" fillId="19" borderId="149" xfId="0" quotePrefix="1" applyFont="1" applyFill="1" applyBorder="1" applyAlignment="1">
      <alignment horizontal="left" vertical="center"/>
    </xf>
    <xf numFmtId="0" fontId="51" fillId="11" borderId="148" xfId="0" applyFont="1" applyFill="1" applyBorder="1" applyAlignment="1">
      <alignment horizontal="left" vertical="center"/>
    </xf>
    <xf numFmtId="0" fontId="55" fillId="11" borderId="149" xfId="0" applyFont="1" applyFill="1" applyBorder="1" applyAlignment="1">
      <alignment horizontal="left" vertical="center"/>
    </xf>
    <xf numFmtId="0" fontId="55" fillId="11" borderId="148" xfId="0" applyFont="1" applyFill="1" applyBorder="1" applyAlignment="1">
      <alignment horizontal="left" vertical="center"/>
    </xf>
    <xf numFmtId="166" fontId="51" fillId="26" borderId="149" xfId="0" applyNumberFormat="1" applyFont="1" applyFill="1" applyBorder="1" applyAlignment="1">
      <alignment horizontal="left" vertical="center"/>
    </xf>
    <xf numFmtId="165" fontId="51" fillId="26" borderId="149" xfId="0" applyNumberFormat="1" applyFont="1" applyFill="1" applyBorder="1" applyAlignment="1">
      <alignment horizontal="left" vertical="center"/>
    </xf>
    <xf numFmtId="2" fontId="51" fillId="25" borderId="6" xfId="0" applyNumberFormat="1" applyFont="1" applyFill="1" applyBorder="1" applyAlignment="1">
      <alignment horizontal="left" vertical="center"/>
    </xf>
    <xf numFmtId="164" fontId="51" fillId="26" borderId="149" xfId="0" applyNumberFormat="1" applyFont="1" applyFill="1" applyBorder="1" applyAlignment="1">
      <alignment horizontal="left" vertical="center"/>
    </xf>
    <xf numFmtId="164" fontId="51" fillId="8" borderId="6" xfId="0" applyNumberFormat="1" applyFont="1" applyFill="1" applyBorder="1" applyAlignment="1">
      <alignment horizontal="left" vertical="center"/>
    </xf>
    <xf numFmtId="1" fontId="51" fillId="8" borderId="6" xfId="0" applyNumberFormat="1" applyFont="1" applyFill="1" applyBorder="1" applyAlignment="1">
      <alignment horizontal="left" vertical="center"/>
    </xf>
    <xf numFmtId="2" fontId="48" fillId="7" borderId="6" xfId="0" applyNumberFormat="1" applyFont="1" applyFill="1" applyBorder="1" applyAlignment="1">
      <alignment horizontal="left" vertical="center"/>
    </xf>
    <xf numFmtId="164" fontId="48" fillId="7" borderId="6" xfId="0" applyNumberFormat="1" applyFont="1" applyFill="1" applyBorder="1" applyAlignment="1">
      <alignment horizontal="left" vertical="center"/>
    </xf>
    <xf numFmtId="1" fontId="48" fillId="7" borderId="6" xfId="0" applyNumberFormat="1" applyFont="1" applyFill="1" applyBorder="1" applyAlignment="1">
      <alignment horizontal="left" vertical="center"/>
    </xf>
    <xf numFmtId="164" fontId="48" fillId="7" borderId="10" xfId="0" applyNumberFormat="1" applyFont="1" applyFill="1" applyBorder="1" applyAlignment="1">
      <alignment horizontal="left" vertical="center"/>
    </xf>
    <xf numFmtId="2" fontId="48" fillId="10" borderId="6" xfId="0" applyNumberFormat="1" applyFont="1" applyFill="1" applyBorder="1" applyAlignment="1">
      <alignment horizontal="left" vertical="center"/>
    </xf>
    <xf numFmtId="2" fontId="51" fillId="12" borderId="6" xfId="0" applyNumberFormat="1" applyFont="1" applyFill="1" applyBorder="1" applyAlignment="1">
      <alignment horizontal="left" vertical="center"/>
    </xf>
    <xf numFmtId="164" fontId="48" fillId="10" borderId="10" xfId="0" applyNumberFormat="1" applyFont="1" applyFill="1" applyBorder="1" applyAlignment="1">
      <alignment horizontal="left" vertical="center"/>
    </xf>
    <xf numFmtId="164" fontId="51" fillId="8" borderId="170" xfId="0" applyNumberFormat="1" applyFont="1" applyFill="1" applyBorder="1" applyAlignment="1">
      <alignment horizontal="left" vertical="center"/>
    </xf>
    <xf numFmtId="164" fontId="51" fillId="8" borderId="92" xfId="0" applyNumberFormat="1" applyFont="1" applyFill="1" applyBorder="1" applyAlignment="1">
      <alignment horizontal="left" vertical="center"/>
    </xf>
    <xf numFmtId="0" fontId="59" fillId="7" borderId="196" xfId="0" applyFont="1" applyFill="1" applyBorder="1" applyAlignment="1">
      <alignment horizontal="center"/>
    </xf>
    <xf numFmtId="0" fontId="51" fillId="0" borderId="170" xfId="0" quotePrefix="1" applyFont="1" applyBorder="1" applyAlignment="1">
      <alignment horizontal="left" vertical="center" wrapText="1"/>
    </xf>
    <xf numFmtId="164" fontId="51" fillId="0" borderId="170" xfId="0" applyNumberFormat="1" applyFont="1" applyBorder="1" applyAlignment="1">
      <alignment horizontal="left" vertical="center"/>
    </xf>
    <xf numFmtId="0" fontId="51" fillId="0" borderId="148" xfId="0" quotePrefix="1" applyFont="1" applyBorder="1" applyAlignment="1">
      <alignment horizontal="left" vertical="center" wrapText="1"/>
    </xf>
    <xf numFmtId="0" fontId="51" fillId="0" borderId="97" xfId="0" quotePrefix="1" applyFont="1" applyBorder="1" applyAlignment="1">
      <alignment horizontal="left" vertical="center" wrapText="1"/>
    </xf>
    <xf numFmtId="0" fontId="51" fillId="0" borderId="148" xfId="0" quotePrefix="1" applyFont="1" applyBorder="1" applyAlignment="1">
      <alignment horizontal="left" vertical="center"/>
    </xf>
    <xf numFmtId="0" fontId="51" fillId="0" borderId="171" xfId="0" quotePrefix="1" applyFont="1" applyBorder="1" applyAlignment="1">
      <alignment horizontal="left" vertical="center" wrapText="1"/>
    </xf>
    <xf numFmtId="0" fontId="51" fillId="20" borderId="187" xfId="0" applyFont="1" applyFill="1" applyBorder="1" applyAlignment="1">
      <alignment horizontal="left" vertical="center" wrapText="1"/>
    </xf>
    <xf numFmtId="0" fontId="51" fillId="20" borderId="188" xfId="0" applyFont="1" applyFill="1" applyBorder="1" applyAlignment="1">
      <alignment horizontal="left" vertical="center"/>
    </xf>
    <xf numFmtId="0" fontId="51" fillId="20" borderId="188" xfId="0" applyFont="1" applyFill="1" applyBorder="1" applyAlignment="1">
      <alignment horizontal="center" vertical="center"/>
    </xf>
    <xf numFmtId="166" fontId="51" fillId="20" borderId="188" xfId="0" applyNumberFormat="1" applyFont="1" applyFill="1" applyBorder="1" applyAlignment="1">
      <alignment horizontal="center" vertical="center"/>
    </xf>
    <xf numFmtId="0" fontId="51" fillId="20" borderId="188" xfId="0" quotePrefix="1" applyFont="1" applyFill="1" applyBorder="1" applyAlignment="1">
      <alignment horizontal="center" vertical="center"/>
    </xf>
    <xf numFmtId="0" fontId="51" fillId="20" borderId="189" xfId="0" applyFont="1" applyFill="1" applyBorder="1" applyAlignment="1">
      <alignment horizontal="left" vertical="center"/>
    </xf>
    <xf numFmtId="0" fontId="51" fillId="20" borderId="169" xfId="0" applyFont="1" applyFill="1" applyBorder="1" applyAlignment="1">
      <alignment horizontal="left" vertical="center" wrapText="1"/>
    </xf>
    <xf numFmtId="0" fontId="51" fillId="20" borderId="170" xfId="0" applyFont="1" applyFill="1" applyBorder="1" applyAlignment="1">
      <alignment horizontal="center" vertical="center"/>
    </xf>
    <xf numFmtId="166" fontId="51" fillId="20" borderId="170" xfId="0" applyNumberFormat="1" applyFont="1" applyFill="1" applyBorder="1" applyAlignment="1">
      <alignment horizontal="center" vertical="center"/>
    </xf>
    <xf numFmtId="0" fontId="51" fillId="20" borderId="170" xfId="0" quotePrefix="1" applyFont="1" applyFill="1" applyBorder="1" applyAlignment="1">
      <alignment horizontal="center" vertical="center"/>
    </xf>
    <xf numFmtId="0" fontId="51" fillId="15" borderId="91" xfId="0" applyFont="1" applyFill="1" applyBorder="1" applyAlignment="1">
      <alignment horizontal="center" vertical="center" wrapText="1"/>
    </xf>
    <xf numFmtId="1" fontId="51" fillId="15" borderId="91" xfId="0" applyNumberFormat="1" applyFont="1" applyFill="1" applyBorder="1" applyAlignment="1">
      <alignment horizontal="center" vertical="center" wrapText="1"/>
    </xf>
    <xf numFmtId="0" fontId="51" fillId="15" borderId="91" xfId="0" applyFont="1" applyFill="1" applyBorder="1"/>
    <xf numFmtId="0" fontId="51" fillId="15" borderId="100" xfId="0" applyFont="1" applyFill="1" applyBorder="1" applyAlignment="1">
      <alignment horizontal="left" vertical="center"/>
    </xf>
    <xf numFmtId="0" fontId="51" fillId="15" borderId="91" xfId="0" applyFont="1" applyFill="1" applyBorder="1" applyAlignment="1">
      <alignment horizontal="left" vertical="center" wrapText="1"/>
    </xf>
    <xf numFmtId="0" fontId="55" fillId="15" borderId="91" xfId="0" applyFont="1" applyFill="1" applyBorder="1" applyAlignment="1">
      <alignment horizontal="center" vertical="center" wrapText="1"/>
    </xf>
    <xf numFmtId="0" fontId="51" fillId="15" borderId="91" xfId="0" applyFont="1" applyFill="1" applyBorder="1" applyAlignment="1">
      <alignment horizontal="center" vertical="center"/>
    </xf>
    <xf numFmtId="0" fontId="55" fillId="15" borderId="148" xfId="0" applyFont="1" applyFill="1" applyBorder="1" applyAlignment="1">
      <alignment horizontal="left" vertical="center" wrapText="1"/>
    </xf>
    <xf numFmtId="0" fontId="55" fillId="15" borderId="100" xfId="0" applyFont="1" applyFill="1" applyBorder="1" applyAlignment="1">
      <alignment horizontal="left" vertical="center" wrapText="1"/>
    </xf>
    <xf numFmtId="0" fontId="55" fillId="15" borderId="91" xfId="0" applyFont="1" applyFill="1" applyBorder="1" applyAlignment="1">
      <alignment horizontal="left" vertical="center" wrapText="1"/>
    </xf>
    <xf numFmtId="0" fontId="51" fillId="24" borderId="100" xfId="0" applyFont="1" applyFill="1" applyBorder="1" applyAlignment="1">
      <alignment horizontal="left" vertical="center"/>
    </xf>
    <xf numFmtId="2" fontId="51" fillId="24" borderId="91" xfId="0" applyNumberFormat="1" applyFont="1" applyFill="1" applyBorder="1" applyAlignment="1">
      <alignment horizontal="left" vertical="center" wrapText="1"/>
    </xf>
    <xf numFmtId="11" fontId="48" fillId="0" borderId="91" xfId="0" applyNumberFormat="1" applyFont="1" applyBorder="1" applyAlignment="1">
      <alignment horizontal="center" vertical="center"/>
    </xf>
    <xf numFmtId="0" fontId="59" fillId="0" borderId="100" xfId="3" applyFont="1" applyBorder="1" applyAlignment="1">
      <alignment horizontal="left" vertical="center" wrapText="1"/>
    </xf>
    <xf numFmtId="166" fontId="13" fillId="0" borderId="91" xfId="159" applyNumberFormat="1" applyBorder="1" applyAlignment="1">
      <alignment horizontal="center"/>
    </xf>
    <xf numFmtId="0" fontId="48" fillId="0" borderId="148" xfId="0" applyFont="1" applyBorder="1" applyAlignment="1">
      <alignment horizontal="left" vertical="center"/>
    </xf>
    <xf numFmtId="0" fontId="63" fillId="7" borderId="192" xfId="3" applyFont="1" applyFill="1" applyBorder="1" applyAlignment="1">
      <alignment horizontal="center" vertical="center" wrapText="1"/>
    </xf>
    <xf numFmtId="0" fontId="48" fillId="8" borderId="91" xfId="0" quotePrefix="1" applyFont="1" applyFill="1" applyBorder="1" applyAlignment="1">
      <alignment horizontal="center" vertical="center"/>
    </xf>
    <xf numFmtId="0" fontId="48" fillId="21" borderId="91" xfId="0" quotePrefix="1" applyFont="1" applyFill="1" applyBorder="1" applyAlignment="1">
      <alignment horizontal="center" vertical="center"/>
    </xf>
    <xf numFmtId="0" fontId="48" fillId="11" borderId="91" xfId="0" quotePrefix="1" applyFont="1" applyFill="1" applyBorder="1" applyAlignment="1">
      <alignment horizontal="center" vertical="center"/>
    </xf>
    <xf numFmtId="0" fontId="48" fillId="11" borderId="91" xfId="0" applyFont="1" applyFill="1" applyBorder="1" applyAlignment="1">
      <alignment horizontal="center" vertical="center"/>
    </xf>
    <xf numFmtId="0" fontId="48" fillId="10" borderId="91" xfId="0" applyFont="1" applyFill="1" applyBorder="1" applyAlignment="1">
      <alignment horizontal="center" vertical="center"/>
    </xf>
    <xf numFmtId="0" fontId="48" fillId="22" borderId="91" xfId="0" applyFont="1" applyFill="1" applyBorder="1" applyAlignment="1">
      <alignment horizontal="center" vertical="center"/>
    </xf>
    <xf numFmtId="0" fontId="48" fillId="20" borderId="91" xfId="0" quotePrefix="1" applyFont="1" applyFill="1" applyBorder="1" applyAlignment="1">
      <alignment horizontal="center" vertical="center"/>
    </xf>
    <xf numFmtId="0" fontId="48" fillId="20" borderId="91" xfId="0" applyFont="1" applyFill="1" applyBorder="1" applyAlignment="1">
      <alignment horizontal="center" vertical="center"/>
    </xf>
    <xf numFmtId="0" fontId="48" fillId="12" borderId="91" xfId="0" quotePrefix="1" applyFont="1" applyFill="1" applyBorder="1" applyAlignment="1">
      <alignment horizontal="center" vertical="center"/>
    </xf>
    <xf numFmtId="0" fontId="48" fillId="12" borderId="91" xfId="0" applyFont="1" applyFill="1" applyBorder="1" applyAlignment="1">
      <alignment horizontal="center" vertical="center"/>
    </xf>
    <xf numFmtId="0" fontId="48" fillId="18" borderId="91" xfId="0" quotePrefix="1" applyFont="1" applyFill="1" applyBorder="1" applyAlignment="1">
      <alignment horizontal="center" vertical="center"/>
    </xf>
    <xf numFmtId="0" fontId="48" fillId="18" borderId="91" xfId="0" applyFont="1" applyFill="1" applyBorder="1" applyAlignment="1">
      <alignment horizontal="center" vertical="center"/>
    </xf>
    <xf numFmtId="0" fontId="48" fillId="7" borderId="91" xfId="0" applyFont="1" applyFill="1" applyBorder="1" applyAlignment="1">
      <alignment horizontal="center" vertical="center"/>
    </xf>
    <xf numFmtId="0" fontId="48" fillId="7" borderId="91" xfId="0" quotePrefix="1" applyFont="1" applyFill="1" applyBorder="1" applyAlignment="1">
      <alignment horizontal="center" vertical="center"/>
    </xf>
    <xf numFmtId="0" fontId="48" fillId="16" borderId="91" xfId="0" quotePrefix="1" applyFont="1" applyFill="1" applyBorder="1" applyAlignment="1">
      <alignment horizontal="center" vertical="center"/>
    </xf>
    <xf numFmtId="0" fontId="48" fillId="15" borderId="91" xfId="0" quotePrefix="1" applyFont="1" applyFill="1" applyBorder="1" applyAlignment="1">
      <alignment horizontal="center" vertical="center"/>
    </xf>
    <xf numFmtId="0" fontId="48" fillId="30" borderId="91" xfId="0" applyFont="1" applyFill="1" applyBorder="1" applyAlignment="1">
      <alignment horizontal="center" vertical="center"/>
    </xf>
    <xf numFmtId="0" fontId="48" fillId="4" borderId="91" xfId="0" quotePrefix="1" applyFont="1" applyFill="1" applyBorder="1" applyAlignment="1">
      <alignment horizontal="center" vertical="center"/>
    </xf>
    <xf numFmtId="0" fontId="51" fillId="5" borderId="195" xfId="0" applyFont="1" applyFill="1" applyBorder="1" applyAlignment="1">
      <alignment horizontal="center" vertical="center"/>
    </xf>
    <xf numFmtId="0" fontId="48" fillId="5" borderId="91" xfId="0" applyFont="1" applyFill="1" applyBorder="1" applyAlignment="1">
      <alignment horizontal="center" vertical="center"/>
    </xf>
    <xf numFmtId="0" fontId="48" fillId="15" borderId="91" xfId="0" applyFont="1" applyFill="1" applyBorder="1" applyAlignment="1">
      <alignment horizontal="center" vertical="center"/>
    </xf>
    <xf numFmtId="0" fontId="48" fillId="15" borderId="91" xfId="0" quotePrefix="1" applyFont="1" applyFill="1" applyBorder="1" applyAlignment="1">
      <alignment horizontal="left" vertical="center"/>
    </xf>
    <xf numFmtId="0" fontId="48" fillId="15" borderId="91" xfId="0" applyFont="1" applyFill="1" applyBorder="1" applyAlignment="1">
      <alignment horizontal="left" vertical="center"/>
    </xf>
    <xf numFmtId="0" fontId="51" fillId="9" borderId="198" xfId="0" applyFont="1" applyFill="1" applyBorder="1" applyAlignment="1">
      <alignment horizontal="left" vertical="center"/>
    </xf>
    <xf numFmtId="0" fontId="51" fillId="9" borderId="195" xfId="0" applyFont="1" applyFill="1" applyBorder="1" applyAlignment="1">
      <alignment horizontal="left" vertical="center" wrapText="1"/>
    </xf>
    <xf numFmtId="0" fontId="51" fillId="9" borderId="195" xfId="0" applyFont="1" applyFill="1" applyBorder="1" applyAlignment="1">
      <alignment horizontal="center" vertical="center" wrapText="1"/>
    </xf>
    <xf numFmtId="0" fontId="55" fillId="9" borderId="195" xfId="0" applyFont="1" applyFill="1" applyBorder="1" applyAlignment="1">
      <alignment horizontal="center" vertical="center" wrapText="1"/>
    </xf>
    <xf numFmtId="0" fontId="51" fillId="9" borderId="195" xfId="0" applyFont="1" applyFill="1" applyBorder="1" applyAlignment="1">
      <alignment horizontal="center" vertical="center"/>
    </xf>
    <xf numFmtId="0" fontId="51" fillId="9" borderId="199" xfId="0" applyFont="1" applyFill="1" applyBorder="1" applyAlignment="1">
      <alignment horizontal="left" vertical="center"/>
    </xf>
    <xf numFmtId="0" fontId="51" fillId="9" borderId="91" xfId="0" applyFont="1" applyFill="1" applyBorder="1" applyAlignment="1">
      <alignment horizontal="center" vertical="center"/>
    </xf>
    <xf numFmtId="0" fontId="51" fillId="9" borderId="148" xfId="0" applyFont="1" applyFill="1" applyBorder="1" applyAlignment="1">
      <alignment horizontal="left" vertical="center"/>
    </xf>
    <xf numFmtId="0" fontId="51" fillId="9" borderId="91" xfId="0" applyFont="1" applyFill="1" applyBorder="1" applyAlignment="1">
      <alignment horizontal="left" vertical="center" wrapText="1"/>
    </xf>
    <xf numFmtId="166" fontId="51" fillId="9" borderId="91" xfId="0" applyNumberFormat="1" applyFont="1" applyFill="1" applyBorder="1" applyAlignment="1">
      <alignment horizontal="left" vertical="center" wrapText="1"/>
    </xf>
    <xf numFmtId="0" fontId="51" fillId="9" borderId="169" xfId="0" applyFont="1" applyFill="1" applyBorder="1" applyAlignment="1">
      <alignment horizontal="left" vertical="center"/>
    </xf>
    <xf numFmtId="166" fontId="51" fillId="9" borderId="170" xfId="0" applyNumberFormat="1" applyFont="1" applyFill="1" applyBorder="1" applyAlignment="1">
      <alignment horizontal="left" vertical="center" wrapText="1"/>
    </xf>
    <xf numFmtId="166" fontId="51" fillId="9" borderId="170" xfId="0" applyNumberFormat="1" applyFont="1" applyFill="1" applyBorder="1" applyAlignment="1">
      <alignment horizontal="center" vertical="center" wrapText="1"/>
    </xf>
    <xf numFmtId="0" fontId="55" fillId="9" borderId="170" xfId="0" applyFont="1" applyFill="1" applyBorder="1" applyAlignment="1">
      <alignment horizontal="center" vertical="center" wrapText="1"/>
    </xf>
    <xf numFmtId="0" fontId="51" fillId="9" borderId="170" xfId="0" applyFont="1" applyFill="1" applyBorder="1" applyAlignment="1">
      <alignment horizontal="center" vertical="center"/>
    </xf>
    <xf numFmtId="0" fontId="51" fillId="9" borderId="171" xfId="0" applyFont="1" applyFill="1" applyBorder="1" applyAlignment="1">
      <alignment horizontal="left" vertical="center"/>
    </xf>
    <xf numFmtId="0" fontId="51" fillId="9" borderId="195" xfId="0" applyFont="1" applyFill="1" applyBorder="1" applyAlignment="1">
      <alignment horizontal="left" vertical="center"/>
    </xf>
    <xf numFmtId="0" fontId="51" fillId="9" borderId="96" xfId="0" applyFont="1" applyFill="1" applyBorder="1" applyAlignment="1">
      <alignment horizontal="left" vertical="center"/>
    </xf>
    <xf numFmtId="0" fontId="51" fillId="9" borderId="92" xfId="0" applyFont="1" applyFill="1" applyBorder="1" applyAlignment="1">
      <alignment horizontal="left" vertical="center"/>
    </xf>
    <xf numFmtId="0" fontId="51" fillId="9" borderId="92" xfId="0" applyFont="1" applyFill="1" applyBorder="1" applyAlignment="1">
      <alignment horizontal="center" vertical="center"/>
    </xf>
    <xf numFmtId="0" fontId="58" fillId="2" borderId="0" xfId="0" applyFont="1" applyFill="1" applyAlignment="1">
      <alignment horizontal="left" vertical="center"/>
    </xf>
    <xf numFmtId="0" fontId="51" fillId="9" borderId="170" xfId="0" applyFont="1" applyFill="1" applyBorder="1" applyAlignment="1">
      <alignment horizontal="left" vertical="center"/>
    </xf>
    <xf numFmtId="165" fontId="58" fillId="2" borderId="0" xfId="0" applyNumberFormat="1" applyFont="1" applyFill="1" applyAlignment="1">
      <alignment horizontal="center" vertical="center"/>
    </xf>
    <xf numFmtId="0" fontId="69" fillId="0" borderId="100" xfId="0" applyFont="1" applyBorder="1" applyAlignment="1">
      <alignment horizontal="left" vertical="center"/>
    </xf>
    <xf numFmtId="0" fontId="59" fillId="7" borderId="192" xfId="3" applyFont="1" applyFill="1" applyBorder="1" applyAlignment="1">
      <alignment horizontal="center" vertical="center" wrapText="1"/>
    </xf>
    <xf numFmtId="0" fontId="51" fillId="7" borderId="91" xfId="3" quotePrefix="1" applyFont="1" applyFill="1" applyBorder="1" applyAlignment="1">
      <alignment horizontal="center" vertical="center" wrapText="1"/>
    </xf>
    <xf numFmtId="0" fontId="51" fillId="16" borderId="91" xfId="3" quotePrefix="1" applyFont="1" applyFill="1" applyBorder="1" applyAlignment="1">
      <alignment horizontal="center" vertical="center" wrapText="1"/>
    </xf>
    <xf numFmtId="0" fontId="51" fillId="5" borderId="170" xfId="0" applyFont="1" applyFill="1" applyBorder="1" applyAlignment="1">
      <alignment horizontal="center" vertical="center"/>
    </xf>
    <xf numFmtId="0" fontId="0" fillId="9" borderId="91" xfId="0" applyFill="1" applyBorder="1" applyAlignment="1">
      <alignment horizontal="left" vertical="center"/>
    </xf>
    <xf numFmtId="0" fontId="48" fillId="9" borderId="91" xfId="0" quotePrefix="1" applyFont="1" applyFill="1" applyBorder="1" applyAlignment="1">
      <alignment horizontal="left" vertical="center"/>
    </xf>
    <xf numFmtId="0" fontId="0" fillId="9" borderId="91" xfId="0" quotePrefix="1" applyFill="1" applyBorder="1" applyAlignment="1">
      <alignment horizontal="center" vertical="center"/>
    </xf>
    <xf numFmtId="0" fontId="0" fillId="9" borderId="91" xfId="0" applyFill="1" applyBorder="1" applyAlignment="1">
      <alignment horizontal="center" vertical="center"/>
    </xf>
    <xf numFmtId="0" fontId="48" fillId="11" borderId="149" xfId="0" applyFont="1" applyFill="1" applyBorder="1" applyAlignment="1">
      <alignment horizontal="center" vertical="center" wrapText="1"/>
    </xf>
    <xf numFmtId="0" fontId="0" fillId="30" borderId="149" xfId="0" applyFill="1" applyBorder="1" applyAlignment="1">
      <alignment horizontal="center"/>
    </xf>
    <xf numFmtId="0" fontId="48" fillId="26" borderId="149" xfId="0" applyFont="1" applyFill="1" applyBorder="1" applyAlignment="1">
      <alignment horizontal="left" vertical="center"/>
    </xf>
    <xf numFmtId="0" fontId="48" fillId="26" borderId="148" xfId="0" applyFont="1" applyFill="1" applyBorder="1" applyAlignment="1">
      <alignment horizontal="left" vertical="center"/>
    </xf>
    <xf numFmtId="0" fontId="31" fillId="7" borderId="1" xfId="0" applyFont="1" applyFill="1" applyBorder="1" applyAlignment="1">
      <alignment horizontal="left" vertical="center" wrapText="1"/>
    </xf>
    <xf numFmtId="0" fontId="48" fillId="9" borderId="91" xfId="0" quotePrefix="1" applyFont="1" applyFill="1" applyBorder="1" applyAlignment="1">
      <alignment horizontal="center" vertical="center"/>
    </xf>
    <xf numFmtId="0" fontId="51" fillId="9" borderId="91" xfId="3" quotePrefix="1" applyFont="1" applyFill="1" applyBorder="1" applyAlignment="1">
      <alignment horizontal="center" vertical="center" wrapText="1"/>
    </xf>
    <xf numFmtId="0" fontId="51" fillId="9" borderId="91" xfId="3" quotePrefix="1" applyFont="1" applyFill="1" applyBorder="1" applyAlignment="1">
      <alignment horizontal="center" vertical="center"/>
    </xf>
    <xf numFmtId="0" fontId="48" fillId="26" borderId="149" xfId="0" quotePrefix="1" applyFont="1" applyFill="1" applyBorder="1" applyAlignment="1">
      <alignment horizontal="center" vertical="center"/>
    </xf>
    <xf numFmtId="0" fontId="48" fillId="26" borderId="149" xfId="0" applyFont="1" applyFill="1" applyBorder="1" applyAlignment="1">
      <alignment horizontal="center" vertical="center"/>
    </xf>
    <xf numFmtId="0" fontId="48" fillId="26" borderId="91" xfId="0" applyFont="1" applyFill="1" applyBorder="1" applyAlignment="1">
      <alignment horizontal="center" vertical="center"/>
    </xf>
    <xf numFmtId="0" fontId="51" fillId="5" borderId="195" xfId="0" quotePrefix="1" applyFont="1" applyFill="1" applyBorder="1" applyAlignment="1">
      <alignment horizontal="center" vertical="center"/>
    </xf>
    <xf numFmtId="0" fontId="51" fillId="5" borderId="149" xfId="0" quotePrefix="1" applyFont="1" applyFill="1" applyBorder="1" applyAlignment="1">
      <alignment horizontal="center" vertical="center"/>
    </xf>
    <xf numFmtId="0" fontId="51" fillId="0" borderId="149" xfId="0" quotePrefix="1" applyFont="1" applyBorder="1" applyAlignment="1">
      <alignment horizontal="left" vertical="center" wrapText="1"/>
    </xf>
    <xf numFmtId="164" fontId="51" fillId="0" borderId="151" xfId="0" applyNumberFormat="1" applyFont="1" applyBorder="1" applyAlignment="1">
      <alignment horizontal="left" vertical="center"/>
    </xf>
    <xf numFmtId="0" fontId="31" fillId="7" borderId="4" xfId="0" applyFont="1" applyFill="1" applyBorder="1" applyAlignment="1">
      <alignment horizontal="left" vertical="center"/>
    </xf>
    <xf numFmtId="164" fontId="13" fillId="0" borderId="149" xfId="159" applyNumberFormat="1" applyBorder="1" applyAlignment="1">
      <alignment horizontal="center" vertical="center"/>
    </xf>
    <xf numFmtId="164" fontId="48" fillId="0" borderId="149" xfId="0" applyNumberFormat="1" applyFont="1" applyBorder="1" applyAlignment="1">
      <alignment horizontal="center" vertical="center"/>
    </xf>
    <xf numFmtId="164" fontId="48" fillId="0" borderId="6" xfId="0" applyNumberFormat="1" applyFont="1" applyBorder="1" applyAlignment="1">
      <alignment horizontal="center" vertical="center"/>
    </xf>
    <xf numFmtId="164" fontId="48" fillId="0" borderId="92" xfId="0" applyNumberFormat="1" applyFont="1" applyBorder="1" applyAlignment="1">
      <alignment horizontal="center" vertical="center"/>
    </xf>
    <xf numFmtId="168" fontId="48" fillId="0" borderId="111" xfId="0" applyNumberFormat="1" applyFont="1" applyBorder="1" applyAlignment="1">
      <alignment horizontal="center" vertical="center"/>
    </xf>
    <xf numFmtId="168" fontId="48" fillId="0" borderId="6" xfId="0" applyNumberFormat="1" applyFont="1" applyBorder="1" applyAlignment="1">
      <alignment horizontal="center" vertical="center"/>
    </xf>
    <xf numFmtId="0" fontId="99" fillId="11" borderId="149" xfId="0" quotePrefix="1" applyFont="1" applyFill="1" applyBorder="1" applyAlignment="1">
      <alignment horizontal="left" vertical="center"/>
    </xf>
    <xf numFmtId="166" fontId="13" fillId="0" borderId="149" xfId="159" applyNumberFormat="1" applyBorder="1" applyAlignment="1">
      <alignment horizontal="center" vertical="center"/>
    </xf>
    <xf numFmtId="11" fontId="48" fillId="0" borderId="149" xfId="0" applyNumberFormat="1" applyFont="1" applyBorder="1" applyAlignment="1">
      <alignment horizontal="center" vertical="center"/>
    </xf>
    <xf numFmtId="0" fontId="54" fillId="0" borderId="0" xfId="4" applyAlignment="1" applyProtection="1">
      <alignment horizontal="left"/>
    </xf>
    <xf numFmtId="0" fontId="50" fillId="7" borderId="192" xfId="0" applyFont="1" applyFill="1" applyBorder="1" applyAlignment="1">
      <alignment horizontal="center" vertical="center" wrapText="1"/>
    </xf>
    <xf numFmtId="0" fontId="48" fillId="0" borderId="170" xfId="0" applyFont="1" applyBorder="1" applyAlignment="1">
      <alignment horizontal="center" vertical="center"/>
    </xf>
    <xf numFmtId="0" fontId="48" fillId="0" borderId="195" xfId="0" applyFont="1" applyBorder="1" applyAlignment="1">
      <alignment horizontal="center" vertical="center"/>
    </xf>
    <xf numFmtId="0" fontId="51" fillId="0" borderId="0" xfId="0" applyFont="1" applyAlignment="1">
      <alignment horizontal="left" vertical="center" wrapText="1"/>
    </xf>
    <xf numFmtId="0" fontId="59" fillId="7" borderId="76" xfId="0" applyFont="1" applyFill="1" applyBorder="1" applyAlignment="1">
      <alignment horizontal="left"/>
    </xf>
    <xf numFmtId="0" fontId="51" fillId="7" borderId="76" xfId="0" applyFont="1" applyFill="1" applyBorder="1" applyAlignment="1">
      <alignment horizontal="left" vertical="center" wrapText="1"/>
    </xf>
    <xf numFmtId="0" fontId="58" fillId="7" borderId="2" xfId="0" applyFont="1" applyFill="1" applyBorder="1" applyAlignment="1">
      <alignment horizontal="left" vertical="center" wrapText="1"/>
    </xf>
    <xf numFmtId="0" fontId="59" fillId="7" borderId="51" xfId="0" applyFont="1" applyFill="1" applyBorder="1" applyAlignment="1">
      <alignment horizontal="left" vertical="center" wrapText="1"/>
    </xf>
    <xf numFmtId="0" fontId="55" fillId="8" borderId="9" xfId="0" applyFont="1" applyFill="1" applyBorder="1" applyAlignment="1">
      <alignment horizontal="left" vertical="center"/>
    </xf>
    <xf numFmtId="0" fontId="55" fillId="8" borderId="110" xfId="0" applyFont="1" applyFill="1" applyBorder="1" applyAlignment="1">
      <alignment horizontal="left" vertical="center" wrapText="1"/>
    </xf>
    <xf numFmtId="0" fontId="59" fillId="7" borderId="123" xfId="0" applyFont="1" applyFill="1" applyBorder="1" applyAlignment="1">
      <alignment horizontal="left" vertical="center" wrapText="1"/>
    </xf>
    <xf numFmtId="0" fontId="51" fillId="26" borderId="124" xfId="0" applyFont="1" applyFill="1" applyBorder="1" applyAlignment="1">
      <alignment horizontal="left" vertical="center"/>
    </xf>
    <xf numFmtId="0" fontId="51" fillId="26" borderId="125" xfId="0" applyFont="1" applyFill="1" applyBorder="1" applyAlignment="1">
      <alignment horizontal="left" vertical="center" wrapText="1"/>
    </xf>
    <xf numFmtId="0" fontId="51" fillId="26" borderId="100" xfId="0" applyFont="1" applyFill="1" applyBorder="1" applyAlignment="1">
      <alignment horizontal="left" vertical="center"/>
    </xf>
    <xf numFmtId="0" fontId="51" fillId="26" borderId="127" xfId="0" applyFont="1" applyFill="1" applyBorder="1" applyAlignment="1">
      <alignment horizontal="left" vertical="center" wrapText="1"/>
    </xf>
    <xf numFmtId="0" fontId="51" fillId="26" borderId="9" xfId="0" applyFont="1" applyFill="1" applyBorder="1" applyAlignment="1">
      <alignment horizontal="left" vertical="center"/>
    </xf>
    <xf numFmtId="0" fontId="51" fillId="21" borderId="102" xfId="0" applyFont="1" applyFill="1" applyBorder="1" applyAlignment="1">
      <alignment horizontal="left" vertical="center"/>
    </xf>
    <xf numFmtId="0" fontId="51" fillId="21" borderId="103" xfId="0" applyFont="1" applyFill="1" applyBorder="1" applyAlignment="1">
      <alignment horizontal="left" vertical="center" wrapText="1"/>
    </xf>
    <xf numFmtId="0" fontId="51" fillId="21" borderId="100" xfId="0" applyFont="1" applyFill="1" applyBorder="1" applyAlignment="1">
      <alignment horizontal="left" vertical="center"/>
    </xf>
    <xf numFmtId="0" fontId="51" fillId="21" borderId="91" xfId="0" applyFont="1" applyFill="1" applyBorder="1" applyAlignment="1">
      <alignment horizontal="left" vertical="center" wrapText="1"/>
    </xf>
    <xf numFmtId="0" fontId="55" fillId="21" borderId="100" xfId="0" applyFont="1" applyFill="1" applyBorder="1" applyAlignment="1">
      <alignment horizontal="left" vertical="center"/>
    </xf>
    <xf numFmtId="0" fontId="55" fillId="21" borderId="91" xfId="0" applyFont="1" applyFill="1" applyBorder="1" applyAlignment="1">
      <alignment horizontal="left" vertical="center"/>
    </xf>
    <xf numFmtId="0" fontId="51" fillId="21" borderId="96" xfId="0" applyFont="1" applyFill="1" applyBorder="1" applyAlignment="1">
      <alignment horizontal="left" vertical="center"/>
    </xf>
    <xf numFmtId="0" fontId="51" fillId="11" borderId="145" xfId="0" applyFont="1" applyFill="1" applyBorder="1" applyAlignment="1">
      <alignment horizontal="left" vertical="center"/>
    </xf>
    <xf numFmtId="2" fontId="51" fillId="11" borderId="149" xfId="0" applyNumberFormat="1" applyFont="1" applyFill="1" applyBorder="1" applyAlignment="1">
      <alignment horizontal="left" vertical="center"/>
    </xf>
    <xf numFmtId="0" fontId="0" fillId="11" borderId="149" xfId="0" applyFill="1" applyBorder="1" applyAlignment="1">
      <alignment horizontal="left"/>
    </xf>
    <xf numFmtId="0" fontId="51" fillId="11" borderId="92" xfId="0" applyFont="1" applyFill="1" applyBorder="1" applyAlignment="1">
      <alignment horizontal="left" vertical="center"/>
    </xf>
    <xf numFmtId="0" fontId="0" fillId="19" borderId="149" xfId="0" applyFill="1" applyBorder="1" applyAlignment="1">
      <alignment horizontal="left"/>
    </xf>
    <xf numFmtId="0" fontId="0" fillId="19" borderId="170" xfId="0" applyFill="1" applyBorder="1" applyAlignment="1">
      <alignment horizontal="left"/>
    </xf>
    <xf numFmtId="0" fontId="58" fillId="7" borderId="73" xfId="0" applyFont="1" applyFill="1" applyBorder="1" applyAlignment="1">
      <alignment horizontal="left" vertical="center"/>
    </xf>
    <xf numFmtId="0" fontId="58" fillId="7" borderId="74" xfId="0" applyFont="1" applyFill="1" applyBorder="1" applyAlignment="1">
      <alignment horizontal="left" vertical="center" wrapText="1"/>
    </xf>
    <xf numFmtId="0" fontId="55" fillId="10" borderId="77" xfId="0" applyFont="1" applyFill="1" applyBorder="1" applyAlignment="1">
      <alignment horizontal="left"/>
    </xf>
    <xf numFmtId="0" fontId="55" fillId="10" borderId="103" xfId="0" applyFont="1" applyFill="1" applyBorder="1" applyAlignment="1">
      <alignment horizontal="left" vertical="center" wrapText="1"/>
    </xf>
    <xf numFmtId="0" fontId="55" fillId="10" borderId="96" xfId="0" applyFont="1" applyFill="1" applyBorder="1" applyAlignment="1">
      <alignment horizontal="left"/>
    </xf>
    <xf numFmtId="0" fontId="55" fillId="10" borderId="92" xfId="0" applyFont="1" applyFill="1" applyBorder="1" applyAlignment="1">
      <alignment horizontal="left" vertical="center" wrapText="1"/>
    </xf>
    <xf numFmtId="0" fontId="55" fillId="10" borderId="7" xfId="0" applyFont="1" applyFill="1" applyBorder="1" applyAlignment="1">
      <alignment horizontal="left"/>
    </xf>
    <xf numFmtId="164" fontId="55" fillId="10" borderId="91" xfId="0" applyNumberFormat="1" applyFont="1" applyFill="1" applyBorder="1" applyAlignment="1">
      <alignment horizontal="left" vertical="center" wrapText="1"/>
    </xf>
    <xf numFmtId="0" fontId="55" fillId="10" borderId="7" xfId="0" applyFont="1" applyFill="1" applyBorder="1" applyAlignment="1">
      <alignment horizontal="left" vertical="center"/>
    </xf>
    <xf numFmtId="165" fontId="55" fillId="10" borderId="91" xfId="0" applyNumberFormat="1" applyFont="1" applyFill="1" applyBorder="1" applyAlignment="1">
      <alignment horizontal="left" vertical="center" wrapText="1"/>
    </xf>
    <xf numFmtId="2" fontId="55" fillId="10" borderId="91" xfId="0" applyNumberFormat="1" applyFont="1" applyFill="1" applyBorder="1" applyAlignment="1">
      <alignment horizontal="left" vertical="center" wrapText="1"/>
    </xf>
    <xf numFmtId="0" fontId="55" fillId="10" borderId="9" xfId="0" applyFont="1" applyFill="1" applyBorder="1" applyAlignment="1">
      <alignment horizontal="left"/>
    </xf>
    <xf numFmtId="2" fontId="55" fillId="10" borderId="10" xfId="0" applyNumberFormat="1" applyFont="1" applyFill="1" applyBorder="1" applyAlignment="1">
      <alignment horizontal="left" vertical="center" wrapText="1"/>
    </xf>
    <xf numFmtId="0" fontId="55" fillId="22" borderId="77" xfId="0" applyFont="1" applyFill="1" applyBorder="1" applyAlignment="1">
      <alignment horizontal="left"/>
    </xf>
    <xf numFmtId="2" fontId="55" fillId="22" borderId="103" xfId="0" applyNumberFormat="1" applyFont="1" applyFill="1" applyBorder="1" applyAlignment="1">
      <alignment horizontal="left" vertical="center" wrapText="1"/>
    </xf>
    <xf numFmtId="0" fontId="55" fillId="22" borderId="7" xfId="0" applyFont="1" applyFill="1" applyBorder="1" applyAlignment="1">
      <alignment horizontal="left"/>
    </xf>
    <xf numFmtId="2" fontId="55" fillId="22" borderId="91" xfId="0" applyNumberFormat="1" applyFont="1" applyFill="1" applyBorder="1" applyAlignment="1">
      <alignment horizontal="left" vertical="center" wrapText="1"/>
    </xf>
    <xf numFmtId="11" fontId="55" fillId="22" borderId="91" xfId="0" applyNumberFormat="1" applyFont="1" applyFill="1" applyBorder="1" applyAlignment="1">
      <alignment horizontal="left" vertical="center" wrapText="1"/>
    </xf>
    <xf numFmtId="0" fontId="55" fillId="22" borderId="9" xfId="0" applyFont="1" applyFill="1" applyBorder="1" applyAlignment="1">
      <alignment horizontal="left"/>
    </xf>
    <xf numFmtId="168" fontId="55" fillId="22" borderId="10" xfId="0" applyNumberFormat="1" applyFont="1" applyFill="1" applyBorder="1" applyAlignment="1">
      <alignment horizontal="left" vertical="center" wrapText="1"/>
    </xf>
    <xf numFmtId="0" fontId="55" fillId="20" borderId="77" xfId="0" applyFont="1" applyFill="1" applyBorder="1" applyAlignment="1">
      <alignment horizontal="left"/>
    </xf>
    <xf numFmtId="0" fontId="55" fillId="20" borderId="103" xfId="0" applyFont="1" applyFill="1" applyBorder="1" applyAlignment="1">
      <alignment horizontal="left" vertical="center" wrapText="1"/>
    </xf>
    <xf numFmtId="0" fontId="55" fillId="20" borderId="7" xfId="0" applyFont="1" applyFill="1" applyBorder="1" applyAlignment="1">
      <alignment horizontal="left"/>
    </xf>
    <xf numFmtId="0" fontId="55" fillId="20" borderId="91" xfId="0" applyFont="1" applyFill="1" applyBorder="1" applyAlignment="1">
      <alignment horizontal="left" vertical="center" wrapText="1"/>
    </xf>
    <xf numFmtId="0" fontId="55" fillId="20" borderId="7" xfId="0" applyFont="1" applyFill="1" applyBorder="1" applyAlignment="1">
      <alignment horizontal="left" vertical="center"/>
    </xf>
    <xf numFmtId="0" fontId="55" fillId="20" borderId="9" xfId="0" applyFont="1" applyFill="1" applyBorder="1" applyAlignment="1">
      <alignment horizontal="left"/>
    </xf>
    <xf numFmtId="0" fontId="55" fillId="20" borderId="10" xfId="0" applyFont="1" applyFill="1" applyBorder="1" applyAlignment="1">
      <alignment horizontal="left" vertical="center" wrapText="1"/>
    </xf>
    <xf numFmtId="0" fontId="51" fillId="12" borderId="61" xfId="0" applyFont="1" applyFill="1" applyBorder="1" applyAlignment="1">
      <alignment horizontal="left" vertical="center"/>
    </xf>
    <xf numFmtId="0" fontId="51" fillId="12" borderId="103" xfId="0" applyFont="1" applyFill="1" applyBorder="1" applyAlignment="1">
      <alignment horizontal="left" vertical="center"/>
    </xf>
    <xf numFmtId="0" fontId="51" fillId="12" borderId="91" xfId="0" applyFont="1" applyFill="1" applyBorder="1" applyAlignment="1">
      <alignment horizontal="left" vertical="center"/>
    </xf>
    <xf numFmtId="0" fontId="51" fillId="12" borderId="100" xfId="0" applyFont="1" applyFill="1" applyBorder="1" applyAlignment="1">
      <alignment horizontal="left" vertical="center"/>
    </xf>
    <xf numFmtId="0" fontId="51" fillId="12" borderId="9" xfId="0" applyFont="1" applyFill="1" applyBorder="1" applyAlignment="1">
      <alignment horizontal="left" vertical="center"/>
    </xf>
    <xf numFmtId="0" fontId="58" fillId="7" borderId="43" xfId="0" applyFont="1" applyFill="1" applyBorder="1" applyAlignment="1">
      <alignment horizontal="left" vertical="center"/>
    </xf>
    <xf numFmtId="0" fontId="58" fillId="7" borderId="44" xfId="0" applyFont="1" applyFill="1" applyBorder="1" applyAlignment="1">
      <alignment horizontal="left" vertical="center" wrapText="1"/>
    </xf>
    <xf numFmtId="0" fontId="55" fillId="18" borderId="37" xfId="0" applyFont="1" applyFill="1" applyBorder="1" applyAlignment="1">
      <alignment horizontal="left" vertical="center"/>
    </xf>
    <xf numFmtId="0" fontId="55" fillId="18" borderId="92" xfId="0" applyFont="1" applyFill="1" applyBorder="1" applyAlignment="1">
      <alignment horizontal="left" vertical="center"/>
    </xf>
    <xf numFmtId="0" fontId="55" fillId="18" borderId="7" xfId="0" applyFont="1" applyFill="1" applyBorder="1" applyAlignment="1">
      <alignment horizontal="left" vertical="center"/>
    </xf>
    <xf numFmtId="0" fontId="55" fillId="18" borderId="91" xfId="0" applyFont="1" applyFill="1" applyBorder="1" applyAlignment="1">
      <alignment horizontal="left" vertical="center"/>
    </xf>
    <xf numFmtId="0" fontId="51" fillId="18" borderId="9" xfId="0" applyFont="1" applyFill="1" applyBorder="1" applyAlignment="1">
      <alignment horizontal="left" vertical="center"/>
    </xf>
    <xf numFmtId="0" fontId="51" fillId="18" borderId="10" xfId="0" applyFont="1" applyFill="1" applyBorder="1" applyAlignment="1">
      <alignment horizontal="left" vertical="center"/>
    </xf>
    <xf numFmtId="0" fontId="51" fillId="15" borderId="61" xfId="0" applyFont="1" applyFill="1" applyBorder="1" applyAlignment="1">
      <alignment horizontal="left" vertical="center"/>
    </xf>
    <xf numFmtId="0" fontId="51" fillId="15" borderId="103" xfId="0" applyFont="1" applyFill="1" applyBorder="1" applyAlignment="1">
      <alignment horizontal="left" vertical="center" wrapText="1"/>
    </xf>
    <xf numFmtId="0" fontId="51" fillId="15" borderId="7" xfId="0" applyFont="1" applyFill="1" applyBorder="1" applyAlignment="1">
      <alignment horizontal="left" vertical="center"/>
    </xf>
    <xf numFmtId="0" fontId="55" fillId="15" borderId="9" xfId="0" applyFont="1" applyFill="1" applyBorder="1" applyAlignment="1">
      <alignment horizontal="left" vertical="center" wrapText="1"/>
    </xf>
    <xf numFmtId="0" fontId="55" fillId="15" borderId="10" xfId="0" applyFont="1" applyFill="1" applyBorder="1" applyAlignment="1">
      <alignment horizontal="left" vertical="center" wrapText="1"/>
    </xf>
    <xf numFmtId="166" fontId="51" fillId="0" borderId="103" xfId="0" applyNumberFormat="1" applyFont="1" applyBorder="1" applyAlignment="1">
      <alignment horizontal="left" vertical="center" wrapText="1"/>
    </xf>
    <xf numFmtId="166" fontId="51" fillId="0" borderId="91" xfId="0" applyNumberFormat="1" applyFont="1" applyBorder="1" applyAlignment="1">
      <alignment horizontal="left" vertical="center" wrapText="1"/>
    </xf>
    <xf numFmtId="0" fontId="55" fillId="0" borderId="7" xfId="0" applyFont="1" applyBorder="1" applyAlignment="1">
      <alignment horizontal="left" vertical="center"/>
    </xf>
    <xf numFmtId="164" fontId="55" fillId="0" borderId="91" xfId="0" applyNumberFormat="1" applyFont="1" applyBorder="1" applyAlignment="1">
      <alignment horizontal="left" vertical="center"/>
    </xf>
    <xf numFmtId="2" fontId="51" fillId="0" borderId="91" xfId="0" applyNumberFormat="1" applyFont="1" applyBorder="1" applyAlignment="1">
      <alignment horizontal="left" vertical="center" wrapText="1"/>
    </xf>
    <xf numFmtId="0" fontId="51" fillId="0" borderId="10" xfId="0" applyFont="1" applyBorder="1" applyAlignment="1">
      <alignment horizontal="left" vertical="center"/>
    </xf>
    <xf numFmtId="0" fontId="55" fillId="9" borderId="96" xfId="0" applyFont="1" applyFill="1" applyBorder="1" applyAlignment="1">
      <alignment horizontal="left" vertical="center" wrapText="1"/>
    </xf>
    <xf numFmtId="164" fontId="55" fillId="9" borderId="92" xfId="0" applyNumberFormat="1" applyFont="1" applyFill="1" applyBorder="1" applyAlignment="1">
      <alignment horizontal="left" vertical="center" wrapText="1"/>
    </xf>
    <xf numFmtId="164" fontId="55" fillId="9" borderId="149" xfId="0" applyNumberFormat="1" applyFont="1" applyFill="1" applyBorder="1" applyAlignment="1">
      <alignment horizontal="left" vertical="center" wrapText="1"/>
    </xf>
    <xf numFmtId="0" fontId="55" fillId="9" borderId="100" xfId="0" applyFont="1" applyFill="1" applyBorder="1" applyAlignment="1">
      <alignment horizontal="left" vertical="center" wrapText="1"/>
    </xf>
    <xf numFmtId="165" fontId="55" fillId="9" borderId="149" xfId="0" applyNumberFormat="1" applyFont="1" applyFill="1" applyBorder="1" applyAlignment="1">
      <alignment horizontal="left" vertical="center" wrapText="1"/>
    </xf>
    <xf numFmtId="2" fontId="55" fillId="9" borderId="149" xfId="0" applyNumberFormat="1" applyFont="1" applyFill="1" applyBorder="1" applyAlignment="1">
      <alignment horizontal="left" vertical="center" wrapText="1"/>
    </xf>
    <xf numFmtId="166" fontId="55" fillId="9" borderId="149" xfId="0" applyNumberFormat="1" applyFont="1" applyFill="1" applyBorder="1" applyAlignment="1">
      <alignment horizontal="left" vertical="center" wrapText="1"/>
    </xf>
    <xf numFmtId="0" fontId="58" fillId="7" borderId="5" xfId="0" applyFont="1" applyFill="1" applyBorder="1" applyAlignment="1">
      <alignment horizontal="left" vertical="center" wrapText="1"/>
    </xf>
    <xf numFmtId="0" fontId="60" fillId="0" borderId="30" xfId="0" applyFont="1" applyBorder="1" applyAlignment="1">
      <alignment horizontal="left" vertical="center"/>
    </xf>
    <xf numFmtId="0" fontId="51" fillId="0" borderId="36" xfId="0" applyFont="1" applyBorder="1" applyAlignment="1">
      <alignment horizontal="left" vertical="center" wrapText="1"/>
    </xf>
    <xf numFmtId="0" fontId="53" fillId="8" borderId="61" xfId="0" applyFont="1" applyFill="1" applyBorder="1" applyAlignment="1">
      <alignment horizontal="left" vertical="center"/>
    </xf>
    <xf numFmtId="0" fontId="55" fillId="8" borderId="62" xfId="0" applyFont="1" applyFill="1" applyBorder="1" applyAlignment="1">
      <alignment horizontal="left" vertical="center" wrapText="1"/>
    </xf>
    <xf numFmtId="0" fontId="55" fillId="8" borderId="6" xfId="0" applyFont="1" applyFill="1" applyBorder="1" applyAlignment="1">
      <alignment horizontal="left" vertical="center" wrapText="1"/>
    </xf>
    <xf numFmtId="0" fontId="52" fillId="8" borderId="96" xfId="0" applyFont="1" applyFill="1" applyBorder="1" applyAlignment="1">
      <alignment horizontal="left" vertical="center"/>
    </xf>
    <xf numFmtId="0" fontId="55" fillId="8" borderId="92" xfId="0" applyFont="1" applyFill="1" applyBorder="1" applyAlignment="1">
      <alignment horizontal="left" vertical="center" wrapText="1"/>
    </xf>
    <xf numFmtId="0" fontId="55" fillId="8" borderId="100" xfId="0" applyFont="1" applyFill="1" applyBorder="1" applyAlignment="1">
      <alignment horizontal="left" vertical="center"/>
    </xf>
    <xf numFmtId="0" fontId="55" fillId="8" borderId="129" xfId="0" applyFont="1" applyFill="1" applyBorder="1" applyAlignment="1">
      <alignment horizontal="left" vertical="center" wrapText="1"/>
    </xf>
    <xf numFmtId="0" fontId="55" fillId="11" borderId="6" xfId="0" applyFont="1" applyFill="1" applyBorder="1" applyAlignment="1">
      <alignment horizontal="left" vertical="center" wrapText="1"/>
    </xf>
    <xf numFmtId="0" fontId="55" fillId="11" borderId="91" xfId="0" applyFont="1" applyFill="1" applyBorder="1" applyAlignment="1">
      <alignment horizontal="left" vertical="center" wrapText="1"/>
    </xf>
    <xf numFmtId="0" fontId="55" fillId="19" borderId="6" xfId="0" applyFont="1" applyFill="1" applyBorder="1" applyAlignment="1">
      <alignment horizontal="left" vertical="center" wrapText="1"/>
    </xf>
    <xf numFmtId="0" fontId="55" fillId="10" borderId="6" xfId="0" applyFont="1" applyFill="1" applyBorder="1" applyAlignment="1">
      <alignment horizontal="left" vertical="center" wrapText="1"/>
    </xf>
    <xf numFmtId="0" fontId="55" fillId="20" borderId="6" xfId="0" applyFont="1" applyFill="1" applyBorder="1" applyAlignment="1">
      <alignment horizontal="left" vertical="center" wrapText="1"/>
    </xf>
    <xf numFmtId="0" fontId="55" fillId="12" borderId="6" xfId="0" applyFont="1" applyFill="1" applyBorder="1" applyAlignment="1">
      <alignment horizontal="left" vertical="center" wrapText="1"/>
    </xf>
    <xf numFmtId="0" fontId="55" fillId="18" borderId="6" xfId="0" applyFont="1" applyFill="1" applyBorder="1" applyAlignment="1">
      <alignment horizontal="left" vertical="center" wrapText="1"/>
    </xf>
    <xf numFmtId="0" fontId="55" fillId="9" borderId="6" xfId="0" applyFont="1" applyFill="1" applyBorder="1" applyAlignment="1">
      <alignment horizontal="left" vertical="center" wrapText="1"/>
    </xf>
    <xf numFmtId="0" fontId="55" fillId="16" borderId="6" xfId="0" applyFont="1" applyFill="1" applyBorder="1" applyAlignment="1">
      <alignment horizontal="left" vertical="center" wrapText="1"/>
    </xf>
    <xf numFmtId="0" fontId="51" fillId="0" borderId="30" xfId="0" applyFont="1" applyBorder="1" applyAlignment="1">
      <alignment horizontal="left" vertical="center"/>
    </xf>
    <xf numFmtId="0" fontId="51" fillId="8" borderId="77" xfId="0" applyFont="1" applyFill="1" applyBorder="1" applyAlignment="1">
      <alignment horizontal="left" vertical="center"/>
    </xf>
    <xf numFmtId="0" fontId="51" fillId="8" borderId="103" xfId="0" applyFont="1" applyFill="1" applyBorder="1" applyAlignment="1">
      <alignment horizontal="left" vertical="center" wrapText="1"/>
    </xf>
    <xf numFmtId="0" fontId="51" fillId="8" borderId="131" xfId="0" applyFont="1" applyFill="1" applyBorder="1" applyAlignment="1">
      <alignment horizontal="left" vertical="center" wrapText="1"/>
    </xf>
    <xf numFmtId="0" fontId="51" fillId="26" borderId="131" xfId="0" applyFont="1" applyFill="1" applyBorder="1" applyAlignment="1">
      <alignment horizontal="left" vertical="center" wrapText="1"/>
    </xf>
    <xf numFmtId="0" fontId="51" fillId="11" borderId="91" xfId="0" applyFont="1" applyFill="1" applyBorder="1" applyAlignment="1">
      <alignment horizontal="left" vertical="center" wrapText="1"/>
    </xf>
    <xf numFmtId="0" fontId="51" fillId="10" borderId="96" xfId="0" applyFont="1" applyFill="1" applyBorder="1" applyAlignment="1">
      <alignment horizontal="left" vertical="center"/>
    </xf>
    <xf numFmtId="0" fontId="51" fillId="10" borderId="91" xfId="0" applyFont="1" applyFill="1" applyBorder="1" applyAlignment="1">
      <alignment horizontal="left" vertical="center" wrapText="1"/>
    </xf>
    <xf numFmtId="0" fontId="51" fillId="20" borderId="7" xfId="0" applyFont="1" applyFill="1" applyBorder="1" applyAlignment="1">
      <alignment horizontal="left" vertical="center" wrapText="1"/>
    </xf>
    <xf numFmtId="0" fontId="51" fillId="20" borderId="91" xfId="0" applyFont="1" applyFill="1" applyBorder="1" applyAlignment="1">
      <alignment horizontal="left" vertical="center" wrapText="1"/>
    </xf>
    <xf numFmtId="0" fontId="51" fillId="12" borderId="91" xfId="0" applyFont="1" applyFill="1" applyBorder="1" applyAlignment="1">
      <alignment horizontal="left" vertical="center" wrapText="1"/>
    </xf>
    <xf numFmtId="0" fontId="51" fillId="18" borderId="10" xfId="0" applyFont="1" applyFill="1" applyBorder="1" applyAlignment="1">
      <alignment horizontal="left" vertical="center" wrapText="1"/>
    </xf>
    <xf numFmtId="0" fontId="58" fillId="7" borderId="40" xfId="0" applyFont="1" applyFill="1" applyBorder="1" applyAlignment="1">
      <alignment horizontal="left" vertical="center" wrapText="1"/>
    </xf>
    <xf numFmtId="0" fontId="59" fillId="7" borderId="46" xfId="0" applyFont="1" applyFill="1" applyBorder="1" applyAlignment="1">
      <alignment horizontal="left" vertical="center"/>
    </xf>
    <xf numFmtId="0" fontId="59" fillId="7" borderId="47" xfId="0" applyFont="1" applyFill="1" applyBorder="1" applyAlignment="1">
      <alignment horizontal="left" vertical="center" wrapText="1"/>
    </xf>
    <xf numFmtId="166" fontId="51" fillId="24" borderId="91" xfId="0" applyNumberFormat="1" applyFont="1" applyFill="1" applyBorder="1" applyAlignment="1">
      <alignment horizontal="left" vertical="center" wrapText="1"/>
    </xf>
    <xf numFmtId="0" fontId="51" fillId="24" borderId="100" xfId="0" applyFont="1" applyFill="1" applyBorder="1" applyAlignment="1">
      <alignment horizontal="left" vertical="center" wrapText="1"/>
    </xf>
    <xf numFmtId="166" fontId="51" fillId="24" borderId="131" xfId="0" applyNumberFormat="1" applyFont="1" applyFill="1" applyBorder="1" applyAlignment="1">
      <alignment horizontal="left" vertical="center" wrapText="1"/>
    </xf>
    <xf numFmtId="166" fontId="51" fillId="24" borderId="91" xfId="0" applyNumberFormat="1" applyFont="1" applyFill="1" applyBorder="1" applyAlignment="1">
      <alignment horizontal="left" vertical="center"/>
    </xf>
    <xf numFmtId="0" fontId="51" fillId="0" borderId="62" xfId="0" applyFont="1" applyBorder="1" applyAlignment="1">
      <alignment horizontal="left" vertical="center"/>
    </xf>
    <xf numFmtId="0" fontId="51" fillId="0" borderId="106" xfId="0" applyFont="1" applyBorder="1" applyAlignment="1">
      <alignment horizontal="left" vertical="center"/>
    </xf>
    <xf numFmtId="0" fontId="59" fillId="7" borderId="56" xfId="0" applyFont="1" applyFill="1" applyBorder="1" applyAlignment="1">
      <alignment horizontal="left" vertical="center"/>
    </xf>
    <xf numFmtId="0" fontId="59" fillId="7" borderId="57" xfId="0" applyFont="1" applyFill="1" applyBorder="1" applyAlignment="1">
      <alignment horizontal="left" vertical="center" wrapText="1"/>
    </xf>
    <xf numFmtId="0" fontId="51" fillId="0" borderId="82" xfId="0" applyFont="1" applyBorder="1" applyAlignment="1">
      <alignment horizontal="left" vertical="center"/>
    </xf>
    <xf numFmtId="0" fontId="58" fillId="7" borderId="134" xfId="0" applyFont="1" applyFill="1" applyBorder="1" applyAlignment="1">
      <alignment horizontal="left" vertical="center" wrapText="1"/>
    </xf>
    <xf numFmtId="0" fontId="51" fillId="8" borderId="6" xfId="0" applyFont="1" applyFill="1" applyBorder="1" applyAlignment="1">
      <alignment horizontal="left" vertical="center" wrapText="1"/>
    </xf>
    <xf numFmtId="0" fontId="51" fillId="8" borderId="8" xfId="0" applyFont="1" applyFill="1" applyBorder="1" applyAlignment="1">
      <alignment horizontal="left" vertical="center" wrapText="1"/>
    </xf>
    <xf numFmtId="0" fontId="51" fillId="8" borderId="70" xfId="0" applyFont="1" applyFill="1" applyBorder="1" applyAlignment="1">
      <alignment horizontal="left" vertical="center" wrapText="1"/>
    </xf>
    <xf numFmtId="0" fontId="55" fillId="8" borderId="10" xfId="0" applyFont="1" applyFill="1" applyBorder="1" applyAlignment="1">
      <alignment horizontal="left" vertical="center" wrapText="1"/>
    </xf>
    <xf numFmtId="0" fontId="55" fillId="8" borderId="71" xfId="0" applyFont="1" applyFill="1" applyBorder="1" applyAlignment="1">
      <alignment horizontal="left"/>
    </xf>
    <xf numFmtId="0" fontId="51" fillId="26" borderId="126" xfId="0" applyFont="1" applyFill="1" applyBorder="1" applyAlignment="1">
      <alignment horizontal="left" vertical="center" wrapText="1"/>
    </xf>
    <xf numFmtId="0" fontId="51" fillId="26" borderId="128" xfId="0" applyFont="1" applyFill="1" applyBorder="1" applyAlignment="1">
      <alignment horizontal="left" vertical="center" wrapText="1"/>
    </xf>
    <xf numFmtId="0" fontId="51" fillId="26" borderId="148" xfId="0" applyFont="1" applyFill="1" applyBorder="1" applyAlignment="1">
      <alignment horizontal="left" vertical="center" wrapText="1"/>
    </xf>
    <xf numFmtId="0" fontId="51" fillId="26" borderId="71" xfId="0" applyFont="1" applyFill="1" applyBorder="1" applyAlignment="1">
      <alignment horizontal="left" vertical="center" wrapText="1"/>
    </xf>
    <xf numFmtId="0" fontId="59" fillId="7" borderId="52" xfId="0" applyFont="1" applyFill="1" applyBorder="1" applyAlignment="1">
      <alignment horizontal="left" vertical="center" wrapText="1"/>
    </xf>
    <xf numFmtId="0" fontId="51" fillId="21" borderId="104" xfId="0" applyFont="1" applyFill="1" applyBorder="1" applyAlignment="1">
      <alignment horizontal="left" vertical="center" wrapText="1"/>
    </xf>
    <xf numFmtId="0" fontId="51" fillId="21" borderId="101" xfId="0" applyFont="1" applyFill="1" applyBorder="1" applyAlignment="1">
      <alignment horizontal="left" vertical="center" wrapText="1"/>
    </xf>
    <xf numFmtId="0" fontId="55" fillId="21" borderId="91" xfId="0" applyFont="1" applyFill="1" applyBorder="1" applyAlignment="1">
      <alignment horizontal="left" vertical="center" wrapText="1"/>
    </xf>
    <xf numFmtId="0" fontId="55" fillId="21" borderId="101" xfId="0" applyFont="1" applyFill="1" applyBorder="1" applyAlignment="1">
      <alignment horizontal="left" vertical="center" wrapText="1"/>
    </xf>
    <xf numFmtId="0" fontId="51" fillId="21" borderId="92" xfId="0" applyFont="1" applyFill="1" applyBorder="1" applyAlignment="1">
      <alignment horizontal="left" vertical="center" wrapText="1"/>
    </xf>
    <xf numFmtId="0" fontId="51" fillId="21" borderId="97" xfId="0" applyFont="1" applyFill="1" applyBorder="1" applyAlignment="1">
      <alignment horizontal="left" vertical="center" wrapText="1"/>
    </xf>
    <xf numFmtId="0" fontId="51" fillId="11" borderId="146" xfId="0" applyFont="1" applyFill="1" applyBorder="1" applyAlignment="1">
      <alignment horizontal="left" vertical="center" wrapText="1"/>
    </xf>
    <xf numFmtId="0" fontId="51" fillId="11" borderId="147" xfId="0" applyFont="1" applyFill="1" applyBorder="1" applyAlignment="1">
      <alignment horizontal="left" vertical="center" wrapText="1"/>
    </xf>
    <xf numFmtId="0" fontId="51" fillId="11" borderId="97" xfId="0" applyFont="1" applyFill="1" applyBorder="1" applyAlignment="1">
      <alignment horizontal="left" vertical="center" wrapText="1"/>
    </xf>
    <xf numFmtId="0" fontId="51" fillId="11" borderId="148" xfId="0" applyFont="1" applyFill="1" applyBorder="1" applyAlignment="1">
      <alignment horizontal="left" vertical="center" wrapText="1"/>
    </xf>
    <xf numFmtId="0" fontId="51" fillId="11" borderId="110" xfId="0" applyFont="1" applyFill="1" applyBorder="1" applyAlignment="1">
      <alignment horizontal="left" vertical="center" wrapText="1"/>
    </xf>
    <xf numFmtId="0" fontId="51" fillId="19" borderId="148" xfId="0" applyFont="1" applyFill="1" applyBorder="1" applyAlignment="1">
      <alignment horizontal="left" vertical="center" wrapText="1"/>
    </xf>
    <xf numFmtId="0" fontId="51" fillId="19" borderId="151" xfId="0" applyFont="1" applyFill="1" applyBorder="1" applyAlignment="1">
      <alignment horizontal="left" vertical="center" wrapText="1"/>
    </xf>
    <xf numFmtId="0" fontId="51" fillId="19" borderId="95" xfId="0" applyFont="1" applyFill="1" applyBorder="1" applyAlignment="1">
      <alignment horizontal="left" vertical="center" wrapText="1"/>
    </xf>
    <xf numFmtId="0" fontId="51" fillId="19" borderId="13" xfId="0" applyFont="1" applyFill="1" applyBorder="1" applyAlignment="1">
      <alignment horizontal="left" vertical="center" wrapText="1"/>
    </xf>
    <xf numFmtId="0" fontId="51" fillId="19" borderId="170" xfId="0" applyFont="1" applyFill="1" applyBorder="1" applyAlignment="1">
      <alignment horizontal="left" vertical="center" wrapText="1"/>
    </xf>
    <xf numFmtId="0" fontId="37" fillId="7" borderId="74" xfId="0" applyFont="1" applyFill="1" applyBorder="1" applyAlignment="1">
      <alignment horizontal="left" vertical="center" wrapText="1"/>
    </xf>
    <xf numFmtId="0" fontId="55" fillId="10" borderId="78" xfId="0" applyFont="1" applyFill="1" applyBorder="1" applyAlignment="1">
      <alignment horizontal="left" vertical="center" wrapText="1"/>
    </xf>
    <xf numFmtId="0" fontId="55" fillId="10" borderId="79" xfId="0" applyFont="1" applyFill="1" applyBorder="1" applyAlignment="1">
      <alignment horizontal="left" vertical="center" wrapText="1"/>
    </xf>
    <xf numFmtId="0" fontId="55" fillId="10" borderId="97" xfId="0" applyFont="1" applyFill="1" applyBorder="1" applyAlignment="1">
      <alignment horizontal="left" vertical="center" wrapText="1"/>
    </xf>
    <xf numFmtId="0" fontId="55" fillId="10" borderId="8" xfId="0" applyFont="1" applyFill="1" applyBorder="1" applyAlignment="1">
      <alignment horizontal="left" vertical="center" wrapText="1"/>
    </xf>
    <xf numFmtId="0" fontId="51" fillId="10" borderId="148" xfId="0" applyFont="1" applyFill="1" applyBorder="1" applyAlignment="1">
      <alignment horizontal="left" vertical="center" wrapText="1"/>
    </xf>
    <xf numFmtId="0" fontId="51" fillId="10" borderId="99" xfId="0" applyFont="1" applyFill="1" applyBorder="1" applyAlignment="1">
      <alignment horizontal="left" vertical="center" wrapText="1"/>
    </xf>
    <xf numFmtId="0" fontId="55" fillId="10" borderId="10" xfId="0" applyFont="1" applyFill="1" applyBorder="1" applyAlignment="1">
      <alignment horizontal="left" vertical="center" wrapText="1"/>
    </xf>
    <xf numFmtId="0" fontId="55" fillId="10" borderId="11" xfId="0" applyFont="1" applyFill="1" applyBorder="1" applyAlignment="1">
      <alignment horizontal="left" vertical="center" wrapText="1"/>
    </xf>
    <xf numFmtId="0" fontId="55" fillId="22" borderId="78" xfId="0" applyFont="1" applyFill="1" applyBorder="1" applyAlignment="1">
      <alignment horizontal="left" vertical="center" wrapText="1"/>
    </xf>
    <xf numFmtId="0" fontId="55" fillId="22" borderId="79" xfId="0" applyFont="1" applyFill="1" applyBorder="1" applyAlignment="1">
      <alignment horizontal="left" vertical="center" wrapText="1"/>
    </xf>
    <xf numFmtId="0" fontId="55" fillId="22" borderId="6" xfId="0" applyFont="1" applyFill="1" applyBorder="1" applyAlignment="1">
      <alignment horizontal="left" vertical="center" wrapText="1"/>
    </xf>
    <xf numFmtId="0" fontId="55" fillId="22" borderId="8" xfId="0" applyFont="1" applyFill="1" applyBorder="1" applyAlignment="1">
      <alignment horizontal="left" vertical="center" wrapText="1"/>
    </xf>
    <xf numFmtId="0" fontId="55" fillId="22" borderId="99" xfId="0" applyFont="1" applyFill="1" applyBorder="1" applyAlignment="1">
      <alignment horizontal="left" vertical="center" wrapText="1"/>
    </xf>
    <xf numFmtId="0" fontId="55" fillId="22" borderId="10" xfId="0" applyFont="1" applyFill="1" applyBorder="1" applyAlignment="1">
      <alignment horizontal="left" vertical="center" wrapText="1"/>
    </xf>
    <xf numFmtId="0" fontId="55" fillId="22" borderId="11" xfId="0" applyFont="1" applyFill="1" applyBorder="1" applyAlignment="1">
      <alignment horizontal="left" vertical="center" wrapText="1"/>
    </xf>
    <xf numFmtId="0" fontId="37" fillId="7" borderId="75" xfId="0" applyFont="1" applyFill="1" applyBorder="1" applyAlignment="1">
      <alignment horizontal="left" vertical="center" wrapText="1"/>
    </xf>
    <xf numFmtId="0" fontId="55" fillId="20" borderId="78" xfId="0" applyFont="1" applyFill="1" applyBorder="1" applyAlignment="1">
      <alignment horizontal="left" vertical="center" wrapText="1"/>
    </xf>
    <xf numFmtId="0" fontId="58" fillId="20" borderId="79" xfId="0" applyFont="1" applyFill="1" applyBorder="1" applyAlignment="1">
      <alignment horizontal="left" vertical="center"/>
    </xf>
    <xf numFmtId="0" fontId="58" fillId="20" borderId="8" xfId="0" applyFont="1" applyFill="1" applyBorder="1" applyAlignment="1">
      <alignment horizontal="left" vertical="center"/>
    </xf>
    <xf numFmtId="0" fontId="58" fillId="20" borderId="148" xfId="0" applyFont="1" applyFill="1" applyBorder="1" applyAlignment="1">
      <alignment horizontal="left" vertical="center"/>
    </xf>
    <xf numFmtId="0" fontId="58" fillId="20" borderId="11" xfId="0" applyFont="1" applyFill="1" applyBorder="1" applyAlignment="1">
      <alignment horizontal="left" vertical="center"/>
    </xf>
    <xf numFmtId="0" fontId="51" fillId="12" borderId="62" xfId="0" applyFont="1" applyFill="1" applyBorder="1" applyAlignment="1">
      <alignment horizontal="left" vertical="center"/>
    </xf>
    <xf numFmtId="0" fontId="51" fillId="12" borderId="63" xfId="0" applyFont="1" applyFill="1" applyBorder="1" applyAlignment="1">
      <alignment horizontal="left" vertical="center"/>
    </xf>
    <xf numFmtId="0" fontId="37" fillId="7" borderId="44" xfId="0" applyFont="1" applyFill="1" applyBorder="1" applyAlignment="1">
      <alignment horizontal="left" vertical="center" wrapText="1"/>
    </xf>
    <xf numFmtId="0" fontId="37" fillId="7" borderId="45" xfId="0" applyFont="1" applyFill="1" applyBorder="1" applyAlignment="1">
      <alignment horizontal="left" vertical="center" wrapText="1"/>
    </xf>
    <xf numFmtId="0" fontId="55" fillId="18" borderId="15" xfId="0" applyFont="1" applyFill="1" applyBorder="1" applyAlignment="1">
      <alignment horizontal="left" vertical="center"/>
    </xf>
    <xf numFmtId="0" fontId="55" fillId="18" borderId="38" xfId="0" applyFont="1" applyFill="1" applyBorder="1" applyAlignment="1">
      <alignment horizontal="left" vertical="center"/>
    </xf>
    <xf numFmtId="0" fontId="55" fillId="18" borderId="6" xfId="0" applyFont="1" applyFill="1" applyBorder="1" applyAlignment="1">
      <alignment horizontal="left" vertical="center"/>
    </xf>
    <xf numFmtId="0" fontId="55" fillId="18" borderId="8" xfId="0" applyFont="1" applyFill="1" applyBorder="1" applyAlignment="1">
      <alignment horizontal="left" vertical="center"/>
    </xf>
    <xf numFmtId="0" fontId="51" fillId="18" borderId="11" xfId="0" applyFont="1" applyFill="1" applyBorder="1" applyAlignment="1">
      <alignment horizontal="left" vertical="center"/>
    </xf>
    <xf numFmtId="0" fontId="51" fillId="15" borderId="62" xfId="0" applyFont="1" applyFill="1" applyBorder="1" applyAlignment="1">
      <alignment horizontal="left" vertical="center"/>
    </xf>
    <xf numFmtId="0" fontId="51" fillId="15" borderId="6" xfId="0" applyFont="1" applyFill="1" applyBorder="1" applyAlignment="1">
      <alignment horizontal="left" vertical="center"/>
    </xf>
    <xf numFmtId="0" fontId="51" fillId="15" borderId="6" xfId="0" applyFont="1" applyFill="1" applyBorder="1" applyAlignment="1">
      <alignment horizontal="left"/>
    </xf>
    <xf numFmtId="0" fontId="51" fillId="15" borderId="91" xfId="0" applyFont="1" applyFill="1" applyBorder="1" applyAlignment="1">
      <alignment horizontal="left"/>
    </xf>
    <xf numFmtId="0" fontId="51" fillId="15" borderId="148" xfId="0" applyFont="1" applyFill="1" applyBorder="1" applyAlignment="1">
      <alignment horizontal="left" vertical="center"/>
    </xf>
    <xf numFmtId="0" fontId="55" fillId="15" borderId="6" xfId="0" applyFont="1" applyFill="1" applyBorder="1" applyAlignment="1">
      <alignment horizontal="left" vertical="center" wrapText="1"/>
    </xf>
    <xf numFmtId="0" fontId="51" fillId="7" borderId="146" xfId="0" applyFont="1" applyFill="1" applyBorder="1" applyAlignment="1">
      <alignment horizontal="left" vertical="center"/>
    </xf>
    <xf numFmtId="0" fontId="55" fillId="7" borderId="149" xfId="0" applyFont="1" applyFill="1" applyBorder="1" applyAlignment="1">
      <alignment horizontal="left" vertical="center" wrapText="1"/>
    </xf>
    <xf numFmtId="0" fontId="51" fillId="7" borderId="110" xfId="0" applyFont="1" applyFill="1" applyBorder="1" applyAlignment="1">
      <alignment horizontal="left" vertical="center"/>
    </xf>
    <xf numFmtId="0" fontId="51" fillId="0" borderId="62" xfId="0" applyFont="1" applyBorder="1" applyAlignment="1">
      <alignment horizontal="left" vertical="center" wrapText="1"/>
    </xf>
    <xf numFmtId="0" fontId="51" fillId="0" borderId="63" xfId="0" applyFont="1" applyBorder="1" applyAlignment="1">
      <alignment horizontal="left" vertical="center" wrapText="1"/>
    </xf>
    <xf numFmtId="0" fontId="51" fillId="0" borderId="6" xfId="0" applyFont="1" applyBorder="1" applyAlignment="1">
      <alignment horizontal="left" vertical="center" wrapText="1"/>
    </xf>
    <xf numFmtId="0" fontId="51" fillId="0" borderId="8" xfId="0" applyFont="1" applyBorder="1" applyAlignment="1">
      <alignment horizontal="left" vertical="center" wrapText="1"/>
    </xf>
    <xf numFmtId="0" fontId="55" fillId="0" borderId="6" xfId="0" applyFont="1" applyBorder="1" applyAlignment="1">
      <alignment horizontal="left" vertical="center"/>
    </xf>
    <xf numFmtId="0" fontId="55" fillId="0" borderId="8" xfId="0" applyFont="1" applyBorder="1" applyAlignment="1">
      <alignment horizontal="left" vertical="center"/>
    </xf>
    <xf numFmtId="0" fontId="51" fillId="0" borderId="11" xfId="0" applyFont="1" applyBorder="1" applyAlignment="1">
      <alignment horizontal="left" vertical="center"/>
    </xf>
    <xf numFmtId="0" fontId="55" fillId="9" borderId="146" xfId="0" applyFont="1" applyFill="1" applyBorder="1" applyAlignment="1">
      <alignment horizontal="left" vertical="center" wrapText="1"/>
    </xf>
    <xf numFmtId="0" fontId="55" fillId="9" borderId="147" xfId="0" applyFont="1" applyFill="1" applyBorder="1" applyAlignment="1">
      <alignment horizontal="left" vertical="center" wrapText="1"/>
    </xf>
    <xf numFmtId="0" fontId="55" fillId="9" borderId="92" xfId="0" applyFont="1" applyFill="1" applyBorder="1" applyAlignment="1">
      <alignment horizontal="left" vertical="center" wrapText="1"/>
    </xf>
    <xf numFmtId="0" fontId="55" fillId="9" borderId="97" xfId="0" applyFont="1" applyFill="1" applyBorder="1" applyAlignment="1">
      <alignment horizontal="left" vertical="center" wrapText="1"/>
    </xf>
    <xf numFmtId="0" fontId="55" fillId="9" borderId="149" xfId="0" applyFont="1" applyFill="1" applyBorder="1" applyAlignment="1">
      <alignment horizontal="left" vertical="center" wrapText="1"/>
    </xf>
    <xf numFmtId="0" fontId="55" fillId="9" borderId="148" xfId="0" applyFont="1" applyFill="1" applyBorder="1" applyAlignment="1">
      <alignment horizontal="left" vertical="center" wrapText="1"/>
    </xf>
    <xf numFmtId="0" fontId="59" fillId="0" borderId="39" xfId="0" applyFont="1" applyBorder="1" applyAlignment="1">
      <alignment horizontal="left" vertical="center"/>
    </xf>
    <xf numFmtId="0" fontId="58" fillId="8" borderId="63" xfId="0" applyFont="1" applyFill="1" applyBorder="1" applyAlignment="1">
      <alignment horizontal="left" vertical="center"/>
    </xf>
    <xf numFmtId="0" fontId="58" fillId="8" borderId="8" xfId="0" applyFont="1" applyFill="1" applyBorder="1" applyAlignment="1">
      <alignment horizontal="left" vertical="center"/>
    </xf>
    <xf numFmtId="0" fontId="58" fillId="8" borderId="97" xfId="0" applyFont="1" applyFill="1" applyBorder="1" applyAlignment="1">
      <alignment horizontal="left" vertical="center"/>
    </xf>
    <xf numFmtId="0" fontId="58" fillId="8" borderId="130" xfId="0" applyFont="1" applyFill="1" applyBorder="1" applyAlignment="1">
      <alignment horizontal="left" vertical="center"/>
    </xf>
    <xf numFmtId="0" fontId="58" fillId="11" borderId="8" xfId="0" applyFont="1" applyFill="1" applyBorder="1" applyAlignment="1">
      <alignment horizontal="left" vertical="center"/>
    </xf>
    <xf numFmtId="0" fontId="58" fillId="11" borderId="101" xfId="0" applyFont="1" applyFill="1" applyBorder="1" applyAlignment="1">
      <alignment horizontal="left" vertical="center"/>
    </xf>
    <xf numFmtId="0" fontId="58" fillId="11" borderId="148" xfId="0" applyFont="1" applyFill="1" applyBorder="1" applyAlignment="1">
      <alignment horizontal="left" vertical="center"/>
    </xf>
    <xf numFmtId="0" fontId="58" fillId="19" borderId="8" xfId="0" applyFont="1" applyFill="1" applyBorder="1" applyAlignment="1">
      <alignment horizontal="left" vertical="center"/>
    </xf>
    <xf numFmtId="0" fontId="58" fillId="10" borderId="8" xfId="0" applyFont="1" applyFill="1" applyBorder="1" applyAlignment="1">
      <alignment horizontal="left" vertical="center"/>
    </xf>
    <xf numFmtId="0" fontId="58" fillId="12" borderId="8" xfId="0" applyFont="1" applyFill="1" applyBorder="1" applyAlignment="1">
      <alignment horizontal="left" vertical="center"/>
    </xf>
    <xf numFmtId="0" fontId="58" fillId="18" borderId="8" xfId="0" applyFont="1" applyFill="1" applyBorder="1" applyAlignment="1">
      <alignment horizontal="left" vertical="center"/>
    </xf>
    <xf numFmtId="0" fontId="58" fillId="9" borderId="8" xfId="0" applyFont="1" applyFill="1" applyBorder="1" applyAlignment="1">
      <alignment horizontal="left" vertical="center"/>
    </xf>
    <xf numFmtId="0" fontId="58" fillId="16" borderId="8" xfId="0" applyFont="1" applyFill="1" applyBorder="1" applyAlignment="1">
      <alignment horizontal="left" vertical="center"/>
    </xf>
    <xf numFmtId="0" fontId="51" fillId="0" borderId="39" xfId="0" applyFont="1" applyBorder="1" applyAlignment="1">
      <alignment horizontal="left" vertical="center" wrapText="1"/>
    </xf>
    <xf numFmtId="0" fontId="51" fillId="8" borderId="78" xfId="0" applyFont="1" applyFill="1" applyBorder="1" applyAlignment="1">
      <alignment horizontal="left" vertical="center" wrapText="1"/>
    </xf>
    <xf numFmtId="0" fontId="51" fillId="8" borderId="79" xfId="0" applyFont="1" applyFill="1" applyBorder="1" applyAlignment="1">
      <alignment horizontal="left" vertical="center" wrapText="1"/>
    </xf>
    <xf numFmtId="0" fontId="51" fillId="26" borderId="132" xfId="0" applyFont="1" applyFill="1" applyBorder="1" applyAlignment="1">
      <alignment horizontal="left" vertical="center" wrapText="1"/>
    </xf>
    <xf numFmtId="0" fontId="51" fillId="11" borderId="6" xfId="0" applyFont="1" applyFill="1" applyBorder="1" applyAlignment="1">
      <alignment horizontal="left" vertical="center" wrapText="1"/>
    </xf>
    <xf numFmtId="0" fontId="51" fillId="11" borderId="8" xfId="0" applyFont="1" applyFill="1" applyBorder="1" applyAlignment="1">
      <alignment horizontal="left" vertical="center" wrapText="1"/>
    </xf>
    <xf numFmtId="0" fontId="51" fillId="11" borderId="101" xfId="0" applyFont="1" applyFill="1" applyBorder="1" applyAlignment="1">
      <alignment horizontal="left" vertical="center" wrapText="1"/>
    </xf>
    <xf numFmtId="0" fontId="51" fillId="19" borderId="6" xfId="0" applyFont="1" applyFill="1" applyBorder="1" applyAlignment="1">
      <alignment horizontal="left" vertical="center" wrapText="1"/>
    </xf>
    <xf numFmtId="0" fontId="51" fillId="19" borderId="8" xfId="0" applyFont="1" applyFill="1" applyBorder="1" applyAlignment="1">
      <alignment horizontal="left" vertical="center" wrapText="1"/>
    </xf>
    <xf numFmtId="0" fontId="51" fillId="10" borderId="92" xfId="0" applyFont="1" applyFill="1" applyBorder="1" applyAlignment="1">
      <alignment horizontal="left" vertical="center" wrapText="1"/>
    </xf>
    <xf numFmtId="0" fontId="51" fillId="10" borderId="97" xfId="0" applyFont="1" applyFill="1" applyBorder="1" applyAlignment="1">
      <alignment horizontal="left" vertical="center" wrapText="1"/>
    </xf>
    <xf numFmtId="0" fontId="51" fillId="10" borderId="8" xfId="0" applyFont="1" applyFill="1" applyBorder="1" applyAlignment="1">
      <alignment horizontal="left" vertical="center" wrapText="1"/>
    </xf>
    <xf numFmtId="0" fontId="59" fillId="20" borderId="6" xfId="0" applyFont="1" applyFill="1" applyBorder="1" applyAlignment="1">
      <alignment horizontal="left" vertical="center"/>
    </xf>
    <xf numFmtId="0" fontId="59" fillId="20" borderId="8" xfId="0" applyFont="1" applyFill="1" applyBorder="1" applyAlignment="1">
      <alignment horizontal="left" vertical="center"/>
    </xf>
    <xf numFmtId="0" fontId="51" fillId="12" borderId="8" xfId="0" applyFont="1" applyFill="1" applyBorder="1" applyAlignment="1">
      <alignment horizontal="left" vertical="center" wrapText="1"/>
    </xf>
    <xf numFmtId="0" fontId="51" fillId="18" borderId="11" xfId="0" applyFont="1" applyFill="1" applyBorder="1" applyAlignment="1">
      <alignment horizontal="left" vertical="center" wrapText="1"/>
    </xf>
    <xf numFmtId="0" fontId="59" fillId="7" borderId="48" xfId="0" applyFont="1" applyFill="1" applyBorder="1" applyAlignment="1">
      <alignment horizontal="left" vertical="center" wrapText="1"/>
    </xf>
    <xf numFmtId="0" fontId="51" fillId="0" borderId="15" xfId="0" applyFont="1" applyBorder="1" applyAlignment="1">
      <alignment horizontal="left" vertical="center" wrapText="1"/>
    </xf>
    <xf numFmtId="0" fontId="51" fillId="0" borderId="38" xfId="0" applyFont="1" applyBorder="1" applyAlignment="1">
      <alignment horizontal="left" vertical="center" wrapText="1"/>
    </xf>
    <xf numFmtId="0" fontId="51" fillId="0" borderId="97" xfId="0" applyFont="1" applyBorder="1" applyAlignment="1">
      <alignment horizontal="left" vertical="center" wrapText="1"/>
    </xf>
    <xf numFmtId="0" fontId="51" fillId="9" borderId="101" xfId="0" applyFont="1" applyFill="1" applyBorder="1" applyAlignment="1">
      <alignment horizontal="left" vertical="center" wrapText="1"/>
    </xf>
    <xf numFmtId="0" fontId="51" fillId="24" borderId="91" xfId="0" applyFont="1" applyFill="1" applyBorder="1" applyAlignment="1">
      <alignment horizontal="left" vertical="center" wrapText="1"/>
    </xf>
    <xf numFmtId="0" fontId="51" fillId="24" borderId="101" xfId="0" applyFont="1" applyFill="1" applyBorder="1" applyAlignment="1">
      <alignment horizontal="left" vertical="center" wrapText="1"/>
    </xf>
    <xf numFmtId="0" fontId="51" fillId="24" borderId="149" xfId="0" applyFont="1" applyFill="1" applyBorder="1" applyAlignment="1">
      <alignment horizontal="left" vertical="center" wrapText="1"/>
    </xf>
    <xf numFmtId="0" fontId="51" fillId="24" borderId="148" xfId="0" applyFont="1" applyFill="1" applyBorder="1" applyAlignment="1">
      <alignment horizontal="left" vertical="center" wrapText="1"/>
    </xf>
    <xf numFmtId="2" fontId="51" fillId="24" borderId="91" xfId="0" quotePrefix="1" applyNumberFormat="1" applyFont="1" applyFill="1" applyBorder="1" applyAlignment="1">
      <alignment horizontal="left" vertical="center" wrapText="1"/>
    </xf>
    <xf numFmtId="0" fontId="51" fillId="9" borderId="149" xfId="0" applyFont="1" applyFill="1" applyBorder="1" applyAlignment="1">
      <alignment horizontal="left" vertical="center" wrapText="1"/>
    </xf>
    <xf numFmtId="0" fontId="78" fillId="24" borderId="91" xfId="0" applyFont="1" applyFill="1" applyBorder="1" applyAlignment="1">
      <alignment horizontal="left" vertical="center" wrapText="1"/>
    </xf>
    <xf numFmtId="0" fontId="78" fillId="24" borderId="131" xfId="0" applyFont="1" applyFill="1" applyBorder="1" applyAlignment="1">
      <alignment horizontal="left" vertical="center" wrapText="1"/>
    </xf>
    <xf numFmtId="0" fontId="51" fillId="24" borderId="133" xfId="0" applyFont="1" applyFill="1" applyBorder="1" applyAlignment="1">
      <alignment horizontal="left" vertical="center" wrapText="1"/>
    </xf>
    <xf numFmtId="0" fontId="51" fillId="0" borderId="148" xfId="0" applyFont="1" applyBorder="1" applyAlignment="1">
      <alignment horizontal="left" vertical="center" wrapText="1"/>
    </xf>
    <xf numFmtId="0" fontId="51" fillId="0" borderId="89" xfId="0" applyFont="1" applyBorder="1" applyAlignment="1">
      <alignment horizontal="left" vertical="center"/>
    </xf>
    <xf numFmtId="0" fontId="51" fillId="0" borderId="108" xfId="0" applyFont="1" applyBorder="1" applyAlignment="1">
      <alignment horizontal="left" vertical="center"/>
    </xf>
    <xf numFmtId="0" fontId="51" fillId="0" borderId="147" xfId="0" applyFont="1" applyBorder="1" applyAlignment="1">
      <alignment horizontal="left" vertical="center" wrapText="1"/>
    </xf>
    <xf numFmtId="0" fontId="51" fillId="0" borderId="11" xfId="0" applyFont="1" applyBorder="1" applyAlignment="1">
      <alignment horizontal="left" vertical="center" wrapText="1"/>
    </xf>
    <xf numFmtId="0" fontId="51" fillId="0" borderId="63" xfId="0" applyFont="1" applyBorder="1" applyAlignment="1">
      <alignment horizontal="left" vertical="center"/>
    </xf>
    <xf numFmtId="0" fontId="51" fillId="9" borderId="97" xfId="0" applyFont="1" applyFill="1" applyBorder="1" applyAlignment="1">
      <alignment horizontal="left" vertical="center"/>
    </xf>
    <xf numFmtId="0" fontId="59" fillId="7" borderId="58" xfId="0" applyFont="1" applyFill="1" applyBorder="1" applyAlignment="1">
      <alignment horizontal="left" vertical="center" wrapText="1"/>
    </xf>
    <xf numFmtId="0" fontId="51" fillId="0" borderId="168" xfId="0" applyFont="1" applyBorder="1" applyAlignment="1">
      <alignment horizontal="left" vertical="center" wrapText="1"/>
    </xf>
    <xf numFmtId="0" fontId="51" fillId="0" borderId="93" xfId="0" applyFont="1" applyBorder="1" applyAlignment="1">
      <alignment horizontal="left" vertical="center" wrapText="1"/>
    </xf>
    <xf numFmtId="0" fontId="51" fillId="0" borderId="154" xfId="0" applyFont="1" applyBorder="1" applyAlignment="1">
      <alignment horizontal="left" vertical="center" wrapText="1"/>
    </xf>
    <xf numFmtId="0" fontId="51" fillId="0" borderId="83" xfId="0" applyFont="1" applyBorder="1" applyAlignment="1">
      <alignment horizontal="left" vertical="center"/>
    </xf>
    <xf numFmtId="0" fontId="51" fillId="0" borderId="147" xfId="0" applyFont="1" applyBorder="1" applyAlignment="1">
      <alignment horizontal="left" vertical="center"/>
    </xf>
    <xf numFmtId="0" fontId="59" fillId="7" borderId="193" xfId="0" applyFont="1" applyFill="1" applyBorder="1" applyAlignment="1">
      <alignment horizontal="left" vertical="center" wrapText="1"/>
    </xf>
    <xf numFmtId="0" fontId="51" fillId="9" borderId="170" xfId="0" applyFont="1" applyFill="1" applyBorder="1" applyAlignment="1">
      <alignment horizontal="left" vertical="center" wrapText="1"/>
    </xf>
    <xf numFmtId="0" fontId="51" fillId="9" borderId="171" xfId="0" applyFont="1" applyFill="1" applyBorder="1" applyAlignment="1">
      <alignment horizontal="left" vertical="center" wrapText="1"/>
    </xf>
    <xf numFmtId="0" fontId="51" fillId="9" borderId="148" xfId="0" applyFont="1" applyFill="1" applyBorder="1" applyAlignment="1">
      <alignment horizontal="left" vertical="center" wrapText="1"/>
    </xf>
    <xf numFmtId="0" fontId="59" fillId="7" borderId="184" xfId="0" applyFont="1" applyFill="1" applyBorder="1" applyAlignment="1">
      <alignment horizontal="left" vertical="center"/>
    </xf>
    <xf numFmtId="0" fontId="59" fillId="7" borderId="184" xfId="0" applyFont="1" applyFill="1" applyBorder="1" applyAlignment="1">
      <alignment horizontal="left" vertical="center" wrapText="1"/>
    </xf>
    <xf numFmtId="0" fontId="51" fillId="20" borderId="195" xfId="0" quotePrefix="1" applyFont="1" applyFill="1" applyBorder="1" applyAlignment="1">
      <alignment horizontal="left" vertical="center"/>
    </xf>
    <xf numFmtId="0" fontId="51" fillId="20" borderId="169" xfId="0" applyFont="1" applyFill="1" applyBorder="1" applyAlignment="1">
      <alignment horizontal="left" vertical="center"/>
    </xf>
    <xf numFmtId="0" fontId="51" fillId="20" borderId="198" xfId="0" applyFont="1" applyFill="1" applyBorder="1" applyAlignment="1">
      <alignment horizontal="left" vertical="center"/>
    </xf>
    <xf numFmtId="0" fontId="51" fillId="20" borderId="195" xfId="0" applyFont="1" applyFill="1" applyBorder="1" applyAlignment="1">
      <alignment horizontal="left" vertical="center"/>
    </xf>
    <xf numFmtId="2" fontId="51" fillId="20" borderId="195" xfId="0" quotePrefix="1" applyNumberFormat="1" applyFont="1" applyFill="1" applyBorder="1" applyAlignment="1">
      <alignment horizontal="left" vertical="center"/>
    </xf>
    <xf numFmtId="0" fontId="51" fillId="20" borderId="199" xfId="0" applyFont="1" applyFill="1" applyBorder="1" applyAlignment="1">
      <alignment horizontal="left" vertical="center"/>
    </xf>
    <xf numFmtId="2" fontId="51" fillId="20" borderId="149" xfId="0" quotePrefix="1" applyNumberFormat="1" applyFont="1" applyFill="1" applyBorder="1" applyAlignment="1">
      <alignment horizontal="left" vertical="center"/>
    </xf>
    <xf numFmtId="2" fontId="51" fillId="20" borderId="170" xfId="0" quotePrefix="1" applyNumberFormat="1" applyFont="1" applyFill="1" applyBorder="1" applyAlignment="1">
      <alignment horizontal="left" vertical="center"/>
    </xf>
    <xf numFmtId="0" fontId="51" fillId="20" borderId="170" xfId="0" quotePrefix="1" applyFont="1" applyFill="1" applyBorder="1" applyAlignment="1">
      <alignment horizontal="left" vertical="center"/>
    </xf>
    <xf numFmtId="0" fontId="51" fillId="0" borderId="198" xfId="0" applyFont="1" applyBorder="1" applyAlignment="1">
      <alignment horizontal="left" vertical="center"/>
    </xf>
    <xf numFmtId="0" fontId="51" fillId="0" borderId="195" xfId="0" quotePrefix="1" applyFont="1" applyBorder="1" applyAlignment="1">
      <alignment horizontal="left" vertical="center"/>
    </xf>
    <xf numFmtId="2" fontId="51" fillId="0" borderId="195" xfId="0" applyNumberFormat="1" applyFont="1" applyBorder="1" applyAlignment="1">
      <alignment horizontal="left" vertical="center"/>
    </xf>
    <xf numFmtId="1" fontId="51" fillId="0" borderId="149" xfId="0" applyNumberFormat="1" applyFont="1" applyBorder="1" applyAlignment="1">
      <alignment horizontal="left" vertical="center"/>
    </xf>
    <xf numFmtId="2" fontId="51" fillId="0" borderId="149" xfId="0" applyNumberFormat="1" applyFont="1" applyBorder="1" applyAlignment="1">
      <alignment horizontal="left" vertical="center"/>
    </xf>
    <xf numFmtId="2" fontId="51" fillId="10" borderId="149" xfId="0" applyNumberFormat="1" applyFont="1" applyFill="1" applyBorder="1" applyAlignment="1">
      <alignment horizontal="left" vertical="center"/>
    </xf>
    <xf numFmtId="0" fontId="51" fillId="10" borderId="149" xfId="0" applyFont="1" applyFill="1" applyBorder="1" applyAlignment="1">
      <alignment horizontal="left" vertical="center"/>
    </xf>
    <xf numFmtId="0" fontId="51" fillId="10" borderId="149" xfId="0" quotePrefix="1" applyFont="1" applyFill="1" applyBorder="1" applyAlignment="1">
      <alignment horizontal="left" vertical="center"/>
    </xf>
    <xf numFmtId="0" fontId="51" fillId="22" borderId="149" xfId="0" quotePrefix="1" applyFont="1" applyFill="1" applyBorder="1" applyAlignment="1">
      <alignment horizontal="left" vertical="center"/>
    </xf>
    <xf numFmtId="2" fontId="51" fillId="22" borderId="149" xfId="0" applyNumberFormat="1" applyFont="1" applyFill="1" applyBorder="1" applyAlignment="1">
      <alignment horizontal="left" vertical="center"/>
    </xf>
    <xf numFmtId="0" fontId="51" fillId="22" borderId="149" xfId="0" applyFont="1" applyFill="1" applyBorder="1" applyAlignment="1">
      <alignment horizontal="left" vertical="center"/>
    </xf>
    <xf numFmtId="2" fontId="51" fillId="20" borderId="149" xfId="0" applyNumberFormat="1" applyFont="1" applyFill="1" applyBorder="1" applyAlignment="1">
      <alignment horizontal="left" vertical="center"/>
    </xf>
    <xf numFmtId="0" fontId="31" fillId="7" borderId="200" xfId="0" applyFont="1" applyFill="1" applyBorder="1" applyAlignment="1">
      <alignment horizontal="left" vertical="center" wrapText="1"/>
    </xf>
    <xf numFmtId="0" fontId="59" fillId="13" borderId="201" xfId="0" applyFont="1" applyFill="1" applyBorder="1" applyAlignment="1">
      <alignment horizontal="left" vertical="center"/>
    </xf>
    <xf numFmtId="0" fontId="59" fillId="13" borderId="202" xfId="0" applyFont="1" applyFill="1" applyBorder="1" applyAlignment="1">
      <alignment horizontal="left" vertical="center"/>
    </xf>
    <xf numFmtId="0" fontId="59" fillId="13" borderId="203" xfId="0" applyFont="1" applyFill="1" applyBorder="1" applyAlignment="1">
      <alignment horizontal="left" vertical="center"/>
    </xf>
    <xf numFmtId="166" fontId="51" fillId="24" borderId="149" xfId="0" applyNumberFormat="1" applyFont="1" applyFill="1" applyBorder="1" applyAlignment="1">
      <alignment horizontal="center" vertical="center" wrapText="1"/>
    </xf>
    <xf numFmtId="0" fontId="51" fillId="0" borderId="88" xfId="0" applyFont="1" applyBorder="1" applyAlignment="1">
      <alignment horizontal="left" vertical="center" wrapText="1"/>
    </xf>
    <xf numFmtId="0" fontId="51" fillId="8" borderId="149" xfId="0" applyFont="1" applyFill="1" applyBorder="1" applyAlignment="1">
      <alignment horizontal="left" vertical="center" wrapText="1"/>
    </xf>
    <xf numFmtId="0" fontId="51" fillId="8" borderId="149" xfId="0" applyFont="1" applyFill="1" applyBorder="1" applyAlignment="1">
      <alignment horizontal="center" vertical="center" wrapText="1"/>
    </xf>
    <xf numFmtId="0" fontId="51" fillId="8" borderId="148" xfId="0" applyFont="1" applyFill="1" applyBorder="1" applyAlignment="1">
      <alignment horizontal="left" vertical="center" wrapText="1"/>
    </xf>
    <xf numFmtId="1" fontId="51" fillId="10" borderId="149" xfId="0" applyNumberFormat="1" applyFont="1" applyFill="1" applyBorder="1" applyAlignment="1">
      <alignment horizontal="left" vertical="center" wrapText="1"/>
    </xf>
    <xf numFmtId="2" fontId="51" fillId="10" borderId="149" xfId="0" applyNumberFormat="1" applyFont="1" applyFill="1" applyBorder="1" applyAlignment="1">
      <alignment horizontal="center" vertical="center" wrapText="1"/>
    </xf>
    <xf numFmtId="0" fontId="51" fillId="10" borderId="149" xfId="0" applyFont="1" applyFill="1" applyBorder="1" applyAlignment="1">
      <alignment horizontal="center" vertical="center" wrapText="1"/>
    </xf>
    <xf numFmtId="0" fontId="51" fillId="10" borderId="149" xfId="0" applyFont="1" applyFill="1" applyBorder="1" applyAlignment="1">
      <alignment horizontal="left" vertical="center" wrapText="1"/>
    </xf>
    <xf numFmtId="0" fontId="55" fillId="22" borderId="100" xfId="0" applyFont="1" applyFill="1" applyBorder="1" applyAlignment="1">
      <alignment horizontal="left"/>
    </xf>
    <xf numFmtId="0" fontId="55" fillId="22" borderId="149" xfId="0" applyFont="1" applyFill="1" applyBorder="1" applyAlignment="1">
      <alignment horizontal="center" vertical="center" wrapText="1"/>
    </xf>
    <xf numFmtId="0" fontId="55" fillId="22" borderId="149" xfId="0" applyFont="1" applyFill="1" applyBorder="1" applyAlignment="1">
      <alignment horizontal="left" vertical="center" wrapText="1"/>
    </xf>
    <xf numFmtId="0" fontId="55" fillId="22" borderId="148" xfId="0" applyFont="1" applyFill="1" applyBorder="1" applyAlignment="1">
      <alignment horizontal="left" vertical="center" wrapText="1"/>
    </xf>
    <xf numFmtId="11" fontId="55" fillId="22" borderId="149" xfId="0" applyNumberFormat="1" applyFont="1" applyFill="1" applyBorder="1" applyAlignment="1">
      <alignment horizontal="left" vertical="center" wrapText="1"/>
    </xf>
    <xf numFmtId="0" fontId="55" fillId="20" borderId="100" xfId="0" applyFont="1" applyFill="1" applyBorder="1" applyAlignment="1">
      <alignment horizontal="left"/>
    </xf>
    <xf numFmtId="0" fontId="55" fillId="20" borderId="149" xfId="0" applyFont="1" applyFill="1" applyBorder="1" applyAlignment="1">
      <alignment horizontal="left" vertical="center" wrapText="1"/>
    </xf>
    <xf numFmtId="0" fontId="55" fillId="20" borderId="149" xfId="0" applyFont="1" applyFill="1" applyBorder="1" applyAlignment="1">
      <alignment horizontal="center" vertical="center" wrapText="1"/>
    </xf>
    <xf numFmtId="0" fontId="105" fillId="20" borderId="148" xfId="0" applyFont="1" applyFill="1" applyBorder="1" applyAlignment="1">
      <alignment horizontal="left" vertical="center"/>
    </xf>
    <xf numFmtId="0" fontId="51" fillId="9" borderId="182" xfId="0" applyFont="1" applyFill="1" applyBorder="1" applyAlignment="1">
      <alignment horizontal="left" vertical="center"/>
    </xf>
    <xf numFmtId="166" fontId="51" fillId="9" borderId="151" xfId="0" applyNumberFormat="1" applyFont="1" applyFill="1" applyBorder="1" applyAlignment="1">
      <alignment horizontal="left" vertical="center" wrapText="1"/>
    </xf>
    <xf numFmtId="0" fontId="51" fillId="9" borderId="149" xfId="0" applyFont="1" applyFill="1" applyBorder="1" applyAlignment="1">
      <alignment horizontal="center" vertical="center"/>
    </xf>
    <xf numFmtId="0" fontId="51" fillId="10" borderId="100" xfId="0" quotePrefix="1" applyFont="1" applyFill="1" applyBorder="1" applyAlignment="1">
      <alignment horizontal="left" vertical="center"/>
    </xf>
    <xf numFmtId="0" fontId="51" fillId="10" borderId="149" xfId="0" quotePrefix="1" applyFont="1" applyFill="1" applyBorder="1" applyAlignment="1">
      <alignment horizontal="left" vertical="center" wrapText="1"/>
    </xf>
    <xf numFmtId="0" fontId="48" fillId="7" borderId="149" xfId="0" quotePrefix="1" applyFont="1" applyFill="1" applyBorder="1" applyAlignment="1">
      <alignment horizontal="left" vertical="center" wrapText="1"/>
    </xf>
    <xf numFmtId="0" fontId="51" fillId="8" borderId="149" xfId="0" quotePrefix="1" applyFont="1" applyFill="1" applyBorder="1" applyAlignment="1">
      <alignment horizontal="left" vertical="center" wrapText="1"/>
    </xf>
    <xf numFmtId="164" fontId="51" fillId="8" borderId="149" xfId="0" applyNumberFormat="1" applyFont="1" applyFill="1" applyBorder="1" applyAlignment="1">
      <alignment horizontal="left" vertical="center"/>
    </xf>
    <xf numFmtId="0" fontId="51" fillId="8" borderId="149" xfId="0" quotePrefix="1" applyFont="1" applyFill="1" applyBorder="1" applyAlignment="1">
      <alignment horizontal="left" vertical="center"/>
    </xf>
    <xf numFmtId="0" fontId="51" fillId="8" borderId="149" xfId="0" applyFont="1" applyFill="1" applyBorder="1" applyAlignment="1">
      <alignment horizontal="left" vertical="center"/>
    </xf>
    <xf numFmtId="164" fontId="51" fillId="11" borderId="149" xfId="0" applyNumberFormat="1" applyFont="1" applyFill="1" applyBorder="1" applyAlignment="1">
      <alignment horizontal="left" vertical="center" wrapText="1"/>
    </xf>
    <xf numFmtId="164" fontId="51" fillId="19" borderId="149" xfId="0" applyNumberFormat="1" applyFont="1" applyFill="1" applyBorder="1" applyAlignment="1">
      <alignment horizontal="left" vertical="center"/>
    </xf>
    <xf numFmtId="0" fontId="51" fillId="19" borderId="149" xfId="0" applyFont="1" applyFill="1" applyBorder="1" applyAlignment="1">
      <alignment horizontal="left" vertical="center"/>
    </xf>
    <xf numFmtId="166" fontId="51" fillId="9" borderId="100" xfId="0" applyNumberFormat="1" applyFont="1" applyFill="1" applyBorder="1" applyAlignment="1">
      <alignment horizontal="left" vertical="center" wrapText="1"/>
    </xf>
    <xf numFmtId="166" fontId="51" fillId="9" borderId="149" xfId="0" applyNumberFormat="1" applyFont="1" applyFill="1" applyBorder="1" applyAlignment="1">
      <alignment horizontal="left" vertical="center" wrapText="1"/>
    </xf>
    <xf numFmtId="164" fontId="51" fillId="9" borderId="149" xfId="0" applyNumberFormat="1" applyFont="1" applyFill="1" applyBorder="1" applyAlignment="1">
      <alignment horizontal="left" vertical="center" wrapText="1"/>
    </xf>
    <xf numFmtId="1" fontId="51" fillId="9" borderId="149" xfId="0" applyNumberFormat="1" applyFont="1" applyFill="1" applyBorder="1" applyAlignment="1">
      <alignment horizontal="left" vertical="center" wrapText="1"/>
    </xf>
    <xf numFmtId="166" fontId="51" fillId="9" borderId="148" xfId="0" applyNumberFormat="1" applyFont="1" applyFill="1" applyBorder="1" applyAlignment="1">
      <alignment horizontal="left" vertical="center" wrapText="1"/>
    </xf>
    <xf numFmtId="166" fontId="51" fillId="9" borderId="169" xfId="0" applyNumberFormat="1" applyFont="1" applyFill="1" applyBorder="1" applyAlignment="1">
      <alignment horizontal="left" vertical="center" wrapText="1"/>
    </xf>
    <xf numFmtId="164" fontId="51" fillId="9" borderId="170" xfId="0" applyNumberFormat="1" applyFont="1" applyFill="1" applyBorder="1" applyAlignment="1">
      <alignment horizontal="left" vertical="center" wrapText="1"/>
    </xf>
    <xf numFmtId="1" fontId="51" fillId="9" borderId="170" xfId="0" applyNumberFormat="1" applyFont="1" applyFill="1" applyBorder="1" applyAlignment="1">
      <alignment horizontal="left" vertical="center" wrapText="1"/>
    </xf>
    <xf numFmtId="166" fontId="51" fillId="9" borderId="171" xfId="0" applyNumberFormat="1" applyFont="1" applyFill="1" applyBorder="1" applyAlignment="1">
      <alignment horizontal="left" vertical="center" wrapText="1"/>
    </xf>
    <xf numFmtId="2" fontId="51" fillId="19" borderId="149" xfId="0" applyNumberFormat="1" applyFont="1" applyFill="1" applyBorder="1" applyAlignment="1">
      <alignment horizontal="left" vertical="center"/>
    </xf>
    <xf numFmtId="2" fontId="51" fillId="26" borderId="149" xfId="0" applyNumberFormat="1" applyFont="1" applyFill="1" applyBorder="1" applyAlignment="1">
      <alignment horizontal="center" vertical="center" wrapText="1"/>
    </xf>
    <xf numFmtId="0" fontId="51" fillId="26" borderId="100" xfId="0" applyFont="1" applyFill="1" applyBorder="1" applyAlignment="1">
      <alignment horizontal="left" vertical="center" wrapText="1"/>
    </xf>
    <xf numFmtId="164" fontId="51" fillId="26" borderId="127" xfId="0" applyNumberFormat="1" applyFont="1" applyFill="1" applyBorder="1" applyAlignment="1">
      <alignment horizontal="left" vertical="center" wrapText="1"/>
    </xf>
    <xf numFmtId="166" fontId="51" fillId="10" borderId="149" xfId="0" applyNumberFormat="1" applyFont="1" applyFill="1" applyBorder="1" applyAlignment="1">
      <alignment horizontal="center" vertical="center" wrapText="1"/>
    </xf>
    <xf numFmtId="0" fontId="55" fillId="10" borderId="149" xfId="0" applyFont="1" applyFill="1" applyBorder="1" applyAlignment="1">
      <alignment horizontal="center" vertical="center" wrapText="1"/>
    </xf>
    <xf numFmtId="166" fontId="55" fillId="10" borderId="149" xfId="0" applyNumberFormat="1" applyFont="1" applyFill="1" applyBorder="1" applyAlignment="1">
      <alignment horizontal="center" vertical="center" wrapText="1"/>
    </xf>
    <xf numFmtId="11" fontId="55" fillId="22" borderId="149" xfId="0" applyNumberFormat="1" applyFont="1" applyFill="1" applyBorder="1" applyAlignment="1">
      <alignment horizontal="center" vertical="center" wrapText="1"/>
    </xf>
    <xf numFmtId="0" fontId="8" fillId="0" borderId="0" xfId="204" applyAlignment="1">
      <alignment horizontal="left" vertical="center"/>
    </xf>
    <xf numFmtId="0" fontId="51" fillId="0" borderId="88" xfId="205" applyFont="1" applyBorder="1" applyAlignment="1">
      <alignment horizontal="left" vertical="center"/>
    </xf>
    <xf numFmtId="0" fontId="51" fillId="0" borderId="88" xfId="205" applyFont="1" applyBorder="1" applyAlignment="1">
      <alignment horizontal="left" vertical="center" wrapText="1"/>
    </xf>
    <xf numFmtId="0" fontId="51" fillId="0" borderId="88" xfId="205" applyFont="1" applyBorder="1" applyAlignment="1">
      <alignment horizontal="left"/>
    </xf>
    <xf numFmtId="0" fontId="48" fillId="0" borderId="204" xfId="205" applyFont="1" applyBorder="1" applyAlignment="1">
      <alignment horizontal="left" vertical="center"/>
    </xf>
    <xf numFmtId="0" fontId="48" fillId="0" borderId="205" xfId="0" applyFont="1" applyBorder="1" applyAlignment="1">
      <alignment horizontal="left" vertical="center"/>
    </xf>
    <xf numFmtId="0" fontId="48" fillId="0" borderId="206" xfId="0" applyFont="1" applyBorder="1" applyAlignment="1">
      <alignment horizontal="left" vertical="center"/>
    </xf>
    <xf numFmtId="166" fontId="51" fillId="8" borderId="149" xfId="0" applyNumberFormat="1" applyFont="1" applyFill="1" applyBorder="1" applyAlignment="1">
      <alignment horizontal="center" vertical="center" wrapText="1"/>
    </xf>
    <xf numFmtId="2" fontId="51" fillId="20" borderId="149" xfId="0" applyNumberFormat="1" applyFont="1" applyFill="1" applyBorder="1" applyAlignment="1">
      <alignment horizontal="center" vertical="center" wrapText="1"/>
    </xf>
    <xf numFmtId="2" fontId="51" fillId="22" borderId="149" xfId="0" applyNumberFormat="1" applyFont="1" applyFill="1" applyBorder="1" applyAlignment="1">
      <alignment horizontal="center" vertical="center" wrapText="1"/>
    </xf>
    <xf numFmtId="164" fontId="51" fillId="22" borderId="149" xfId="0" applyNumberFormat="1" applyFont="1" applyFill="1" applyBorder="1" applyAlignment="1">
      <alignment horizontal="left" vertical="center"/>
    </xf>
    <xf numFmtId="0" fontId="48" fillId="7" borderId="148" xfId="0" applyFont="1" applyFill="1" applyBorder="1" applyAlignment="1">
      <alignment horizontal="left" vertical="center" wrapText="1"/>
    </xf>
    <xf numFmtId="0" fontId="51" fillId="8" borderId="148" xfId="0" applyFont="1" applyFill="1" applyBorder="1" applyAlignment="1">
      <alignment horizontal="left" vertical="center"/>
    </xf>
    <xf numFmtId="0" fontId="48" fillId="0" borderId="171" xfId="0" applyFont="1" applyBorder="1" applyAlignment="1">
      <alignment horizontal="left" vertical="center"/>
    </xf>
    <xf numFmtId="164" fontId="0" fillId="0" borderId="0" xfId="0" applyNumberFormat="1" applyAlignment="1">
      <alignment horizontal="left" vertical="center"/>
    </xf>
    <xf numFmtId="0" fontId="48" fillId="0" borderId="147" xfId="0" applyFont="1" applyBorder="1" applyAlignment="1">
      <alignment horizontal="left" vertical="center"/>
    </xf>
    <xf numFmtId="0" fontId="48" fillId="0" borderId="11" xfId="0" applyFont="1" applyBorder="1" applyAlignment="1">
      <alignment horizontal="left" vertical="center"/>
    </xf>
    <xf numFmtId="0" fontId="48" fillId="0" borderId="38" xfId="0" applyFont="1" applyBorder="1" applyAlignment="1">
      <alignment horizontal="left" vertical="center"/>
    </xf>
    <xf numFmtId="0" fontId="48" fillId="0" borderId="8" xfId="0" applyFont="1" applyBorder="1" applyAlignment="1">
      <alignment horizontal="left" vertical="center"/>
    </xf>
    <xf numFmtId="0" fontId="48" fillId="0" borderId="97" xfId="0" applyFont="1" applyBorder="1" applyAlignment="1">
      <alignment horizontal="left" vertical="center"/>
    </xf>
    <xf numFmtId="0" fontId="51" fillId="0" borderId="79" xfId="0" applyFont="1" applyBorder="1" applyAlignment="1">
      <alignment horizontal="left" vertical="center" wrapText="1"/>
    </xf>
    <xf numFmtId="0" fontId="51" fillId="22" borderId="148" xfId="0" applyFont="1" applyFill="1" applyBorder="1" applyAlignment="1">
      <alignment horizontal="left" vertical="center"/>
    </xf>
    <xf numFmtId="0" fontId="51" fillId="0" borderId="195" xfId="0" applyFont="1" applyBorder="1" applyAlignment="1">
      <alignment horizontal="left" vertical="center"/>
    </xf>
    <xf numFmtId="0" fontId="51" fillId="0" borderId="199" xfId="0" applyFont="1" applyBorder="1" applyAlignment="1">
      <alignment horizontal="left" vertical="center"/>
    </xf>
    <xf numFmtId="0" fontId="51" fillId="22" borderId="148" xfId="0" quotePrefix="1" applyFont="1" applyFill="1" applyBorder="1" applyAlignment="1">
      <alignment horizontal="left" vertical="center"/>
    </xf>
    <xf numFmtId="0" fontId="48" fillId="8" borderId="6" xfId="0" applyFont="1" applyFill="1" applyBorder="1" applyAlignment="1">
      <alignment horizontal="left" vertical="center"/>
    </xf>
    <xf numFmtId="0" fontId="48" fillId="21" borderId="6" xfId="0" applyFont="1" applyFill="1" applyBorder="1" applyAlignment="1">
      <alignment horizontal="left" vertical="center"/>
    </xf>
    <xf numFmtId="0" fontId="48" fillId="22" borderId="6" xfId="0" applyFont="1" applyFill="1" applyBorder="1" applyAlignment="1">
      <alignment horizontal="left" vertical="center"/>
    </xf>
    <xf numFmtId="0" fontId="48" fillId="20" borderId="6" xfId="0" applyFont="1" applyFill="1" applyBorder="1" applyAlignment="1">
      <alignment horizontal="left" vertical="center"/>
    </xf>
    <xf numFmtId="0" fontId="48" fillId="11" borderId="6" xfId="0" applyFont="1" applyFill="1" applyBorder="1" applyAlignment="1">
      <alignment horizontal="left" vertical="center"/>
    </xf>
    <xf numFmtId="0" fontId="48" fillId="0" borderId="101" xfId="0" applyFont="1" applyBorder="1" applyAlignment="1">
      <alignment horizontal="left" vertical="center"/>
    </xf>
    <xf numFmtId="2" fontId="51" fillId="0" borderId="170" xfId="0" applyNumberFormat="1" applyFont="1" applyBorder="1" applyAlignment="1">
      <alignment horizontal="left" vertical="center"/>
    </xf>
    <xf numFmtId="0" fontId="51" fillId="0" borderId="171" xfId="0" applyFont="1" applyBorder="1" applyAlignment="1">
      <alignment horizontal="left" vertical="center"/>
    </xf>
    <xf numFmtId="0" fontId="36" fillId="0" borderId="0" xfId="0" applyFont="1" applyAlignment="1">
      <alignment horizontal="left" vertical="center"/>
    </xf>
    <xf numFmtId="0" fontId="51" fillId="10" borderId="92" xfId="0" applyFont="1" applyFill="1" applyBorder="1" applyAlignment="1">
      <alignment horizontal="left" vertical="center"/>
    </xf>
    <xf numFmtId="0" fontId="48" fillId="10" borderId="97" xfId="0" applyFont="1" applyFill="1" applyBorder="1" applyAlignment="1">
      <alignment horizontal="left" vertical="center"/>
    </xf>
    <xf numFmtId="0" fontId="48" fillId="10" borderId="8" xfId="0" applyFont="1" applyFill="1" applyBorder="1" applyAlignment="1">
      <alignment horizontal="left" vertical="center"/>
    </xf>
    <xf numFmtId="0" fontId="51" fillId="10" borderId="9" xfId="0" applyFont="1" applyFill="1" applyBorder="1" applyAlignment="1">
      <alignment horizontal="left" vertical="center"/>
    </xf>
    <xf numFmtId="0" fontId="48" fillId="10" borderId="11" xfId="0" applyFont="1" applyFill="1" applyBorder="1" applyAlignment="1">
      <alignment horizontal="left" vertical="center"/>
    </xf>
    <xf numFmtId="0" fontId="51" fillId="7" borderId="96" xfId="0" applyFont="1" applyFill="1" applyBorder="1" applyAlignment="1">
      <alignment horizontal="left" vertical="center"/>
    </xf>
    <xf numFmtId="0" fontId="51" fillId="7" borderId="92" xfId="0" applyFont="1" applyFill="1" applyBorder="1" applyAlignment="1">
      <alignment horizontal="left" vertical="center"/>
    </xf>
    <xf numFmtId="0" fontId="48" fillId="7" borderId="97" xfId="0" applyFont="1" applyFill="1" applyBorder="1" applyAlignment="1">
      <alignment horizontal="left" vertical="center"/>
    </xf>
    <xf numFmtId="0" fontId="48" fillId="7" borderId="8" xfId="0" applyFont="1" applyFill="1" applyBorder="1" applyAlignment="1">
      <alignment horizontal="left" vertical="center"/>
    </xf>
    <xf numFmtId="0" fontId="48" fillId="7" borderId="11" xfId="0" applyFont="1" applyFill="1" applyBorder="1" applyAlignment="1">
      <alignment horizontal="left" vertical="center"/>
    </xf>
    <xf numFmtId="0" fontId="78" fillId="0" borderId="0" xfId="0" applyFont="1" applyAlignment="1">
      <alignment horizontal="left" vertical="center"/>
    </xf>
    <xf numFmtId="0" fontId="51" fillId="8" borderId="137" xfId="0" applyFont="1" applyFill="1" applyBorder="1" applyAlignment="1">
      <alignment horizontal="left" vertical="center"/>
    </xf>
    <xf numFmtId="0" fontId="51" fillId="8" borderId="139" xfId="0" applyFont="1" applyFill="1" applyBorder="1" applyAlignment="1">
      <alignment horizontal="left" vertical="center"/>
    </xf>
    <xf numFmtId="0" fontId="51" fillId="8" borderId="38" xfId="0" applyFont="1" applyFill="1" applyBorder="1" applyAlignment="1">
      <alignment horizontal="left" vertical="center"/>
    </xf>
    <xf numFmtId="0" fontId="51" fillId="8" borderId="11" xfId="0" applyFont="1" applyFill="1" applyBorder="1" applyAlignment="1">
      <alignment horizontal="left" vertical="center"/>
    </xf>
    <xf numFmtId="0" fontId="51" fillId="26" borderId="147" xfId="0" applyFont="1" applyFill="1" applyBorder="1" applyAlignment="1">
      <alignment horizontal="left" vertical="center"/>
    </xf>
    <xf numFmtId="0" fontId="51" fillId="26" borderId="148" xfId="0" applyFont="1" applyFill="1" applyBorder="1" applyAlignment="1">
      <alignment horizontal="left" vertical="center"/>
    </xf>
    <xf numFmtId="0" fontId="51" fillId="26" borderId="11" xfId="0" applyFont="1" applyFill="1" applyBorder="1" applyAlignment="1">
      <alignment horizontal="left" vertical="center"/>
    </xf>
    <xf numFmtId="164" fontId="51" fillId="25" borderId="15" xfId="0" applyNumberFormat="1" applyFont="1" applyFill="1" applyBorder="1" applyAlignment="1">
      <alignment horizontal="left" vertical="center"/>
    </xf>
    <xf numFmtId="0" fontId="51" fillId="25" borderId="38" xfId="0" applyFont="1" applyFill="1" applyBorder="1" applyAlignment="1">
      <alignment horizontal="left" vertical="center"/>
    </xf>
    <xf numFmtId="0" fontId="51" fillId="25" borderId="8" xfId="0" applyFont="1" applyFill="1" applyBorder="1" applyAlignment="1">
      <alignment horizontal="left" vertical="center"/>
    </xf>
    <xf numFmtId="166" fontId="51" fillId="25" borderId="10" xfId="0" applyNumberFormat="1" applyFont="1" applyFill="1" applyBorder="1" applyAlignment="1">
      <alignment horizontal="left" vertical="center"/>
    </xf>
    <xf numFmtId="0" fontId="51" fillId="25" borderId="11" xfId="0" applyFont="1" applyFill="1" applyBorder="1" applyAlignment="1">
      <alignment horizontal="left" vertical="center"/>
    </xf>
    <xf numFmtId="0" fontId="51" fillId="11" borderId="165" xfId="0" applyFont="1" applyFill="1" applyBorder="1" applyAlignment="1">
      <alignment horizontal="left" vertical="center"/>
    </xf>
    <xf numFmtId="166" fontId="51" fillId="11" borderId="149" xfId="0" applyNumberFormat="1" applyFont="1" applyFill="1" applyBorder="1" applyAlignment="1">
      <alignment horizontal="left" vertical="center"/>
    </xf>
    <xf numFmtId="1" fontId="51" fillId="12" borderId="146" xfId="0" applyNumberFormat="1" applyFont="1" applyFill="1" applyBorder="1" applyAlignment="1">
      <alignment horizontal="left" vertical="center"/>
    </xf>
    <xf numFmtId="0" fontId="51" fillId="12" borderId="147" xfId="0" applyFont="1" applyFill="1" applyBorder="1" applyAlignment="1">
      <alignment horizontal="left" vertical="center"/>
    </xf>
    <xf numFmtId="1" fontId="51" fillId="12" borderId="149" xfId="0" applyNumberFormat="1" applyFont="1" applyFill="1" applyBorder="1" applyAlignment="1">
      <alignment horizontal="left" vertical="center"/>
    </xf>
    <xf numFmtId="0" fontId="51" fillId="12" borderId="148" xfId="0" applyFont="1" applyFill="1" applyBorder="1" applyAlignment="1">
      <alignment horizontal="left" vertical="center"/>
    </xf>
    <xf numFmtId="164" fontId="51" fillId="12" borderId="149" xfId="0" applyNumberFormat="1" applyFont="1" applyFill="1" applyBorder="1" applyAlignment="1">
      <alignment horizontal="left" vertical="center"/>
    </xf>
    <xf numFmtId="2" fontId="51" fillId="12" borderId="15" xfId="0" applyNumberFormat="1" applyFont="1" applyFill="1" applyBorder="1" applyAlignment="1">
      <alignment horizontal="left" vertical="center"/>
    </xf>
    <xf numFmtId="0" fontId="51" fillId="12" borderId="38" xfId="0" applyFont="1" applyFill="1" applyBorder="1" applyAlignment="1">
      <alignment horizontal="left" vertical="center"/>
    </xf>
    <xf numFmtId="166" fontId="51" fillId="12" borderId="10" xfId="0" applyNumberFormat="1" applyFont="1" applyFill="1" applyBorder="1" applyAlignment="1">
      <alignment horizontal="left" vertical="center"/>
    </xf>
    <xf numFmtId="164" fontId="51" fillId="10" borderId="149" xfId="0" applyNumberFormat="1" applyFont="1" applyFill="1" applyBorder="1" applyAlignment="1">
      <alignment horizontal="left" vertical="center"/>
    </xf>
    <xf numFmtId="0" fontId="51" fillId="10" borderId="148" xfId="0" applyFont="1" applyFill="1" applyBorder="1" applyAlignment="1">
      <alignment horizontal="left" vertical="center"/>
    </xf>
    <xf numFmtId="0" fontId="48" fillId="8" borderId="7" xfId="0" applyFont="1" applyFill="1" applyBorder="1" applyAlignment="1">
      <alignment horizontal="left" vertical="center"/>
    </xf>
    <xf numFmtId="0" fontId="48" fillId="8" borderId="8" xfId="0" applyFont="1" applyFill="1" applyBorder="1" applyAlignment="1">
      <alignment horizontal="left" vertical="center"/>
    </xf>
    <xf numFmtId="0" fontId="48" fillId="21" borderId="7" xfId="0" applyFont="1" applyFill="1" applyBorder="1" applyAlignment="1">
      <alignment horizontal="left" vertical="center"/>
    </xf>
    <xf numFmtId="0" fontId="48" fillId="21" borderId="8" xfId="0" applyFont="1" applyFill="1" applyBorder="1" applyAlignment="1">
      <alignment horizontal="left" vertical="center"/>
    </xf>
    <xf numFmtId="0" fontId="48" fillId="22" borderId="8" xfId="0" applyFont="1" applyFill="1" applyBorder="1" applyAlignment="1">
      <alignment horizontal="left" vertical="center"/>
    </xf>
    <xf numFmtId="0" fontId="48" fillId="20" borderId="8" xfId="0" applyFont="1" applyFill="1" applyBorder="1" applyAlignment="1">
      <alignment horizontal="left" vertical="center"/>
    </xf>
    <xf numFmtId="0" fontId="48" fillId="11" borderId="8" xfId="0" applyFont="1" applyFill="1" applyBorder="1" applyAlignment="1">
      <alignment horizontal="left" vertical="center"/>
    </xf>
    <xf numFmtId="0" fontId="48" fillId="9" borderId="7" xfId="0" applyFont="1" applyFill="1" applyBorder="1" applyAlignment="1">
      <alignment horizontal="left" vertical="center"/>
    </xf>
    <xf numFmtId="0" fontId="48" fillId="9" borderId="8" xfId="0" applyFont="1" applyFill="1" applyBorder="1" applyAlignment="1">
      <alignment horizontal="left" vertical="center"/>
    </xf>
    <xf numFmtId="0" fontId="0" fillId="10" borderId="98" xfId="0" applyFill="1" applyBorder="1" applyAlignment="1">
      <alignment horizontal="left" vertical="center"/>
    </xf>
    <xf numFmtId="0" fontId="0" fillId="10" borderId="6" xfId="0" applyFill="1" applyBorder="1" applyAlignment="1">
      <alignment horizontal="left" vertical="center"/>
    </xf>
    <xf numFmtId="0" fontId="0" fillId="20" borderId="98" xfId="0" applyFill="1" applyBorder="1" applyAlignment="1">
      <alignment horizontal="left" vertical="center"/>
    </xf>
    <xf numFmtId="0" fontId="0" fillId="20" borderId="6" xfId="0" applyFill="1" applyBorder="1" applyAlignment="1">
      <alignment horizontal="left" vertical="center"/>
    </xf>
    <xf numFmtId="2" fontId="51" fillId="20" borderId="92" xfId="0" applyNumberFormat="1" applyFont="1" applyFill="1" applyBorder="1" applyAlignment="1">
      <alignment horizontal="left" vertical="center"/>
    </xf>
    <xf numFmtId="164" fontId="51" fillId="20" borderId="110" xfId="0" applyNumberFormat="1" applyFont="1" applyFill="1" applyBorder="1" applyAlignment="1">
      <alignment horizontal="left" vertical="center"/>
    </xf>
    <xf numFmtId="0" fontId="75" fillId="13" borderId="192" xfId="0" applyFont="1" applyFill="1" applyBorder="1" applyAlignment="1">
      <alignment horizontal="left" vertical="center"/>
    </xf>
    <xf numFmtId="0" fontId="75" fillId="13" borderId="202" xfId="0" applyFont="1" applyFill="1" applyBorder="1" applyAlignment="1">
      <alignment horizontal="left" vertical="center"/>
    </xf>
    <xf numFmtId="0" fontId="75" fillId="7" borderId="192" xfId="0" applyFont="1" applyFill="1" applyBorder="1" applyAlignment="1">
      <alignment horizontal="left" vertical="center"/>
    </xf>
    <xf numFmtId="0" fontId="75" fillId="7" borderId="192" xfId="0" applyFont="1" applyFill="1" applyBorder="1" applyAlignment="1">
      <alignment horizontal="left" vertical="center" wrapText="1"/>
    </xf>
    <xf numFmtId="0" fontId="75" fillId="7" borderId="144" xfId="0" applyFont="1" applyFill="1" applyBorder="1" applyAlignment="1">
      <alignment horizontal="left" vertical="center"/>
    </xf>
    <xf numFmtId="0" fontId="48" fillId="0" borderId="135" xfId="0" applyFont="1" applyBorder="1" applyAlignment="1">
      <alignment horizontal="left" vertical="center" wrapText="1"/>
    </xf>
    <xf numFmtId="0" fontId="51" fillId="0" borderId="131" xfId="0" applyFont="1" applyBorder="1" applyAlignment="1">
      <alignment horizontal="left" vertical="center" wrapText="1"/>
    </xf>
    <xf numFmtId="0" fontId="51" fillId="0" borderId="14" xfId="0" applyFont="1" applyBorder="1" applyAlignment="1">
      <alignment horizontal="left" vertical="center" wrapText="1"/>
    </xf>
    <xf numFmtId="0" fontId="51" fillId="0" borderId="136" xfId="0" applyFont="1" applyBorder="1" applyAlignment="1">
      <alignment horizontal="left" vertical="center" wrapText="1"/>
    </xf>
    <xf numFmtId="0" fontId="0" fillId="0" borderId="136" xfId="0" applyBorder="1" applyAlignment="1">
      <alignment horizontal="left" vertical="center" wrapText="1"/>
    </xf>
    <xf numFmtId="0" fontId="51" fillId="0" borderId="111" xfId="0" applyFont="1" applyBorder="1" applyAlignment="1">
      <alignment horizontal="left" vertical="center" wrapText="1"/>
    </xf>
    <xf numFmtId="0" fontId="51" fillId="0" borderId="13" xfId="0" applyFont="1" applyBorder="1" applyAlignment="1">
      <alignment horizontal="left" vertical="center" wrapText="1"/>
    </xf>
    <xf numFmtId="8" fontId="51" fillId="0" borderId="91" xfId="0" applyNumberFormat="1" applyFont="1" applyBorder="1" applyAlignment="1">
      <alignment horizontal="left" vertical="center" wrapText="1"/>
    </xf>
    <xf numFmtId="0" fontId="48" fillId="0" borderId="170" xfId="0" applyFont="1" applyBorder="1" applyAlignment="1">
      <alignment horizontal="left" vertical="center" wrapText="1"/>
    </xf>
    <xf numFmtId="8" fontId="51" fillId="0" borderId="146" xfId="0" applyNumberFormat="1" applyFont="1" applyBorder="1" applyAlignment="1">
      <alignment horizontal="left" vertical="center" wrapText="1"/>
    </xf>
    <xf numFmtId="8" fontId="51" fillId="0" borderId="92" xfId="0" applyNumberFormat="1" applyFont="1" applyBorder="1" applyAlignment="1">
      <alignment horizontal="left" vertical="center" wrapText="1"/>
    </xf>
    <xf numFmtId="8" fontId="0" fillId="0" borderId="92" xfId="0" applyNumberFormat="1" applyBorder="1" applyAlignment="1">
      <alignment horizontal="left" vertical="center" wrapText="1"/>
    </xf>
    <xf numFmtId="166" fontId="51" fillId="0" borderId="170" xfId="0" applyNumberFormat="1" applyFont="1" applyBorder="1" applyAlignment="1">
      <alignment horizontal="left" vertical="center" wrapText="1"/>
    </xf>
    <xf numFmtId="0" fontId="48" fillId="0" borderId="15" xfId="0" applyFont="1" applyBorder="1" applyAlignment="1">
      <alignment horizontal="left" vertical="center" wrapText="1"/>
    </xf>
    <xf numFmtId="8" fontId="51" fillId="0" borderId="15" xfId="0" applyNumberFormat="1" applyFont="1" applyBorder="1" applyAlignment="1">
      <alignment horizontal="left" vertical="center" wrapText="1"/>
    </xf>
    <xf numFmtId="0" fontId="48" fillId="0" borderId="6" xfId="0" applyFont="1" applyBorder="1" applyAlignment="1">
      <alignment horizontal="left" vertical="center" wrapText="1"/>
    </xf>
    <xf numFmtId="0" fontId="48" fillId="0" borderId="92" xfId="0" applyFont="1" applyBorder="1" applyAlignment="1">
      <alignment horizontal="left" vertical="center" wrapText="1"/>
    </xf>
    <xf numFmtId="0" fontId="48" fillId="0" borderId="149" xfId="0" quotePrefix="1" applyFont="1" applyBorder="1" applyAlignment="1">
      <alignment horizontal="left" vertical="center" wrapText="1"/>
    </xf>
    <xf numFmtId="0" fontId="48" fillId="0" borderId="170" xfId="0" quotePrefix="1" applyFont="1" applyBorder="1" applyAlignment="1">
      <alignment horizontal="left" vertical="center" wrapText="1"/>
    </xf>
    <xf numFmtId="0" fontId="51" fillId="0" borderId="94" xfId="0" applyFont="1" applyBorder="1" applyAlignment="1">
      <alignment horizontal="left" vertical="center" wrapText="1"/>
    </xf>
    <xf numFmtId="0" fontId="48" fillId="10" borderId="92" xfId="0" quotePrefix="1" applyFont="1" applyFill="1" applyBorder="1" applyAlignment="1">
      <alignment horizontal="left" vertical="center" wrapText="1"/>
    </xf>
    <xf numFmtId="0" fontId="48" fillId="10" borderId="91" xfId="0" quotePrefix="1" applyFont="1" applyFill="1" applyBorder="1" applyAlignment="1">
      <alignment horizontal="left" vertical="center" wrapText="1"/>
    </xf>
    <xf numFmtId="0" fontId="48" fillId="10" borderId="6" xfId="0" quotePrefix="1" applyFont="1" applyFill="1" applyBorder="1" applyAlignment="1">
      <alignment horizontal="left" vertical="center" wrapText="1"/>
    </xf>
    <xf numFmtId="0" fontId="48" fillId="10" borderId="10" xfId="0" quotePrefix="1" applyFont="1" applyFill="1" applyBorder="1" applyAlignment="1">
      <alignment horizontal="left" vertical="center" wrapText="1"/>
    </xf>
    <xf numFmtId="0" fontId="48" fillId="7" borderId="92" xfId="0" applyFont="1" applyFill="1" applyBorder="1" applyAlignment="1">
      <alignment horizontal="left" vertical="center" wrapText="1"/>
    </xf>
    <xf numFmtId="0" fontId="48" fillId="7" borderId="92" xfId="0" quotePrefix="1" applyFont="1" applyFill="1" applyBorder="1" applyAlignment="1">
      <alignment horizontal="left" vertical="center" wrapText="1"/>
    </xf>
    <xf numFmtId="0" fontId="48" fillId="7" borderId="91" xfId="0" applyFont="1" applyFill="1" applyBorder="1" applyAlignment="1">
      <alignment horizontal="left" vertical="center" wrapText="1"/>
    </xf>
    <xf numFmtId="0" fontId="48" fillId="7" borderId="6" xfId="0" quotePrefix="1" applyFont="1" applyFill="1" applyBorder="1" applyAlignment="1">
      <alignment horizontal="left" vertical="center" wrapText="1"/>
    </xf>
    <xf numFmtId="0" fontId="48" fillId="7" borderId="91" xfId="0" quotePrefix="1" applyFont="1" applyFill="1" applyBorder="1" applyAlignment="1">
      <alignment horizontal="left" vertical="center" wrapText="1"/>
    </xf>
    <xf numFmtId="0" fontId="48" fillId="7" borderId="106" xfId="0" quotePrefix="1" applyFont="1" applyFill="1" applyBorder="1" applyAlignment="1">
      <alignment horizontal="left" vertical="center" wrapText="1"/>
    </xf>
    <xf numFmtId="0" fontId="48" fillId="7" borderId="10" xfId="0" quotePrefix="1" applyFont="1" applyFill="1" applyBorder="1" applyAlignment="1">
      <alignment horizontal="left" vertical="center" wrapText="1"/>
    </xf>
    <xf numFmtId="0" fontId="51" fillId="8" borderId="136" xfId="0" quotePrefix="1" applyFont="1" applyFill="1" applyBorder="1" applyAlignment="1">
      <alignment horizontal="left" vertical="center" wrapText="1"/>
    </xf>
    <xf numFmtId="0" fontId="51" fillId="8" borderId="138" xfId="0" quotePrefix="1" applyFont="1" applyFill="1" applyBorder="1" applyAlignment="1">
      <alignment horizontal="left" vertical="center" wrapText="1"/>
    </xf>
    <xf numFmtId="0" fontId="51" fillId="8" borderId="91" xfId="0" quotePrefix="1" applyFont="1" applyFill="1" applyBorder="1" applyAlignment="1">
      <alignment horizontal="left" vertical="center" wrapText="1"/>
    </xf>
    <xf numFmtId="0" fontId="51" fillId="8" borderId="6" xfId="0" quotePrefix="1" applyFont="1" applyFill="1" applyBorder="1" applyAlignment="1">
      <alignment horizontal="left" vertical="center" wrapText="1"/>
    </xf>
    <xf numFmtId="0" fontId="51" fillId="8" borderId="92" xfId="0" quotePrefix="1" applyFont="1" applyFill="1" applyBorder="1" applyAlignment="1">
      <alignment horizontal="left" vertical="center" wrapText="1"/>
    </xf>
    <xf numFmtId="0" fontId="51" fillId="8" borderId="15" xfId="0" quotePrefix="1" applyFont="1" applyFill="1" applyBorder="1" applyAlignment="1">
      <alignment horizontal="left" vertical="center" wrapText="1"/>
    </xf>
    <xf numFmtId="0" fontId="51" fillId="8" borderId="110" xfId="0" quotePrefix="1" applyFont="1" applyFill="1" applyBorder="1" applyAlignment="1">
      <alignment horizontal="left" vertical="center" wrapText="1"/>
    </xf>
    <xf numFmtId="0" fontId="51" fillId="26" borderId="146" xfId="0" quotePrefix="1" applyFont="1" applyFill="1" applyBorder="1" applyAlignment="1">
      <alignment horizontal="left" vertical="center" wrapText="1"/>
    </xf>
    <xf numFmtId="0" fontId="51" fillId="26" borderId="149" xfId="0" quotePrefix="1" applyFont="1" applyFill="1" applyBorder="1" applyAlignment="1">
      <alignment horizontal="left" vertical="center" wrapText="1"/>
    </xf>
    <xf numFmtId="0" fontId="51" fillId="26" borderId="110" xfId="0" quotePrefix="1" applyFont="1" applyFill="1" applyBorder="1" applyAlignment="1">
      <alignment horizontal="left" vertical="center" wrapText="1"/>
    </xf>
    <xf numFmtId="0" fontId="51" fillId="25" borderId="15" xfId="0" quotePrefix="1" applyFont="1" applyFill="1" applyBorder="1" applyAlignment="1">
      <alignment horizontal="left" vertical="center" wrapText="1"/>
    </xf>
    <xf numFmtId="0" fontId="51" fillId="25" borderId="6" xfId="0" quotePrefix="1" applyFont="1" applyFill="1" applyBorder="1" applyAlignment="1">
      <alignment horizontal="left" vertical="center" wrapText="1"/>
    </xf>
    <xf numFmtId="0" fontId="51" fillId="25" borderId="10" xfId="0" quotePrefix="1" applyFont="1" applyFill="1" applyBorder="1" applyAlignment="1">
      <alignment horizontal="left" vertical="center" wrapText="1"/>
    </xf>
    <xf numFmtId="0" fontId="51" fillId="11" borderId="92" xfId="0" quotePrefix="1" applyFont="1" applyFill="1" applyBorder="1" applyAlignment="1">
      <alignment horizontal="left" vertical="center" wrapText="1"/>
    </xf>
    <xf numFmtId="0" fontId="51" fillId="11" borderId="149" xfId="0" quotePrefix="1" applyFont="1" applyFill="1" applyBorder="1" applyAlignment="1">
      <alignment horizontal="left" vertical="center" wrapText="1"/>
    </xf>
    <xf numFmtId="0" fontId="51" fillId="11" borderId="110" xfId="0" quotePrefix="1" applyFont="1" applyFill="1" applyBorder="1" applyAlignment="1">
      <alignment horizontal="left" vertical="center" wrapText="1"/>
    </xf>
    <xf numFmtId="0" fontId="51" fillId="12" borderId="146" xfId="0" quotePrefix="1" applyFont="1" applyFill="1" applyBorder="1" applyAlignment="1">
      <alignment horizontal="left" vertical="center" wrapText="1"/>
    </xf>
    <xf numFmtId="0" fontId="51" fillId="12" borderId="149" xfId="0" quotePrefix="1" applyFont="1" applyFill="1" applyBorder="1" applyAlignment="1">
      <alignment horizontal="left" vertical="center" wrapText="1"/>
    </xf>
    <xf numFmtId="0" fontId="51" fillId="12" borderId="110" xfId="0" quotePrefix="1" applyFont="1" applyFill="1" applyBorder="1" applyAlignment="1">
      <alignment horizontal="left" vertical="center" wrapText="1"/>
    </xf>
    <xf numFmtId="0" fontId="51" fillId="12" borderId="92" xfId="0" quotePrefix="1" applyFont="1" applyFill="1" applyBorder="1" applyAlignment="1">
      <alignment horizontal="left" vertical="center" wrapText="1"/>
    </xf>
    <xf numFmtId="0" fontId="51" fillId="12" borderId="15" xfId="0" quotePrefix="1" applyFont="1" applyFill="1" applyBorder="1" applyAlignment="1">
      <alignment horizontal="left" vertical="center" wrapText="1"/>
    </xf>
    <xf numFmtId="0" fontId="51" fillId="12" borderId="91" xfId="0" quotePrefix="1" applyFont="1" applyFill="1" applyBorder="1" applyAlignment="1">
      <alignment horizontal="left" vertical="center" wrapText="1"/>
    </xf>
    <xf numFmtId="0" fontId="51" fillId="12" borderId="6" xfId="0" quotePrefix="1" applyFont="1" applyFill="1" applyBorder="1" applyAlignment="1">
      <alignment horizontal="left" vertical="center" wrapText="1"/>
    </xf>
    <xf numFmtId="0" fontId="51" fillId="12" borderId="10" xfId="0" quotePrefix="1" applyFont="1" applyFill="1" applyBorder="1" applyAlignment="1">
      <alignment horizontal="left" vertical="center" wrapText="1"/>
    </xf>
    <xf numFmtId="0" fontId="51" fillId="22" borderId="149" xfId="0" applyFont="1" applyFill="1" applyBorder="1" applyAlignment="1">
      <alignment horizontal="left" vertical="center" wrapText="1"/>
    </xf>
    <xf numFmtId="0" fontId="51" fillId="0" borderId="195" xfId="0" quotePrefix="1" applyFont="1" applyBorder="1" applyAlignment="1">
      <alignment horizontal="left" vertical="center" wrapText="1"/>
    </xf>
    <xf numFmtId="0" fontId="51" fillId="22" borderId="149" xfId="0" quotePrefix="1" applyFont="1" applyFill="1" applyBorder="1" applyAlignment="1">
      <alignment horizontal="left" vertical="center" wrapText="1"/>
    </xf>
    <xf numFmtId="0" fontId="51" fillId="20" borderId="149" xfId="0" applyFont="1" applyFill="1" applyBorder="1" applyAlignment="1">
      <alignment horizontal="left" vertical="center" wrapText="1"/>
    </xf>
    <xf numFmtId="0" fontId="51" fillId="20" borderId="149" xfId="0" quotePrefix="1" applyFont="1" applyFill="1" applyBorder="1" applyAlignment="1">
      <alignment horizontal="left" vertical="center" wrapText="1"/>
    </xf>
    <xf numFmtId="0" fontId="48" fillId="20" borderId="149" xfId="0" quotePrefix="1" applyFont="1" applyFill="1" applyBorder="1" applyAlignment="1">
      <alignment horizontal="left" vertical="center" wrapText="1"/>
    </xf>
    <xf numFmtId="0" fontId="51" fillId="20" borderId="170" xfId="0" applyFont="1" applyFill="1" applyBorder="1" applyAlignment="1">
      <alignment horizontal="left" vertical="center" wrapText="1"/>
    </xf>
    <xf numFmtId="0" fontId="51" fillId="0" borderId="91" xfId="0" quotePrefix="1" applyFont="1" applyBorder="1" applyAlignment="1">
      <alignment horizontal="left" vertical="center" wrapText="1"/>
    </xf>
    <xf numFmtId="0" fontId="51" fillId="7" borderId="91" xfId="0" quotePrefix="1" applyFont="1" applyFill="1" applyBorder="1" applyAlignment="1">
      <alignment horizontal="left" vertical="center" wrapText="1"/>
    </xf>
    <xf numFmtId="0" fontId="51" fillId="7" borderId="6" xfId="0" quotePrefix="1" applyFont="1" applyFill="1" applyBorder="1" applyAlignment="1">
      <alignment horizontal="left" vertical="center" wrapText="1"/>
    </xf>
    <xf numFmtId="0" fontId="51" fillId="7" borderId="149" xfId="0" quotePrefix="1" applyFont="1" applyFill="1" applyBorder="1" applyAlignment="1">
      <alignment horizontal="left" vertical="center" wrapText="1"/>
    </xf>
    <xf numFmtId="0" fontId="51" fillId="8" borderId="99" xfId="0" quotePrefix="1" applyFont="1" applyFill="1" applyBorder="1" applyAlignment="1">
      <alignment horizontal="left" vertical="center" wrapText="1"/>
    </xf>
    <xf numFmtId="0" fontId="51" fillId="8" borderId="140" xfId="0" quotePrefix="1" applyFont="1" applyFill="1" applyBorder="1" applyAlignment="1">
      <alignment horizontal="left" vertical="center" wrapText="1"/>
    </xf>
    <xf numFmtId="0" fontId="48" fillId="8" borderId="6" xfId="0" quotePrefix="1" applyFont="1" applyFill="1" applyBorder="1" applyAlignment="1">
      <alignment horizontal="left" vertical="center" wrapText="1"/>
    </xf>
    <xf numFmtId="0" fontId="51" fillId="27" borderId="140" xfId="0" quotePrefix="1" applyFont="1" applyFill="1" applyBorder="1" applyAlignment="1">
      <alignment horizontal="left" vertical="center" wrapText="1"/>
    </xf>
    <xf numFmtId="0" fontId="51" fillId="27" borderId="149" xfId="0" quotePrefix="1" applyFont="1" applyFill="1" applyBorder="1" applyAlignment="1">
      <alignment horizontal="left" vertical="center" wrapText="1"/>
    </xf>
    <xf numFmtId="0" fontId="51" fillId="21" borderId="91" xfId="0" quotePrefix="1" applyFont="1" applyFill="1" applyBorder="1" applyAlignment="1">
      <alignment horizontal="left" vertical="center" wrapText="1"/>
    </xf>
    <xf numFmtId="0" fontId="51" fillId="21" borderId="6" xfId="0" quotePrefix="1" applyFont="1" applyFill="1" applyBorder="1" applyAlignment="1">
      <alignment horizontal="left" vertical="center" wrapText="1"/>
    </xf>
    <xf numFmtId="0" fontId="48" fillId="21" borderId="6" xfId="0" quotePrefix="1" applyFont="1" applyFill="1" applyBorder="1" applyAlignment="1">
      <alignment horizontal="left" vertical="center" wrapText="1"/>
    </xf>
    <xf numFmtId="0" fontId="48" fillId="10" borderId="91" xfId="0" applyFont="1" applyFill="1" applyBorder="1" applyAlignment="1">
      <alignment horizontal="left" vertical="center" wrapText="1"/>
    </xf>
    <xf numFmtId="0" fontId="48" fillId="22" borderId="91" xfId="0" applyFont="1" applyFill="1" applyBorder="1" applyAlignment="1">
      <alignment horizontal="left" vertical="center" wrapText="1"/>
    </xf>
    <xf numFmtId="0" fontId="48" fillId="22" borderId="6" xfId="0" quotePrefix="1" applyFont="1" applyFill="1" applyBorder="1" applyAlignment="1">
      <alignment horizontal="left" vertical="center" wrapText="1"/>
    </xf>
    <xf numFmtId="0" fontId="48" fillId="20" borderId="91" xfId="0" applyFont="1" applyFill="1" applyBorder="1" applyAlignment="1">
      <alignment horizontal="left" vertical="center" wrapText="1"/>
    </xf>
    <xf numFmtId="0" fontId="48" fillId="20" borderId="6" xfId="0" quotePrefix="1" applyFont="1" applyFill="1" applyBorder="1" applyAlignment="1">
      <alignment horizontal="left" vertical="center" wrapText="1"/>
    </xf>
    <xf numFmtId="0" fontId="51" fillId="11" borderId="91" xfId="0" quotePrefix="1" applyFont="1" applyFill="1" applyBorder="1" applyAlignment="1">
      <alignment horizontal="left" vertical="center" wrapText="1"/>
    </xf>
    <xf numFmtId="0" fontId="51" fillId="11" borderId="6" xfId="0" quotePrefix="1" applyFont="1" applyFill="1" applyBorder="1" applyAlignment="1">
      <alignment horizontal="left" vertical="center" wrapText="1"/>
    </xf>
    <xf numFmtId="0" fontId="48" fillId="11" borderId="149" xfId="0" quotePrefix="1" applyFont="1" applyFill="1" applyBorder="1" applyAlignment="1">
      <alignment horizontal="left" vertical="center" wrapText="1"/>
    </xf>
    <xf numFmtId="0" fontId="48" fillId="12" borderId="6" xfId="0" quotePrefix="1" applyFont="1" applyFill="1" applyBorder="1" applyAlignment="1">
      <alignment horizontal="left" vertical="center" wrapText="1"/>
    </xf>
    <xf numFmtId="0" fontId="51" fillId="18" borderId="91" xfId="0" quotePrefix="1" applyFont="1" applyFill="1" applyBorder="1" applyAlignment="1">
      <alignment horizontal="left" vertical="center" wrapText="1"/>
    </xf>
    <xf numFmtId="0" fontId="51" fillId="18" borderId="6" xfId="0" quotePrefix="1" applyFont="1" applyFill="1" applyBorder="1" applyAlignment="1">
      <alignment horizontal="left" vertical="center" wrapText="1"/>
    </xf>
    <xf numFmtId="0" fontId="48" fillId="18" borderId="6" xfId="0" quotePrefix="1" applyFont="1" applyFill="1" applyBorder="1" applyAlignment="1">
      <alignment horizontal="left" vertical="center" wrapText="1"/>
    </xf>
    <xf numFmtId="0" fontId="48" fillId="9" borderId="91" xfId="0" applyFont="1" applyFill="1" applyBorder="1" applyAlignment="1">
      <alignment horizontal="left" vertical="center" wrapText="1"/>
    </xf>
    <xf numFmtId="0" fontId="48" fillId="9" borderId="6" xfId="0" quotePrefix="1" applyFont="1" applyFill="1" applyBorder="1" applyAlignment="1">
      <alignment horizontal="left" vertical="center" wrapText="1"/>
    </xf>
    <xf numFmtId="0" fontId="51" fillId="9" borderId="6" xfId="0" quotePrefix="1" applyFont="1" applyFill="1" applyBorder="1" applyAlignment="1">
      <alignment horizontal="left" vertical="center" wrapText="1"/>
    </xf>
    <xf numFmtId="0" fontId="51" fillId="9" borderId="91" xfId="0" quotePrefix="1" applyFont="1" applyFill="1" applyBorder="1" applyAlignment="1">
      <alignment horizontal="left" vertical="center" wrapText="1"/>
    </xf>
    <xf numFmtId="0" fontId="51" fillId="9" borderId="10" xfId="0" applyFont="1" applyFill="1" applyBorder="1" applyAlignment="1">
      <alignment horizontal="left" vertical="center" wrapText="1"/>
    </xf>
    <xf numFmtId="0" fontId="55" fillId="8" borderId="78" xfId="0" applyFont="1" applyFill="1" applyBorder="1" applyAlignment="1">
      <alignment horizontal="left" vertical="center" wrapText="1"/>
    </xf>
    <xf numFmtId="0" fontId="55" fillId="8" borderId="82" xfId="0" applyFont="1" applyFill="1" applyBorder="1" applyAlignment="1">
      <alignment horizontal="left" vertical="center" wrapText="1"/>
    </xf>
    <xf numFmtId="0" fontId="55" fillId="8" borderId="91" xfId="0" applyFont="1" applyFill="1" applyBorder="1" applyAlignment="1">
      <alignment horizontal="left" vertical="center" wrapText="1"/>
    </xf>
    <xf numFmtId="0" fontId="55" fillId="27" borderId="92" xfId="0" applyFont="1" applyFill="1" applyBorder="1" applyAlignment="1">
      <alignment horizontal="left" vertical="center" wrapText="1"/>
    </xf>
    <xf numFmtId="0" fontId="55" fillId="27" borderId="140" xfId="0" applyFont="1" applyFill="1" applyBorder="1" applyAlignment="1">
      <alignment horizontal="left" vertical="center" wrapText="1"/>
    </xf>
    <xf numFmtId="0" fontId="55" fillId="10" borderId="91" xfId="0" applyFont="1" applyFill="1" applyBorder="1" applyAlignment="1">
      <alignment horizontal="left" vertical="center" wrapText="1"/>
    </xf>
    <xf numFmtId="0" fontId="0" fillId="10" borderId="6" xfId="0" applyFill="1" applyBorder="1" applyAlignment="1">
      <alignment horizontal="left" vertical="center" wrapText="1"/>
    </xf>
    <xf numFmtId="0" fontId="0" fillId="20" borderId="6" xfId="0" applyFill="1" applyBorder="1" applyAlignment="1">
      <alignment horizontal="left" vertical="center" wrapText="1"/>
    </xf>
    <xf numFmtId="0" fontId="55" fillId="12" borderId="91" xfId="0" applyFont="1" applyFill="1" applyBorder="1" applyAlignment="1">
      <alignment horizontal="left" vertical="center" wrapText="1"/>
    </xf>
    <xf numFmtId="0" fontId="55" fillId="9" borderId="91" xfId="0" applyFont="1" applyFill="1" applyBorder="1" applyAlignment="1">
      <alignment horizontal="left" vertical="center" wrapText="1"/>
    </xf>
    <xf numFmtId="0" fontId="55" fillId="16" borderId="91" xfId="0" applyFont="1" applyFill="1" applyBorder="1" applyAlignment="1">
      <alignment horizontal="left" vertical="center" wrapText="1"/>
    </xf>
    <xf numFmtId="0" fontId="55" fillId="16" borderId="10" xfId="0" applyFont="1" applyFill="1" applyBorder="1" applyAlignment="1">
      <alignment horizontal="left" vertical="center" wrapText="1"/>
    </xf>
    <xf numFmtId="0" fontId="51" fillId="20" borderId="92" xfId="0" applyFont="1" applyFill="1" applyBorder="1" applyAlignment="1">
      <alignment horizontal="left" vertical="center" wrapText="1"/>
    </xf>
    <xf numFmtId="0" fontId="51" fillId="20" borderId="110" xfId="0" applyFont="1" applyFill="1" applyBorder="1" applyAlignment="1">
      <alignment horizontal="left" vertical="center" wrapText="1"/>
    </xf>
    <xf numFmtId="0" fontId="51" fillId="20" borderId="78" xfId="0" applyFont="1" applyFill="1" applyBorder="1" applyAlignment="1">
      <alignment horizontal="left" vertical="center" wrapText="1"/>
    </xf>
    <xf numFmtId="0" fontId="51" fillId="20" borderId="62" xfId="0" applyFont="1" applyFill="1" applyBorder="1" applyAlignment="1">
      <alignment horizontal="left" vertical="center" wrapText="1"/>
    </xf>
    <xf numFmtId="0" fontId="51" fillId="20" borderId="6" xfId="0" applyFont="1" applyFill="1" applyBorder="1" applyAlignment="1">
      <alignment horizontal="left" vertical="center" wrapText="1"/>
    </xf>
    <xf numFmtId="0" fontId="51" fillId="20" borderId="82" xfId="0" applyFont="1" applyFill="1" applyBorder="1" applyAlignment="1">
      <alignment horizontal="left" vertical="center" wrapText="1"/>
    </xf>
    <xf numFmtId="0" fontId="51" fillId="20" borderId="36" xfId="0" applyFont="1" applyFill="1" applyBorder="1" applyAlignment="1">
      <alignment horizontal="left" vertical="center" wrapText="1"/>
    </xf>
    <xf numFmtId="0" fontId="51" fillId="20" borderId="54" xfId="24" applyFont="1" applyFill="1" applyBorder="1" applyAlignment="1">
      <alignment horizontal="left" vertical="center" wrapText="1"/>
    </xf>
    <xf numFmtId="0" fontId="51" fillId="20" borderId="6" xfId="24" applyFont="1" applyFill="1" applyBorder="1" applyAlignment="1">
      <alignment horizontal="left" vertical="center" wrapText="1"/>
    </xf>
    <xf numFmtId="0" fontId="51" fillId="20" borderId="15" xfId="0" applyFont="1" applyFill="1" applyBorder="1" applyAlignment="1">
      <alignment horizontal="left" vertical="center" wrapText="1"/>
    </xf>
    <xf numFmtId="0" fontId="51" fillId="20" borderId="195" xfId="0" applyFont="1" applyFill="1" applyBorder="1" applyAlignment="1">
      <alignment horizontal="left" vertical="center" wrapText="1"/>
    </xf>
    <xf numFmtId="0" fontId="0" fillId="20" borderId="92" xfId="0" applyFill="1" applyBorder="1" applyAlignment="1">
      <alignment horizontal="left" vertical="center" wrapText="1"/>
    </xf>
    <xf numFmtId="0" fontId="0" fillId="20" borderId="149" xfId="0" applyFill="1" applyBorder="1" applyAlignment="1">
      <alignment horizontal="left" vertical="center" wrapText="1"/>
    </xf>
    <xf numFmtId="0" fontId="0" fillId="20" borderId="110" xfId="0" applyFill="1" applyBorder="1" applyAlignment="1">
      <alignment horizontal="left" vertical="center" wrapText="1"/>
    </xf>
    <xf numFmtId="0" fontId="12" fillId="20" borderId="149" xfId="0" applyFont="1" applyFill="1" applyBorder="1" applyAlignment="1">
      <alignment horizontal="left" vertical="center" wrapText="1"/>
    </xf>
    <xf numFmtId="0" fontId="51" fillId="20" borderId="146" xfId="0" applyFont="1" applyFill="1" applyBorder="1" applyAlignment="1">
      <alignment horizontal="left" vertical="center" wrapText="1"/>
    </xf>
    <xf numFmtId="0" fontId="51" fillId="20" borderId="146" xfId="0" quotePrefix="1" applyFont="1" applyFill="1" applyBorder="1" applyAlignment="1">
      <alignment horizontal="left" vertical="center" wrapText="1"/>
    </xf>
    <xf numFmtId="0" fontId="51" fillId="20" borderId="91" xfId="0" quotePrefix="1" applyFont="1" applyFill="1" applyBorder="1" applyAlignment="1">
      <alignment horizontal="left" vertical="center" wrapText="1"/>
    </xf>
    <xf numFmtId="0" fontId="51" fillId="20" borderId="89" xfId="0" applyFont="1" applyFill="1" applyBorder="1" applyAlignment="1">
      <alignment horizontal="left" vertical="center" wrapText="1"/>
    </xf>
    <xf numFmtId="0" fontId="51" fillId="4" borderId="89" xfId="0" applyFont="1" applyFill="1" applyBorder="1" applyAlignment="1">
      <alignment horizontal="left" vertical="center" wrapText="1"/>
    </xf>
    <xf numFmtId="0" fontId="83" fillId="12" borderId="149" xfId="0" applyFont="1" applyFill="1" applyBorder="1" applyAlignment="1">
      <alignment horizontal="center" vertical="center"/>
    </xf>
    <xf numFmtId="0" fontId="51" fillId="12" borderId="149" xfId="0" applyFont="1" applyFill="1" applyBorder="1" applyAlignment="1">
      <alignment horizontal="center" vertical="center"/>
    </xf>
    <xf numFmtId="0" fontId="82" fillId="23" borderId="207" xfId="204" applyFont="1" applyFill="1" applyBorder="1" applyAlignment="1">
      <alignment horizontal="left" vertical="center"/>
    </xf>
    <xf numFmtId="0" fontId="82" fillId="23" borderId="208" xfId="204" applyFont="1" applyFill="1" applyBorder="1" applyAlignment="1">
      <alignment horizontal="left" vertical="center"/>
    </xf>
    <xf numFmtId="0" fontId="82" fillId="23" borderId="87" xfId="204" applyFont="1" applyFill="1" applyBorder="1" applyAlignment="1">
      <alignment horizontal="left" vertical="center"/>
    </xf>
    <xf numFmtId="0" fontId="82" fillId="23" borderId="209" xfId="204" applyFont="1" applyFill="1" applyBorder="1" applyAlignment="1">
      <alignment horizontal="left" vertical="center"/>
    </xf>
    <xf numFmtId="0" fontId="82" fillId="23" borderId="210" xfId="204" applyFont="1" applyFill="1" applyBorder="1" applyAlignment="1">
      <alignment horizontal="left" vertical="center"/>
    </xf>
    <xf numFmtId="0" fontId="48" fillId="0" borderId="88" xfId="205" applyFont="1" applyBorder="1" applyAlignment="1">
      <alignment horizontal="left" vertical="center"/>
    </xf>
    <xf numFmtId="0" fontId="51" fillId="0" borderId="88" xfId="205" applyFont="1" applyBorder="1" applyAlignment="1">
      <alignment horizontal="center" vertical="center"/>
    </xf>
    <xf numFmtId="0" fontId="8" fillId="2" borderId="0" xfId="204" applyFill="1" applyAlignment="1">
      <alignment horizontal="left" vertical="center"/>
    </xf>
    <xf numFmtId="0" fontId="7" fillId="0" borderId="0" xfId="206" applyAlignment="1">
      <alignment horizontal="left" vertical="center"/>
    </xf>
    <xf numFmtId="0" fontId="51" fillId="0" borderId="88" xfId="206" applyFont="1" applyBorder="1" applyAlignment="1">
      <alignment horizontal="center" vertical="center"/>
    </xf>
    <xf numFmtId="0" fontId="51" fillId="0" borderId="88" xfId="206" applyFont="1" applyBorder="1" applyAlignment="1">
      <alignment horizontal="left" vertical="center"/>
    </xf>
    <xf numFmtId="0" fontId="48" fillId="0" borderId="88" xfId="206" applyFont="1" applyBorder="1" applyAlignment="1">
      <alignment horizontal="left" vertical="center"/>
    </xf>
    <xf numFmtId="0" fontId="51" fillId="0" borderId="88" xfId="206" applyFont="1" applyBorder="1" applyAlignment="1">
      <alignment horizontal="left"/>
    </xf>
    <xf numFmtId="0" fontId="82" fillId="23" borderId="211" xfId="204" applyFont="1" applyFill="1" applyBorder="1" applyAlignment="1">
      <alignment horizontal="left" vertical="center"/>
    </xf>
    <xf numFmtId="0" fontId="82" fillId="23" borderId="212" xfId="204" applyFont="1" applyFill="1" applyBorder="1" applyAlignment="1">
      <alignment horizontal="left" vertical="center"/>
    </xf>
    <xf numFmtId="0" fontId="82" fillId="23" borderId="213" xfId="204" applyFont="1" applyFill="1" applyBorder="1" applyAlignment="1">
      <alignment horizontal="left" vertical="center"/>
    </xf>
    <xf numFmtId="0" fontId="82" fillId="23" borderId="214" xfId="204" applyFont="1" applyFill="1" applyBorder="1" applyAlignment="1">
      <alignment horizontal="left" vertical="center"/>
    </xf>
    <xf numFmtId="11" fontId="51" fillId="0" borderId="88" xfId="205" applyNumberFormat="1" applyFont="1" applyBorder="1" applyAlignment="1">
      <alignment horizontal="left" vertical="center"/>
    </xf>
    <xf numFmtId="0" fontId="8" fillId="0" borderId="0" xfId="205"/>
    <xf numFmtId="0" fontId="51" fillId="0" borderId="215" xfId="204" applyFont="1" applyBorder="1" applyAlignment="1">
      <alignment horizontal="left" vertical="center"/>
    </xf>
    <xf numFmtId="0" fontId="51" fillId="0" borderId="215" xfId="207" applyFont="1" applyBorder="1" applyAlignment="1">
      <alignment horizontal="left" vertical="center"/>
    </xf>
    <xf numFmtId="167" fontId="51" fillId="0" borderId="215" xfId="207" applyNumberFormat="1" applyFont="1" applyBorder="1" applyAlignment="1">
      <alignment horizontal="left" vertical="center"/>
    </xf>
    <xf numFmtId="0" fontId="51" fillId="0" borderId="88" xfId="207" applyFont="1" applyBorder="1" applyAlignment="1">
      <alignment horizontal="left" vertical="center"/>
    </xf>
    <xf numFmtId="0" fontId="51" fillId="0" borderId="215" xfId="207" quotePrefix="1" applyFont="1" applyBorder="1" applyAlignment="1">
      <alignment horizontal="center" vertical="center"/>
    </xf>
    <xf numFmtId="0" fontId="48" fillId="0" borderId="216" xfId="6" applyFont="1" applyBorder="1"/>
    <xf numFmtId="0" fontId="48" fillId="0" borderId="195" xfId="6" applyFont="1" applyBorder="1"/>
    <xf numFmtId="0" fontId="48" fillId="0" borderId="199" xfId="6" applyFont="1" applyBorder="1"/>
    <xf numFmtId="0" fontId="48" fillId="0" borderId="217" xfId="6" applyFont="1" applyBorder="1"/>
    <xf numFmtId="0" fontId="48" fillId="0" borderId="149" xfId="6" applyFont="1" applyBorder="1"/>
    <xf numFmtId="0" fontId="48" fillId="0" borderId="218" xfId="6" applyFont="1" applyBorder="1"/>
    <xf numFmtId="0" fontId="48" fillId="0" borderId="149" xfId="0" applyFont="1" applyBorder="1"/>
    <xf numFmtId="0" fontId="48" fillId="0" borderId="219" xfId="6" applyFont="1" applyBorder="1"/>
    <xf numFmtId="0" fontId="48" fillId="0" borderId="220" xfId="6" applyFont="1" applyBorder="1"/>
    <xf numFmtId="0" fontId="48" fillId="0" borderId="221" xfId="6" applyFont="1" applyBorder="1"/>
    <xf numFmtId="165" fontId="51" fillId="12" borderId="149" xfId="0" applyNumberFormat="1" applyFont="1" applyFill="1" applyBorder="1" applyAlignment="1">
      <alignment horizontal="left" vertical="center"/>
    </xf>
    <xf numFmtId="164" fontId="51" fillId="20" borderId="92" xfId="0" quotePrefix="1" applyNumberFormat="1" applyFont="1" applyFill="1" applyBorder="1" applyAlignment="1">
      <alignment horizontal="left" vertical="center"/>
    </xf>
    <xf numFmtId="164" fontId="51" fillId="20" borderId="149" xfId="0" quotePrefix="1" applyNumberFormat="1" applyFont="1" applyFill="1" applyBorder="1" applyAlignment="1">
      <alignment horizontal="left" vertical="center"/>
    </xf>
    <xf numFmtId="0" fontId="51" fillId="0" borderId="222" xfId="0" applyFont="1" applyBorder="1" applyAlignment="1">
      <alignment horizontal="left" vertical="center" wrapText="1"/>
    </xf>
    <xf numFmtId="0" fontId="51" fillId="0" borderId="222" xfId="0" applyFont="1" applyBorder="1" applyAlignment="1">
      <alignment horizontal="center" vertical="center" wrapText="1"/>
    </xf>
    <xf numFmtId="0" fontId="51" fillId="0" borderId="218" xfId="0" applyFont="1" applyBorder="1" applyAlignment="1">
      <alignment horizontal="center" vertical="center" wrapText="1"/>
    </xf>
    <xf numFmtId="0" fontId="51" fillId="0" borderId="222" xfId="0" applyFont="1" applyBorder="1" applyAlignment="1">
      <alignment horizontal="center" vertical="center"/>
    </xf>
    <xf numFmtId="0" fontId="51" fillId="0" borderId="222" xfId="0" quotePrefix="1" applyFont="1" applyBorder="1" applyAlignment="1">
      <alignment horizontal="center" vertical="center" wrapText="1"/>
    </xf>
    <xf numFmtId="0" fontId="51" fillId="0" borderId="220" xfId="0" applyFont="1" applyBorder="1" applyAlignment="1">
      <alignment horizontal="left" vertical="center" wrapText="1"/>
    </xf>
    <xf numFmtId="0" fontId="55" fillId="0" borderId="220" xfId="0" applyFont="1" applyBorder="1" applyAlignment="1">
      <alignment horizontal="center" vertical="center"/>
    </xf>
    <xf numFmtId="0" fontId="55" fillId="0" borderId="221" xfId="0" applyFont="1" applyBorder="1" applyAlignment="1">
      <alignment horizontal="center" vertical="center"/>
    </xf>
    <xf numFmtId="0" fontId="51" fillId="0" borderId="217" xfId="2" applyFont="1" applyBorder="1" applyAlignment="1">
      <alignment horizontal="left" vertical="center" wrapText="1"/>
    </xf>
    <xf numFmtId="0" fontId="55" fillId="0" borderId="219" xfId="0" applyFont="1" applyBorder="1" applyAlignment="1">
      <alignment horizontal="left" vertical="center"/>
    </xf>
    <xf numFmtId="0" fontId="99" fillId="29" borderId="219" xfId="2" applyFont="1" applyFill="1" applyBorder="1" applyAlignment="1">
      <alignment horizontal="left" vertical="center" wrapText="1"/>
    </xf>
    <xf numFmtId="0" fontId="51" fillId="29" borderId="221" xfId="0" applyFont="1" applyFill="1" applyBorder="1" applyAlignment="1">
      <alignment horizontal="center" vertical="center"/>
    </xf>
    <xf numFmtId="0" fontId="48" fillId="0" borderId="216" xfId="0" applyFont="1" applyBorder="1"/>
    <xf numFmtId="0" fontId="48" fillId="0" borderId="195" xfId="0" applyFont="1" applyBorder="1"/>
    <xf numFmtId="0" fontId="48" fillId="0" borderId="195" xfId="0" applyFont="1" applyBorder="1" applyAlignment="1">
      <alignment horizontal="center"/>
    </xf>
    <xf numFmtId="0" fontId="48" fillId="0" borderId="199" xfId="0" applyFont="1" applyBorder="1"/>
    <xf numFmtId="0" fontId="48" fillId="0" borderId="96" xfId="0" applyFont="1" applyBorder="1"/>
    <xf numFmtId="0" fontId="99" fillId="29" borderId="223" xfId="2" applyFont="1" applyFill="1" applyBorder="1" applyAlignment="1">
      <alignment horizontal="left" vertical="center" wrapText="1"/>
    </xf>
    <xf numFmtId="0" fontId="51" fillId="31" borderId="216" xfId="0" applyFont="1" applyFill="1" applyBorder="1" applyAlignment="1">
      <alignment horizontal="left" vertical="center"/>
    </xf>
    <xf numFmtId="0" fontId="0" fillId="31" borderId="195" xfId="0" applyFill="1" applyBorder="1" applyAlignment="1">
      <alignment horizontal="left"/>
    </xf>
    <xf numFmtId="164" fontId="51" fillId="31" borderId="195" xfId="0" applyNumberFormat="1" applyFont="1" applyFill="1" applyBorder="1" applyAlignment="1">
      <alignment horizontal="center" vertical="center"/>
    </xf>
    <xf numFmtId="0" fontId="51" fillId="31" borderId="195" xfId="0" applyFont="1" applyFill="1" applyBorder="1" applyAlignment="1">
      <alignment horizontal="center" vertical="center" wrapText="1"/>
    </xf>
    <xf numFmtId="0" fontId="55" fillId="31" borderId="195" xfId="0" applyFont="1" applyFill="1" applyBorder="1" applyAlignment="1">
      <alignment horizontal="center" vertical="center" wrapText="1"/>
    </xf>
    <xf numFmtId="0" fontId="51" fillId="31" borderId="195" xfId="0" applyFont="1" applyFill="1" applyBorder="1" applyAlignment="1">
      <alignment horizontal="left" vertical="center" wrapText="1"/>
    </xf>
    <xf numFmtId="0" fontId="51" fillId="31" borderId="199" xfId="0" applyFont="1" applyFill="1" applyBorder="1" applyAlignment="1">
      <alignment horizontal="left" vertical="center"/>
    </xf>
    <xf numFmtId="0" fontId="51" fillId="31" borderId="219" xfId="0" applyFont="1" applyFill="1" applyBorder="1" applyAlignment="1">
      <alignment horizontal="left" vertical="center"/>
    </xf>
    <xf numFmtId="0" fontId="0" fillId="31" borderId="220" xfId="0" applyFill="1" applyBorder="1" applyAlignment="1">
      <alignment horizontal="left"/>
    </xf>
    <xf numFmtId="1" fontId="51" fillId="31" borderId="220" xfId="0" applyNumberFormat="1" applyFont="1" applyFill="1" applyBorder="1" applyAlignment="1">
      <alignment horizontal="center" vertical="center"/>
    </xf>
    <xf numFmtId="0" fontId="51" fillId="31" borderId="220" xfId="0" applyFont="1" applyFill="1" applyBorder="1" applyAlignment="1">
      <alignment horizontal="center" vertical="center" wrapText="1"/>
    </xf>
    <xf numFmtId="0" fontId="55" fillId="31" borderId="220" xfId="0" applyFont="1" applyFill="1" applyBorder="1" applyAlignment="1">
      <alignment horizontal="center" vertical="center" wrapText="1"/>
    </xf>
    <xf numFmtId="0" fontId="51" fillId="31" borderId="220" xfId="0" applyFont="1" applyFill="1" applyBorder="1" applyAlignment="1">
      <alignment horizontal="left" vertical="center" wrapText="1"/>
    </xf>
    <xf numFmtId="0" fontId="51" fillId="31" borderId="221" xfId="0" applyFont="1" applyFill="1" applyBorder="1" applyAlignment="1">
      <alignment horizontal="left" vertical="center"/>
    </xf>
    <xf numFmtId="0" fontId="48" fillId="0" borderId="222" xfId="0" quotePrefix="1" applyFont="1" applyBorder="1" applyAlignment="1">
      <alignment horizontal="left" vertical="center" wrapText="1"/>
    </xf>
    <xf numFmtId="0" fontId="75" fillId="0" borderId="217" xfId="3" applyFont="1" applyBorder="1" applyAlignment="1">
      <alignment horizontal="left" vertical="center" wrapText="1"/>
    </xf>
    <xf numFmtId="2" fontId="48" fillId="0" borderId="222" xfId="0" applyNumberFormat="1" applyFont="1" applyBorder="1" applyAlignment="1">
      <alignment horizontal="left" vertical="center"/>
    </xf>
    <xf numFmtId="0" fontId="48" fillId="0" borderId="222" xfId="0" applyFont="1" applyBorder="1" applyAlignment="1">
      <alignment horizontal="center" vertical="center"/>
    </xf>
    <xf numFmtId="1" fontId="48" fillId="0" borderId="222" xfId="0" applyNumberFormat="1" applyFont="1" applyBorder="1" applyAlignment="1">
      <alignment horizontal="center" vertical="center"/>
    </xf>
    <xf numFmtId="0" fontId="48" fillId="5" borderId="222" xfId="0" applyFont="1" applyFill="1" applyBorder="1" applyAlignment="1">
      <alignment horizontal="center" vertical="center"/>
    </xf>
    <xf numFmtId="0" fontId="48" fillId="0" borderId="218" xfId="0" applyFont="1" applyBorder="1" applyAlignment="1">
      <alignment horizontal="left" vertical="center"/>
    </xf>
    <xf numFmtId="0" fontId="63" fillId="7" borderId="197" xfId="3" applyFont="1" applyFill="1" applyBorder="1" applyAlignment="1">
      <alignment horizontal="center" vertical="center" wrapText="1"/>
    </xf>
    <xf numFmtId="0" fontId="48" fillId="8" borderId="15" xfId="0" quotePrefix="1" applyFont="1" applyFill="1" applyBorder="1" applyAlignment="1">
      <alignment horizontal="center" vertical="center"/>
    </xf>
    <xf numFmtId="0" fontId="48" fillId="8" borderId="222" xfId="0" quotePrefix="1" applyFont="1" applyFill="1" applyBorder="1" applyAlignment="1">
      <alignment horizontal="center" vertical="center"/>
    </xf>
    <xf numFmtId="0" fontId="48" fillId="26" borderId="222" xfId="0" applyFont="1" applyFill="1" applyBorder="1" applyAlignment="1">
      <alignment horizontal="center" vertical="center"/>
    </xf>
    <xf numFmtId="0" fontId="48" fillId="21" borderId="222" xfId="0" quotePrefix="1" applyFont="1" applyFill="1" applyBorder="1" applyAlignment="1">
      <alignment horizontal="center" vertical="center"/>
    </xf>
    <xf numFmtId="0" fontId="48" fillId="11" borderId="222" xfId="0" quotePrefix="1" applyFont="1" applyFill="1" applyBorder="1" applyAlignment="1">
      <alignment horizontal="center" vertical="center"/>
    </xf>
    <xf numFmtId="0" fontId="48" fillId="11" borderId="222" xfId="0" applyFont="1" applyFill="1" applyBorder="1" applyAlignment="1">
      <alignment horizontal="center" vertical="center"/>
    </xf>
    <xf numFmtId="0" fontId="48" fillId="10" borderId="222" xfId="0" applyFont="1" applyFill="1" applyBorder="1" applyAlignment="1">
      <alignment horizontal="center" vertical="center"/>
    </xf>
    <xf numFmtId="0" fontId="48" fillId="22" borderId="222" xfId="0" applyFont="1" applyFill="1" applyBorder="1" applyAlignment="1">
      <alignment horizontal="center" vertical="center"/>
    </xf>
    <xf numFmtId="0" fontId="48" fillId="20" borderId="222" xfId="0" quotePrefix="1" applyFont="1" applyFill="1" applyBorder="1" applyAlignment="1">
      <alignment horizontal="center" vertical="center"/>
    </xf>
    <xf numFmtId="0" fontId="48" fillId="20" borderId="222" xfId="0" applyFont="1" applyFill="1" applyBorder="1" applyAlignment="1">
      <alignment horizontal="center" vertical="center"/>
    </xf>
    <xf numFmtId="0" fontId="48" fillId="12" borderId="222" xfId="0" quotePrefix="1" applyFont="1" applyFill="1" applyBorder="1" applyAlignment="1">
      <alignment horizontal="center" vertical="center"/>
    </xf>
    <xf numFmtId="0" fontId="48" fillId="12" borderId="222" xfId="0" applyFont="1" applyFill="1" applyBorder="1" applyAlignment="1">
      <alignment horizontal="center" vertical="center"/>
    </xf>
    <xf numFmtId="0" fontId="48" fillId="18" borderId="222" xfId="0" quotePrefix="1" applyFont="1" applyFill="1" applyBorder="1" applyAlignment="1">
      <alignment horizontal="center" vertical="center"/>
    </xf>
    <xf numFmtId="0" fontId="48" fillId="18" borderId="222" xfId="0" applyFont="1" applyFill="1" applyBorder="1" applyAlignment="1">
      <alignment horizontal="center" vertical="center"/>
    </xf>
    <xf numFmtId="0" fontId="48" fillId="9" borderId="222" xfId="0" applyFont="1" applyFill="1" applyBorder="1" applyAlignment="1">
      <alignment horizontal="center" vertical="center"/>
    </xf>
    <xf numFmtId="0" fontId="48" fillId="7" borderId="222" xfId="0" applyFont="1" applyFill="1" applyBorder="1" applyAlignment="1">
      <alignment horizontal="center" vertical="center"/>
    </xf>
    <xf numFmtId="0" fontId="48" fillId="7" borderId="222" xfId="0" quotePrefix="1" applyFont="1" applyFill="1" applyBorder="1" applyAlignment="1">
      <alignment horizontal="center" vertical="center"/>
    </xf>
    <xf numFmtId="0" fontId="48" fillId="16" borderId="222" xfId="0" quotePrefix="1" applyFont="1" applyFill="1" applyBorder="1" applyAlignment="1">
      <alignment horizontal="center" vertical="center"/>
    </xf>
    <xf numFmtId="0" fontId="48" fillId="9" borderId="222" xfId="0" quotePrefix="1" applyFont="1" applyFill="1" applyBorder="1" applyAlignment="1">
      <alignment horizontal="center" vertical="center"/>
    </xf>
    <xf numFmtId="0" fontId="48" fillId="15" borderId="222" xfId="0" quotePrefix="1" applyFont="1" applyFill="1" applyBorder="1" applyAlignment="1">
      <alignment horizontal="center" vertical="center"/>
    </xf>
    <xf numFmtId="0" fontId="48" fillId="30" borderId="222" xfId="0" applyFont="1" applyFill="1" applyBorder="1" applyAlignment="1">
      <alignment horizontal="center" vertical="center"/>
    </xf>
    <xf numFmtId="0" fontId="48" fillId="4" borderId="222" xfId="0" quotePrefix="1" applyFont="1" applyFill="1" applyBorder="1" applyAlignment="1">
      <alignment horizontal="center" vertical="center"/>
    </xf>
    <xf numFmtId="0" fontId="48" fillId="18" borderId="220" xfId="0" quotePrefix="1" applyFont="1" applyFill="1" applyBorder="1" applyAlignment="1">
      <alignment horizontal="center" vertical="center"/>
    </xf>
    <xf numFmtId="0" fontId="51" fillId="5" borderId="222" xfId="0" applyFont="1" applyFill="1" applyBorder="1" applyAlignment="1">
      <alignment horizontal="center" vertical="center"/>
    </xf>
    <xf numFmtId="0" fontId="48" fillId="5" borderId="220" xfId="0" applyFont="1" applyFill="1" applyBorder="1" applyAlignment="1">
      <alignment horizontal="center" vertical="center"/>
    </xf>
    <xf numFmtId="0" fontId="50" fillId="11" borderId="217" xfId="0" applyFont="1" applyFill="1" applyBorder="1" applyAlignment="1">
      <alignment horizontal="center" vertical="center"/>
    </xf>
    <xf numFmtId="0" fontId="50" fillId="11" borderId="222" xfId="0" applyFont="1" applyFill="1" applyBorder="1" applyAlignment="1">
      <alignment horizontal="center" vertical="center"/>
    </xf>
    <xf numFmtId="0" fontId="48" fillId="11" borderId="222" xfId="0" applyFont="1" applyFill="1" applyBorder="1" applyAlignment="1">
      <alignment horizontal="left" vertical="center" wrapText="1"/>
    </xf>
    <xf numFmtId="0" fontId="0" fillId="11" borderId="222" xfId="0" applyFill="1" applyBorder="1" applyAlignment="1">
      <alignment horizontal="center" vertical="center"/>
    </xf>
    <xf numFmtId="0" fontId="48" fillId="11" borderId="222" xfId="0" applyFont="1" applyFill="1" applyBorder="1" applyAlignment="1">
      <alignment horizontal="left" vertical="center"/>
    </xf>
    <xf numFmtId="0" fontId="48" fillId="11" borderId="218" xfId="0" applyFont="1" applyFill="1" applyBorder="1" applyAlignment="1">
      <alignment horizontal="left" vertical="center"/>
    </xf>
    <xf numFmtId="0" fontId="50" fillId="10" borderId="37" xfId="0" applyFont="1" applyFill="1" applyBorder="1" applyAlignment="1">
      <alignment horizontal="center"/>
    </xf>
    <xf numFmtId="0" fontId="50" fillId="10" borderId="15" xfId="0" applyFont="1" applyFill="1" applyBorder="1" applyAlignment="1">
      <alignment horizontal="center"/>
    </xf>
    <xf numFmtId="0" fontId="48" fillId="10" borderId="15" xfId="0" applyFont="1" applyFill="1" applyBorder="1"/>
    <xf numFmtId="0" fontId="48" fillId="10" borderId="15" xfId="0" quotePrefix="1" applyFont="1" applyFill="1" applyBorder="1" applyAlignment="1">
      <alignment horizontal="center" vertical="center"/>
    </xf>
    <xf numFmtId="0" fontId="48" fillId="10" borderId="15" xfId="0" applyFont="1" applyFill="1" applyBorder="1" applyAlignment="1">
      <alignment horizontal="center" vertical="center"/>
    </xf>
    <xf numFmtId="0" fontId="48" fillId="10" borderId="15" xfId="0" quotePrefix="1" applyFont="1" applyFill="1" applyBorder="1" applyAlignment="1">
      <alignment horizontal="left" vertical="center"/>
    </xf>
    <xf numFmtId="0" fontId="48" fillId="10" borderId="38" xfId="0" quotePrefix="1" applyFont="1" applyFill="1" applyBorder="1" applyAlignment="1">
      <alignment horizontal="left" vertical="center"/>
    </xf>
    <xf numFmtId="0" fontId="50" fillId="11" borderId="37" xfId="0" applyFont="1" applyFill="1" applyBorder="1" applyAlignment="1">
      <alignment horizontal="center" vertical="center"/>
    </xf>
    <xf numFmtId="0" fontId="50" fillId="11" borderId="15" xfId="0" applyFont="1" applyFill="1" applyBorder="1" applyAlignment="1">
      <alignment horizontal="center" vertical="center"/>
    </xf>
    <xf numFmtId="0" fontId="48" fillId="11" borderId="15" xfId="0" applyFont="1" applyFill="1" applyBorder="1" applyAlignment="1">
      <alignment wrapText="1"/>
    </xf>
    <xf numFmtId="0" fontId="48" fillId="11" borderId="15" xfId="0" applyFont="1" applyFill="1" applyBorder="1" applyAlignment="1">
      <alignment horizontal="center" vertical="center"/>
    </xf>
    <xf numFmtId="0" fontId="48" fillId="11" borderId="15" xfId="0" quotePrefix="1" applyFont="1" applyFill="1" applyBorder="1" applyAlignment="1">
      <alignment horizontal="center" vertical="center"/>
    </xf>
    <xf numFmtId="0" fontId="48" fillId="11" borderId="15" xfId="0" applyFont="1" applyFill="1" applyBorder="1" applyAlignment="1">
      <alignment horizontal="left" vertical="center"/>
    </xf>
    <xf numFmtId="0" fontId="48" fillId="11" borderId="38" xfId="0" applyFont="1" applyFill="1" applyBorder="1" applyAlignment="1">
      <alignment horizontal="left" vertical="center"/>
    </xf>
    <xf numFmtId="0" fontId="48" fillId="11" borderId="15" xfId="0" applyFont="1" applyFill="1" applyBorder="1" applyAlignment="1">
      <alignment horizontal="left" vertical="center" wrapText="1"/>
    </xf>
    <xf numFmtId="0" fontId="59" fillId="11" borderId="217" xfId="0" applyFont="1" applyFill="1" applyBorder="1" applyAlignment="1">
      <alignment horizontal="center" vertical="center"/>
    </xf>
    <xf numFmtId="0" fontId="59" fillId="11" borderId="222" xfId="0" applyFont="1" applyFill="1" applyBorder="1" applyAlignment="1">
      <alignment horizontal="center" vertical="center"/>
    </xf>
    <xf numFmtId="0" fontId="0" fillId="11" borderId="222" xfId="0" applyFill="1" applyBorder="1" applyAlignment="1">
      <alignment horizontal="left" vertical="center"/>
    </xf>
    <xf numFmtId="0" fontId="55" fillId="0" borderId="222" xfId="0" applyFont="1" applyBorder="1" applyAlignment="1">
      <alignment horizontal="center" vertical="center" wrapText="1"/>
    </xf>
    <xf numFmtId="165" fontId="55" fillId="0" borderId="222" xfId="0" applyNumberFormat="1" applyFont="1" applyBorder="1" applyAlignment="1">
      <alignment horizontal="center" vertical="center"/>
    </xf>
    <xf numFmtId="0" fontId="58" fillId="0" borderId="0" xfId="0" applyFont="1" applyAlignment="1">
      <alignment horizontal="left" vertical="center" wrapText="1"/>
    </xf>
    <xf numFmtId="0" fontId="58" fillId="0" borderId="222" xfId="0" applyFont="1" applyBorder="1" applyAlignment="1">
      <alignment horizontal="center" vertical="center"/>
    </xf>
    <xf numFmtId="165" fontId="58" fillId="0" borderId="222" xfId="0" applyNumberFormat="1" applyFont="1" applyBorder="1" applyAlignment="1">
      <alignment horizontal="center" vertical="center"/>
    </xf>
    <xf numFmtId="165" fontId="51" fillId="0" borderId="220" xfId="0" applyNumberFormat="1" applyFont="1" applyBorder="1" applyAlignment="1">
      <alignment horizontal="center" vertical="center"/>
    </xf>
    <xf numFmtId="165" fontId="51" fillId="9" borderId="92" xfId="0" applyNumberFormat="1" applyFont="1" applyFill="1" applyBorder="1" applyAlignment="1">
      <alignment horizontal="center" vertical="center"/>
    </xf>
    <xf numFmtId="165" fontId="51" fillId="9" borderId="220" xfId="0" applyNumberFormat="1" applyFont="1" applyFill="1" applyBorder="1" applyAlignment="1">
      <alignment horizontal="center" vertical="center"/>
    </xf>
    <xf numFmtId="0" fontId="51" fillId="0" borderId="217" xfId="0" applyFont="1" applyBorder="1" applyAlignment="1">
      <alignment horizontal="left" vertical="center"/>
    </xf>
    <xf numFmtId="164" fontId="51" fillId="0" borderId="222" xfId="0" applyNumberFormat="1" applyFont="1" applyBorder="1" applyAlignment="1">
      <alignment horizontal="left" vertical="center"/>
    </xf>
    <xf numFmtId="0" fontId="51" fillId="0" borderId="222" xfId="0" applyFont="1" applyBorder="1" applyAlignment="1">
      <alignment horizontal="left" vertical="center"/>
    </xf>
    <xf numFmtId="0" fontId="51" fillId="0" borderId="218" xfId="0" applyFont="1" applyBorder="1" applyAlignment="1">
      <alignment horizontal="left" vertical="center"/>
    </xf>
    <xf numFmtId="0" fontId="51" fillId="0" borderId="218" xfId="0" applyFont="1" applyBorder="1" applyAlignment="1">
      <alignment horizontal="center" vertical="center"/>
    </xf>
    <xf numFmtId="0" fontId="51" fillId="4" borderId="225" xfId="0" applyFont="1" applyFill="1" applyBorder="1" applyAlignment="1">
      <alignment horizontal="left" vertical="center"/>
    </xf>
    <xf numFmtId="0" fontId="51" fillId="4" borderId="226" xfId="0" applyFont="1" applyFill="1" applyBorder="1" applyAlignment="1">
      <alignment horizontal="left" vertical="center"/>
    </xf>
    <xf numFmtId="2" fontId="51" fillId="8" borderId="195" xfId="0" applyNumberFormat="1" applyFont="1" applyFill="1" applyBorder="1" applyAlignment="1">
      <alignment horizontal="center" vertical="center" wrapText="1"/>
    </xf>
    <xf numFmtId="0" fontId="51" fillId="8" borderId="195" xfId="0" applyFont="1" applyFill="1" applyBorder="1" applyAlignment="1">
      <alignment horizontal="center" vertical="center" wrapText="1"/>
    </xf>
    <xf numFmtId="0" fontId="51" fillId="8" borderId="226" xfId="0" applyFont="1" applyFill="1" applyBorder="1" applyAlignment="1">
      <alignment horizontal="center" vertical="center" wrapText="1"/>
    </xf>
    <xf numFmtId="2" fontId="51" fillId="8" borderId="226" xfId="0" applyNumberFormat="1" applyFont="1" applyFill="1" applyBorder="1" applyAlignment="1">
      <alignment horizontal="center" vertical="center" wrapText="1"/>
    </xf>
    <xf numFmtId="0" fontId="51" fillId="11" borderId="226" xfId="0" applyFont="1" applyFill="1" applyBorder="1" applyAlignment="1">
      <alignment horizontal="center" vertical="center" wrapText="1"/>
    </xf>
    <xf numFmtId="2" fontId="51" fillId="11" borderId="226" xfId="0" applyNumberFormat="1" applyFont="1" applyFill="1" applyBorder="1" applyAlignment="1">
      <alignment horizontal="center" vertical="center" wrapText="1"/>
    </xf>
    <xf numFmtId="164" fontId="51" fillId="11" borderId="226" xfId="0" applyNumberFormat="1" applyFont="1" applyFill="1" applyBorder="1" applyAlignment="1">
      <alignment horizontal="center" vertical="center" wrapText="1"/>
    </xf>
    <xf numFmtId="0" fontId="51" fillId="19" borderId="226" xfId="0" applyFont="1" applyFill="1" applyBorder="1" applyAlignment="1">
      <alignment horizontal="center" vertical="center" wrapText="1"/>
    </xf>
    <xf numFmtId="0" fontId="51" fillId="10" borderId="226" xfId="0" applyFont="1" applyFill="1" applyBorder="1" applyAlignment="1">
      <alignment horizontal="center" vertical="center" wrapText="1"/>
    </xf>
    <xf numFmtId="0" fontId="51" fillId="20" borderId="226" xfId="0" applyFont="1" applyFill="1" applyBorder="1" applyAlignment="1">
      <alignment horizontal="center" vertical="center"/>
    </xf>
    <xf numFmtId="2" fontId="51" fillId="12" borderId="226" xfId="0" applyNumberFormat="1" applyFont="1" applyFill="1" applyBorder="1" applyAlignment="1">
      <alignment horizontal="center" vertical="center" wrapText="1"/>
    </xf>
    <xf numFmtId="0" fontId="51" fillId="12" borderId="226" xfId="0" applyFont="1" applyFill="1" applyBorder="1" applyAlignment="1">
      <alignment horizontal="center" vertical="center" wrapText="1"/>
    </xf>
    <xf numFmtId="2" fontId="51" fillId="18" borderId="227" xfId="0" applyNumberFormat="1" applyFont="1" applyFill="1" applyBorder="1" applyAlignment="1">
      <alignment horizontal="center" vertical="center" wrapText="1"/>
    </xf>
    <xf numFmtId="0" fontId="51" fillId="18" borderId="227" xfId="0" applyFont="1" applyFill="1" applyBorder="1" applyAlignment="1">
      <alignment horizontal="center" vertical="center" wrapText="1"/>
    </xf>
    <xf numFmtId="0" fontId="51" fillId="0" borderId="226" xfId="0" applyFont="1" applyBorder="1" applyAlignment="1">
      <alignment horizontal="left" vertical="center" wrapText="1"/>
    </xf>
    <xf numFmtId="0" fontId="51" fillId="0" borderId="226" xfId="0" quotePrefix="1" applyFont="1" applyBorder="1" applyAlignment="1">
      <alignment horizontal="left" vertical="center" wrapText="1"/>
    </xf>
    <xf numFmtId="164" fontId="51" fillId="0" borderId="224" xfId="0" applyNumberFormat="1" applyFont="1" applyBorder="1" applyAlignment="1">
      <alignment horizontal="left" vertical="center"/>
    </xf>
    <xf numFmtId="0" fontId="51" fillId="0" borderId="226" xfId="0" applyFont="1" applyBorder="1" applyAlignment="1">
      <alignment horizontal="left" vertical="center"/>
    </xf>
    <xf numFmtId="0" fontId="51" fillId="0" borderId="225" xfId="0" quotePrefix="1" applyFont="1" applyBorder="1" applyAlignment="1">
      <alignment horizontal="left" vertical="center"/>
    </xf>
    <xf numFmtId="2" fontId="13" fillId="0" borderId="149" xfId="159" applyNumberFormat="1" applyBorder="1" applyAlignment="1">
      <alignment horizontal="center" vertical="center"/>
    </xf>
    <xf numFmtId="0" fontId="55" fillId="9" borderId="217" xfId="0" applyFont="1" applyFill="1" applyBorder="1" applyAlignment="1">
      <alignment horizontal="left" vertical="center"/>
    </xf>
    <xf numFmtId="0" fontId="55" fillId="9" borderId="226" xfId="0" applyFont="1" applyFill="1" applyBorder="1" applyAlignment="1">
      <alignment horizontal="left" vertical="center" wrapText="1"/>
    </xf>
    <xf numFmtId="166" fontId="55" fillId="9" borderId="226" xfId="0" applyNumberFormat="1" applyFont="1" applyFill="1" applyBorder="1" applyAlignment="1">
      <alignment horizontal="center" vertical="center"/>
    </xf>
    <xf numFmtId="0" fontId="55" fillId="9" borderId="226" xfId="0" quotePrefix="1" applyFont="1" applyFill="1" applyBorder="1" applyAlignment="1">
      <alignment horizontal="center" vertical="center" wrapText="1"/>
    </xf>
    <xf numFmtId="0" fontId="55" fillId="9" borderId="226" xfId="0" applyFont="1" applyFill="1" applyBorder="1" applyAlignment="1">
      <alignment horizontal="left" vertical="center"/>
    </xf>
    <xf numFmtId="0" fontId="58" fillId="9" borderId="225" xfId="0" applyFont="1" applyFill="1" applyBorder="1" applyAlignment="1">
      <alignment horizontal="left" vertical="center"/>
    </xf>
    <xf numFmtId="0" fontId="55" fillId="9" borderId="217" xfId="0" applyFont="1" applyFill="1" applyBorder="1" applyAlignment="1">
      <alignment vertical="center"/>
    </xf>
    <xf numFmtId="0" fontId="55" fillId="9" borderId="226" xfId="0" applyFont="1" applyFill="1" applyBorder="1" applyAlignment="1">
      <alignment vertical="center" wrapText="1"/>
    </xf>
    <xf numFmtId="0" fontId="55" fillId="9" borderId="217" xfId="0" applyFont="1" applyFill="1" applyBorder="1" applyAlignment="1">
      <alignment horizontal="left" vertical="center" wrapText="1"/>
    </xf>
    <xf numFmtId="0" fontId="55" fillId="9" borderId="226" xfId="0" applyFont="1" applyFill="1" applyBorder="1" applyAlignment="1">
      <alignment horizontal="center" vertical="center" wrapText="1"/>
    </xf>
    <xf numFmtId="0" fontId="55" fillId="9" borderId="225" xfId="0" applyFont="1" applyFill="1" applyBorder="1" applyAlignment="1">
      <alignment horizontal="left" vertical="center" wrapText="1"/>
    </xf>
    <xf numFmtId="166" fontId="55" fillId="9" borderId="226" xfId="0" applyNumberFormat="1" applyFont="1" applyFill="1" applyBorder="1" applyAlignment="1">
      <alignment vertical="center" wrapText="1"/>
    </xf>
    <xf numFmtId="169" fontId="55" fillId="9" borderId="226" xfId="0" applyNumberFormat="1" applyFont="1" applyFill="1" applyBorder="1" applyAlignment="1">
      <alignment horizontal="center" vertical="center" wrapText="1"/>
    </xf>
    <xf numFmtId="0" fontId="48" fillId="9" borderId="226" xfId="0" applyFont="1" applyFill="1" applyBorder="1" applyAlignment="1">
      <alignment horizontal="center" vertical="center"/>
    </xf>
    <xf numFmtId="0" fontId="48" fillId="9" borderId="226" xfId="0" applyFont="1" applyFill="1" applyBorder="1" applyAlignment="1">
      <alignment horizontal="left" vertical="center"/>
    </xf>
    <xf numFmtId="0" fontId="48" fillId="9" borderId="225" xfId="0" applyFont="1" applyFill="1" applyBorder="1" applyAlignment="1">
      <alignment horizontal="left" vertical="center"/>
    </xf>
    <xf numFmtId="0" fontId="59" fillId="7" borderId="217" xfId="0" applyFont="1" applyFill="1" applyBorder="1" applyAlignment="1">
      <alignment horizontal="center" vertical="center"/>
    </xf>
    <xf numFmtId="0" fontId="59" fillId="7" borderId="226" xfId="0" applyFont="1" applyFill="1" applyBorder="1" applyAlignment="1">
      <alignment horizontal="center" vertical="center"/>
    </xf>
    <xf numFmtId="0" fontId="50" fillId="16" borderId="217" xfId="0" applyFont="1" applyFill="1" applyBorder="1" applyAlignment="1">
      <alignment horizontal="center" vertical="center"/>
    </xf>
    <xf numFmtId="0" fontId="50" fillId="16" borderId="226" xfId="0" applyFont="1" applyFill="1" applyBorder="1" applyAlignment="1">
      <alignment horizontal="center" vertical="center"/>
    </xf>
    <xf numFmtId="0" fontId="59" fillId="16" borderId="217" xfId="0" applyFont="1" applyFill="1" applyBorder="1" applyAlignment="1">
      <alignment horizontal="center" vertical="center"/>
    </xf>
    <xf numFmtId="0" fontId="59" fillId="16" borderId="226" xfId="0" applyFont="1" applyFill="1" applyBorder="1" applyAlignment="1">
      <alignment horizontal="center" vertical="center"/>
    </xf>
    <xf numFmtId="0" fontId="31" fillId="9" borderId="217" xfId="0" applyFont="1" applyFill="1" applyBorder="1" applyAlignment="1">
      <alignment horizontal="center" vertical="center"/>
    </xf>
    <xf numFmtId="0" fontId="31" fillId="9" borderId="226" xfId="0" applyFont="1" applyFill="1" applyBorder="1" applyAlignment="1">
      <alignment horizontal="center" vertical="center"/>
    </xf>
    <xf numFmtId="0" fontId="59" fillId="15" borderId="217" xfId="0" applyFont="1" applyFill="1" applyBorder="1" applyAlignment="1">
      <alignment horizontal="center" vertical="center"/>
    </xf>
    <xf numFmtId="0" fontId="59" fillId="15" borderId="226" xfId="0" applyFont="1" applyFill="1" applyBorder="1" applyAlignment="1">
      <alignment horizontal="center" vertical="center"/>
    </xf>
    <xf numFmtId="0" fontId="59" fillId="30" borderId="217" xfId="0" applyFont="1" applyFill="1" applyBorder="1" applyAlignment="1">
      <alignment horizontal="center" vertical="center"/>
    </xf>
    <xf numFmtId="0" fontId="59" fillId="30" borderId="226" xfId="0" applyFont="1" applyFill="1" applyBorder="1" applyAlignment="1">
      <alignment horizontal="center" vertical="center"/>
    </xf>
    <xf numFmtId="0" fontId="50" fillId="4" borderId="217" xfId="0" applyFont="1" applyFill="1" applyBorder="1" applyAlignment="1">
      <alignment horizontal="center" vertical="center"/>
    </xf>
    <xf numFmtId="0" fontId="50" fillId="4" borderId="226" xfId="0" applyFont="1" applyFill="1" applyBorder="1" applyAlignment="1">
      <alignment horizontal="center" vertical="center"/>
    </xf>
    <xf numFmtId="0" fontId="50" fillId="18" borderId="217" xfId="0" applyFont="1" applyFill="1" applyBorder="1" applyAlignment="1">
      <alignment horizontal="center" vertical="center"/>
    </xf>
    <xf numFmtId="0" fontId="50" fillId="18" borderId="226" xfId="0" applyFont="1" applyFill="1" applyBorder="1" applyAlignment="1">
      <alignment horizontal="center" vertical="center"/>
    </xf>
    <xf numFmtId="0" fontId="50" fillId="18" borderId="219" xfId="0" applyFont="1" applyFill="1" applyBorder="1" applyAlignment="1">
      <alignment horizontal="center" vertical="center"/>
    </xf>
    <xf numFmtId="0" fontId="50" fillId="18" borderId="227" xfId="0" applyFont="1" applyFill="1" applyBorder="1" applyAlignment="1">
      <alignment horizontal="center" vertical="center"/>
    </xf>
    <xf numFmtId="0" fontId="48" fillId="9" borderId="226" xfId="0" quotePrefix="1" applyFont="1" applyFill="1" applyBorder="1" applyAlignment="1">
      <alignment horizontal="center" vertical="center"/>
    </xf>
    <xf numFmtId="0" fontId="55" fillId="9" borderId="225" xfId="0" applyFont="1" applyFill="1" applyBorder="1" applyAlignment="1">
      <alignment horizontal="left" vertical="center"/>
    </xf>
    <xf numFmtId="1" fontId="55" fillId="9" borderId="226" xfId="0" applyNumberFormat="1" applyFont="1" applyFill="1" applyBorder="1" applyAlignment="1">
      <alignment horizontal="center" vertical="center" wrapText="1"/>
    </xf>
    <xf numFmtId="0" fontId="48" fillId="9" borderId="217" xfId="0" applyFont="1" applyFill="1" applyBorder="1" applyAlignment="1">
      <alignment horizontal="left" vertical="center" wrapText="1"/>
    </xf>
    <xf numFmtId="0" fontId="48" fillId="9" borderId="226" xfId="0" applyFont="1" applyFill="1" applyBorder="1" applyAlignment="1">
      <alignment horizontal="left" vertical="center" wrapText="1"/>
    </xf>
    <xf numFmtId="0" fontId="48" fillId="9" borderId="226" xfId="0" quotePrefix="1" applyFont="1" applyFill="1" applyBorder="1" applyAlignment="1">
      <alignment horizontal="left" vertical="center" wrapText="1"/>
    </xf>
    <xf numFmtId="164" fontId="48" fillId="9" borderId="226" xfId="0" applyNumberFormat="1" applyFont="1" applyFill="1" applyBorder="1" applyAlignment="1">
      <alignment horizontal="left" vertical="center" wrapText="1"/>
    </xf>
    <xf numFmtId="0" fontId="51" fillId="9" borderId="226" xfId="0" applyFont="1" applyFill="1" applyBorder="1" applyAlignment="1">
      <alignment horizontal="left" vertical="center" wrapText="1"/>
    </xf>
    <xf numFmtId="0" fontId="48" fillId="9" borderId="226" xfId="0" applyFont="1" applyFill="1" applyBorder="1" applyAlignment="1">
      <alignment vertical="center" wrapText="1"/>
    </xf>
    <xf numFmtId="0" fontId="48" fillId="9" borderId="225" xfId="0" applyFont="1" applyFill="1" applyBorder="1" applyAlignment="1">
      <alignment horizontal="left" vertical="center" wrapText="1"/>
    </xf>
    <xf numFmtId="0" fontId="48" fillId="0" borderId="226" xfId="0" applyFont="1" applyBorder="1" applyAlignment="1">
      <alignment horizontal="left" vertical="center" wrapText="1"/>
    </xf>
    <xf numFmtId="0" fontId="51" fillId="20" borderId="227" xfId="0" applyFont="1" applyFill="1" applyBorder="1" applyAlignment="1">
      <alignment horizontal="left" vertical="center"/>
    </xf>
    <xf numFmtId="0" fontId="55" fillId="32" borderId="198" xfId="0" applyFont="1" applyFill="1" applyBorder="1" applyAlignment="1">
      <alignment horizontal="left"/>
    </xf>
    <xf numFmtId="0" fontId="55" fillId="32" borderId="228" xfId="0" applyFont="1" applyFill="1" applyBorder="1" applyAlignment="1">
      <alignment horizontal="left" vertical="center" wrapText="1"/>
    </xf>
    <xf numFmtId="2" fontId="55" fillId="32" borderId="228" xfId="0" applyNumberFormat="1" applyFont="1" applyFill="1" applyBorder="1" applyAlignment="1">
      <alignment horizontal="center" vertical="center" wrapText="1"/>
    </xf>
    <xf numFmtId="0" fontId="55" fillId="32" borderId="228" xfId="0" applyFont="1" applyFill="1" applyBorder="1" applyAlignment="1">
      <alignment horizontal="center" vertical="center" wrapText="1"/>
    </xf>
    <xf numFmtId="0" fontId="51" fillId="32" borderId="228" xfId="0" applyFont="1" applyFill="1" applyBorder="1" applyAlignment="1">
      <alignment horizontal="left" vertical="center" wrapText="1"/>
    </xf>
    <xf numFmtId="0" fontId="51" fillId="32" borderId="229" xfId="0" applyFont="1" applyFill="1" applyBorder="1" applyAlignment="1">
      <alignment horizontal="left" vertical="center" wrapText="1"/>
    </xf>
    <xf numFmtId="0" fontId="55" fillId="32" borderId="217" xfId="0" applyFont="1" applyFill="1" applyBorder="1" applyAlignment="1">
      <alignment horizontal="left"/>
    </xf>
    <xf numFmtId="0" fontId="55" fillId="32" borderId="226" xfId="0" applyFont="1" applyFill="1" applyBorder="1" applyAlignment="1">
      <alignment horizontal="left" vertical="center" wrapText="1"/>
    </xf>
    <xf numFmtId="2" fontId="55" fillId="32" borderId="226" xfId="0" applyNumberFormat="1" applyFont="1" applyFill="1" applyBorder="1" applyAlignment="1">
      <alignment horizontal="center" vertical="center" wrapText="1"/>
    </xf>
    <xf numFmtId="0" fontId="55" fillId="32" borderId="226" xfId="0" applyFont="1" applyFill="1" applyBorder="1" applyAlignment="1">
      <alignment horizontal="center" vertical="center" wrapText="1"/>
    </xf>
    <xf numFmtId="0" fontId="51" fillId="32" borderId="226" xfId="0" applyFont="1" applyFill="1" applyBorder="1" applyAlignment="1">
      <alignment horizontal="left" vertical="center" wrapText="1"/>
    </xf>
    <xf numFmtId="0" fontId="51" fillId="32" borderId="225" xfId="0" applyFont="1" applyFill="1" applyBorder="1" applyAlignment="1">
      <alignment horizontal="left" vertical="center" wrapText="1"/>
    </xf>
    <xf numFmtId="0" fontId="55" fillId="32" borderId="219" xfId="0" applyFont="1" applyFill="1" applyBorder="1" applyAlignment="1">
      <alignment horizontal="left"/>
    </xf>
    <xf numFmtId="0" fontId="55" fillId="32" borderId="227" xfId="0" applyFont="1" applyFill="1" applyBorder="1" applyAlignment="1">
      <alignment horizontal="left" vertical="center" wrapText="1"/>
    </xf>
    <xf numFmtId="2" fontId="55" fillId="32" borderId="227" xfId="0" applyNumberFormat="1" applyFont="1" applyFill="1" applyBorder="1" applyAlignment="1">
      <alignment horizontal="center" vertical="center" wrapText="1"/>
    </xf>
    <xf numFmtId="0" fontId="55" fillId="32" borderId="227" xfId="0" applyFont="1" applyFill="1" applyBorder="1" applyAlignment="1">
      <alignment horizontal="center" vertical="center" wrapText="1"/>
    </xf>
    <xf numFmtId="0" fontId="51" fillId="32" borderId="227" xfId="0" applyFont="1" applyFill="1" applyBorder="1" applyAlignment="1">
      <alignment horizontal="left" vertical="center" wrapText="1"/>
    </xf>
    <xf numFmtId="0" fontId="51" fillId="32" borderId="221" xfId="0" applyFont="1" applyFill="1" applyBorder="1" applyAlignment="1">
      <alignment horizontal="left" vertical="center" wrapText="1"/>
    </xf>
    <xf numFmtId="0" fontId="55" fillId="32" borderId="217" xfId="0" applyFont="1" applyFill="1" applyBorder="1" applyAlignment="1">
      <alignment horizontal="left" vertical="center"/>
    </xf>
    <xf numFmtId="166" fontId="55" fillId="32" borderId="226" xfId="0" applyNumberFormat="1" applyFont="1" applyFill="1" applyBorder="1" applyAlignment="1">
      <alignment horizontal="center" vertical="center" wrapText="1"/>
    </xf>
    <xf numFmtId="0" fontId="55" fillId="32" borderId="226" xfId="0" quotePrefix="1" applyFont="1" applyFill="1" applyBorder="1" applyAlignment="1">
      <alignment horizontal="center" vertical="center" wrapText="1"/>
    </xf>
    <xf numFmtId="0" fontId="58" fillId="32" borderId="225" xfId="0" applyFont="1" applyFill="1" applyBorder="1" applyAlignment="1">
      <alignment horizontal="left" vertical="center"/>
    </xf>
    <xf numFmtId="0" fontId="51" fillId="9" borderId="217" xfId="0" applyFont="1" applyFill="1" applyBorder="1" applyAlignment="1">
      <alignment horizontal="left" vertical="center"/>
    </xf>
    <xf numFmtId="166" fontId="51" fillId="9" borderId="226" xfId="0" applyNumberFormat="1" applyFont="1" applyFill="1" applyBorder="1" applyAlignment="1">
      <alignment horizontal="left" vertical="center" wrapText="1"/>
    </xf>
    <xf numFmtId="166" fontId="51" fillId="9" borderId="226" xfId="0" applyNumberFormat="1" applyFont="1" applyFill="1" applyBorder="1" applyAlignment="1">
      <alignment horizontal="center" vertical="center" wrapText="1"/>
    </xf>
    <xf numFmtId="0" fontId="51" fillId="9" borderId="226" xfId="0" applyFont="1" applyFill="1" applyBorder="1" applyAlignment="1">
      <alignment horizontal="center" vertical="center" wrapText="1"/>
    </xf>
    <xf numFmtId="0" fontId="51" fillId="9" borderId="225" xfId="0" applyFont="1" applyFill="1" applyBorder="1" applyAlignment="1">
      <alignment horizontal="left" vertical="center" wrapText="1"/>
    </xf>
    <xf numFmtId="0" fontId="51" fillId="24" borderId="217" xfId="0" applyFont="1" applyFill="1" applyBorder="1" applyAlignment="1">
      <alignment horizontal="left" vertical="center"/>
    </xf>
    <xf numFmtId="166" fontId="51" fillId="24" borderId="226" xfId="0" applyNumberFormat="1" applyFont="1" applyFill="1" applyBorder="1" applyAlignment="1">
      <alignment horizontal="left" vertical="center" wrapText="1"/>
    </xf>
    <xf numFmtId="166" fontId="51" fillId="24" borderId="226" xfId="0" applyNumberFormat="1" applyFont="1" applyFill="1" applyBorder="1" applyAlignment="1">
      <alignment horizontal="center" vertical="center" wrapText="1"/>
    </xf>
    <xf numFmtId="0" fontId="51" fillId="24" borderId="226" xfId="0" applyFont="1" applyFill="1" applyBorder="1" applyAlignment="1">
      <alignment horizontal="center" vertical="center" wrapText="1"/>
    </xf>
    <xf numFmtId="0" fontId="51" fillId="24" borderId="226" xfId="0" applyFont="1" applyFill="1" applyBorder="1" applyAlignment="1">
      <alignment horizontal="left" vertical="center" wrapText="1"/>
    </xf>
    <xf numFmtId="0" fontId="51" fillId="24" borderId="225" xfId="0" applyFont="1" applyFill="1" applyBorder="1" applyAlignment="1">
      <alignment horizontal="left" vertical="center" wrapText="1"/>
    </xf>
    <xf numFmtId="0" fontId="51" fillId="24" borderId="217" xfId="0" applyFont="1" applyFill="1" applyBorder="1" applyAlignment="1">
      <alignment horizontal="left" vertical="center" wrapText="1"/>
    </xf>
    <xf numFmtId="0" fontId="48" fillId="24" borderId="226" xfId="0" applyFont="1" applyFill="1" applyBorder="1" applyAlignment="1">
      <alignment horizontal="center"/>
    </xf>
    <xf numFmtId="0" fontId="78" fillId="24" borderId="226" xfId="0" applyFont="1" applyFill="1" applyBorder="1" applyAlignment="1">
      <alignment horizontal="left" vertical="center" wrapText="1"/>
    </xf>
    <xf numFmtId="166" fontId="51" fillId="24" borderId="226" xfId="0" applyNumberFormat="1" applyFont="1" applyFill="1" applyBorder="1" applyAlignment="1">
      <alignment horizontal="left" vertical="center"/>
    </xf>
    <xf numFmtId="165" fontId="51" fillId="24" borderId="226" xfId="0" applyNumberFormat="1" applyFont="1" applyFill="1" applyBorder="1" applyAlignment="1">
      <alignment horizontal="center" vertical="center"/>
    </xf>
    <xf numFmtId="0" fontId="48" fillId="0" borderId="217" xfId="0" applyFont="1" applyBorder="1" applyAlignment="1">
      <alignment horizontal="left"/>
    </xf>
    <xf numFmtId="0" fontId="51" fillId="0" borderId="226" xfId="0" applyFont="1" applyBorder="1" applyAlignment="1">
      <alignment horizontal="center" vertical="center" wrapText="1"/>
    </xf>
    <xf numFmtId="0" fontId="48" fillId="8" borderId="195" xfId="0" applyFont="1" applyFill="1" applyBorder="1" applyAlignment="1">
      <alignment horizontal="center" vertical="center"/>
    </xf>
    <xf numFmtId="0" fontId="48" fillId="8" borderId="226" xfId="0" applyFont="1" applyFill="1" applyBorder="1" applyAlignment="1">
      <alignment horizontal="center" vertical="center"/>
    </xf>
    <xf numFmtId="0" fontId="48" fillId="26" borderId="226" xfId="0" applyFont="1" applyFill="1" applyBorder="1" applyAlignment="1">
      <alignment horizontal="center" vertical="center"/>
    </xf>
    <xf numFmtId="0" fontId="48" fillId="21" borderId="226" xfId="0" applyFont="1" applyFill="1" applyBorder="1" applyAlignment="1">
      <alignment horizontal="center" vertical="center"/>
    </xf>
    <xf numFmtId="0" fontId="48" fillId="11" borderId="226" xfId="0" applyFont="1" applyFill="1" applyBorder="1" applyAlignment="1">
      <alignment horizontal="center" vertical="center"/>
    </xf>
    <xf numFmtId="0" fontId="48" fillId="11" borderId="92" xfId="0" applyFont="1" applyFill="1" applyBorder="1" applyAlignment="1">
      <alignment horizontal="center" vertical="center"/>
    </xf>
    <xf numFmtId="0" fontId="48" fillId="10" borderId="92" xfId="0" applyFont="1" applyFill="1" applyBorder="1" applyAlignment="1">
      <alignment horizontal="center" vertical="center"/>
    </xf>
    <xf numFmtId="0" fontId="48" fillId="10" borderId="226" xfId="0" applyFont="1" applyFill="1" applyBorder="1" applyAlignment="1">
      <alignment horizontal="center" vertical="center"/>
    </xf>
    <xf numFmtId="0" fontId="48" fillId="22" borderId="226" xfId="0" applyFont="1" applyFill="1" applyBorder="1" applyAlignment="1">
      <alignment horizontal="center" vertical="center"/>
    </xf>
    <xf numFmtId="0" fontId="48" fillId="20" borderId="226" xfId="0" quotePrefix="1" applyFont="1" applyFill="1" applyBorder="1" applyAlignment="1">
      <alignment horizontal="center" vertical="center"/>
    </xf>
    <xf numFmtId="0" fontId="48" fillId="20" borderId="226" xfId="0" applyFont="1" applyFill="1" applyBorder="1" applyAlignment="1">
      <alignment horizontal="center" vertical="center"/>
    </xf>
    <xf numFmtId="0" fontId="48" fillId="12" borderId="226" xfId="0" applyFont="1" applyFill="1" applyBorder="1" applyAlignment="1">
      <alignment horizontal="center" vertical="center"/>
    </xf>
    <xf numFmtId="0" fontId="48" fillId="18" borderId="226" xfId="0" applyFont="1" applyFill="1" applyBorder="1" applyAlignment="1">
      <alignment horizontal="center" vertical="center"/>
    </xf>
    <xf numFmtId="0" fontId="48" fillId="7" borderId="226" xfId="0" applyFont="1" applyFill="1" applyBorder="1" applyAlignment="1">
      <alignment horizontal="center" vertical="center"/>
    </xf>
    <xf numFmtId="0" fontId="48" fillId="16" borderId="226" xfId="0" applyFont="1" applyFill="1" applyBorder="1" applyAlignment="1">
      <alignment horizontal="center" vertical="center"/>
    </xf>
    <xf numFmtId="0" fontId="48" fillId="15" borderId="226" xfId="0" applyFont="1" applyFill="1" applyBorder="1" applyAlignment="1">
      <alignment horizontal="center" vertical="center"/>
    </xf>
    <xf numFmtId="0" fontId="48" fillId="30" borderId="226" xfId="0" applyFont="1" applyFill="1" applyBorder="1" applyAlignment="1">
      <alignment horizontal="center" vertical="center"/>
    </xf>
    <xf numFmtId="0" fontId="48" fillId="4" borderId="226" xfId="0" applyFont="1" applyFill="1" applyBorder="1" applyAlignment="1">
      <alignment horizontal="center" vertical="center"/>
    </xf>
    <xf numFmtId="0" fontId="48" fillId="18" borderId="227" xfId="0" applyFont="1" applyFill="1" applyBorder="1" applyAlignment="1">
      <alignment horizontal="center" vertical="center"/>
    </xf>
    <xf numFmtId="0" fontId="51" fillId="5" borderId="226" xfId="0" applyFont="1" applyFill="1" applyBorder="1" applyAlignment="1">
      <alignment horizontal="center" vertical="center"/>
    </xf>
    <xf numFmtId="0" fontId="51" fillId="5" borderId="227" xfId="0" applyFont="1" applyFill="1" applyBorder="1" applyAlignment="1">
      <alignment horizontal="center" vertical="center"/>
    </xf>
    <xf numFmtId="0" fontId="50" fillId="32" borderId="217" xfId="0" applyFont="1" applyFill="1" applyBorder="1" applyAlignment="1">
      <alignment horizontal="center" vertical="center"/>
    </xf>
    <xf numFmtId="0" fontId="50" fillId="32" borderId="226" xfId="0" applyFont="1" applyFill="1" applyBorder="1" applyAlignment="1">
      <alignment horizontal="center" vertical="center"/>
    </xf>
    <xf numFmtId="0" fontId="48" fillId="32" borderId="226" xfId="0" applyFont="1" applyFill="1" applyBorder="1" applyAlignment="1">
      <alignment horizontal="left" vertical="center"/>
    </xf>
    <xf numFmtId="0" fontId="48" fillId="32" borderId="226" xfId="0" applyFont="1" applyFill="1" applyBorder="1" applyAlignment="1">
      <alignment horizontal="center" vertical="center"/>
    </xf>
    <xf numFmtId="0" fontId="0" fillId="32" borderId="226" xfId="0" quotePrefix="1" applyFill="1" applyBorder="1" applyAlignment="1">
      <alignment horizontal="center" vertical="center"/>
    </xf>
    <xf numFmtId="0" fontId="51" fillId="32" borderId="226" xfId="0" quotePrefix="1" applyFont="1" applyFill="1" applyBorder="1" applyAlignment="1">
      <alignment horizontal="center" vertical="center"/>
    </xf>
    <xf numFmtId="0" fontId="48" fillId="32" borderId="226" xfId="0" quotePrefix="1" applyFont="1" applyFill="1" applyBorder="1" applyAlignment="1">
      <alignment horizontal="center" vertical="center"/>
    </xf>
    <xf numFmtId="0" fontId="48" fillId="32" borderId="226" xfId="0" applyFont="1" applyFill="1" applyBorder="1" applyAlignment="1">
      <alignment horizontal="left"/>
    </xf>
    <xf numFmtId="0" fontId="48" fillId="32" borderId="107" xfId="0" applyFont="1" applyFill="1" applyBorder="1" applyAlignment="1">
      <alignment horizontal="center" vertical="center"/>
    </xf>
    <xf numFmtId="0" fontId="48" fillId="32" borderId="225" xfId="0" applyFont="1" applyFill="1" applyBorder="1" applyAlignment="1">
      <alignment horizontal="left" vertical="center"/>
    </xf>
    <xf numFmtId="0" fontId="0" fillId="32" borderId="226" xfId="0" applyFill="1" applyBorder="1" applyAlignment="1">
      <alignment horizontal="left"/>
    </xf>
    <xf numFmtId="2" fontId="48" fillId="0" borderId="226" xfId="0" applyNumberFormat="1" applyFont="1" applyBorder="1" applyAlignment="1">
      <alignment horizontal="left" vertical="center"/>
    </xf>
    <xf numFmtId="2" fontId="48" fillId="0" borderId="226" xfId="0" applyNumberFormat="1" applyFont="1" applyBorder="1" applyAlignment="1">
      <alignment horizontal="center" vertical="center"/>
    </xf>
    <xf numFmtId="0" fontId="48" fillId="0" borderId="226" xfId="0" applyFont="1" applyBorder="1" applyAlignment="1">
      <alignment horizontal="center" vertical="center"/>
    </xf>
    <xf numFmtId="0" fontId="37" fillId="0" borderId="0" xfId="3" applyFont="1" applyAlignment="1">
      <alignment horizontal="left" vertical="center" wrapText="1"/>
    </xf>
    <xf numFmtId="0" fontId="51" fillId="32" borderId="217" xfId="0" applyFont="1" applyFill="1" applyBorder="1" applyAlignment="1">
      <alignment horizontal="left" vertical="center"/>
    </xf>
    <xf numFmtId="0" fontId="51" fillId="32" borderId="226" xfId="0" quotePrefix="1" applyFont="1" applyFill="1" applyBorder="1" applyAlignment="1">
      <alignment horizontal="left" vertical="center" wrapText="1"/>
    </xf>
    <xf numFmtId="0" fontId="51" fillId="32" borderId="226" xfId="0" quotePrefix="1" applyFont="1" applyFill="1" applyBorder="1" applyAlignment="1">
      <alignment horizontal="left" vertical="center"/>
    </xf>
    <xf numFmtId="0" fontId="51" fillId="32" borderId="226" xfId="0" applyFont="1" applyFill="1" applyBorder="1" applyAlignment="1">
      <alignment horizontal="left" vertical="center"/>
    </xf>
    <xf numFmtId="0" fontId="51" fillId="32" borderId="225" xfId="0" applyFont="1" applyFill="1" applyBorder="1" applyAlignment="1">
      <alignment horizontal="left" vertical="center"/>
    </xf>
    <xf numFmtId="0" fontId="51" fillId="0" borderId="161" xfId="0" applyFont="1" applyBorder="1" applyAlignment="1">
      <alignment horizontal="left" vertical="center"/>
    </xf>
    <xf numFmtId="0" fontId="55" fillId="32" borderId="226" xfId="0" applyFont="1" applyFill="1" applyBorder="1" applyAlignment="1">
      <alignment horizontal="left" vertical="center"/>
    </xf>
    <xf numFmtId="0" fontId="55" fillId="32" borderId="225" xfId="0" applyFont="1" applyFill="1" applyBorder="1" applyAlignment="1">
      <alignment horizontal="left" vertical="center"/>
    </xf>
    <xf numFmtId="0" fontId="6" fillId="0" borderId="0" xfId="0" applyFont="1" applyAlignment="1">
      <alignment wrapText="1"/>
    </xf>
    <xf numFmtId="0" fontId="37" fillId="0" borderId="0" xfId="0" applyFont="1" applyAlignment="1">
      <alignment horizontal="left" vertical="center" wrapText="1"/>
    </xf>
    <xf numFmtId="0" fontId="82" fillId="33" borderId="230" xfId="0" applyFont="1" applyFill="1" applyBorder="1" applyAlignment="1">
      <alignment horizontal="left" vertical="center" wrapText="1"/>
    </xf>
    <xf numFmtId="0" fontId="0" fillId="0" borderId="0" xfId="0" applyAlignment="1">
      <alignment horizontal="left" vertical="center" wrapText="1"/>
    </xf>
    <xf numFmtId="0" fontId="82" fillId="33" borderId="231" xfId="0" applyFont="1" applyFill="1" applyBorder="1" applyAlignment="1">
      <alignment horizontal="left" vertical="center" wrapText="1"/>
    </xf>
    <xf numFmtId="0" fontId="82" fillId="33" borderId="87" xfId="0" applyFont="1" applyFill="1" applyBorder="1" applyAlignment="1">
      <alignment horizontal="left" vertical="center" wrapText="1"/>
    </xf>
    <xf numFmtId="0" fontId="51" fillId="0" borderId="0" xfId="0" applyFont="1" applyAlignment="1">
      <alignment wrapText="1"/>
    </xf>
    <xf numFmtId="0" fontId="109" fillId="0" borderId="20" xfId="0" applyFont="1" applyBorder="1"/>
    <xf numFmtId="0" fontId="51" fillId="0" borderId="88" xfId="0" quotePrefix="1" applyFont="1" applyBorder="1" applyAlignment="1">
      <alignment horizontal="left" vertical="center"/>
    </xf>
    <xf numFmtId="0" fontId="6" fillId="0" borderId="0" xfId="0" applyFont="1"/>
    <xf numFmtId="0" fontId="48" fillId="9" borderId="232" xfId="0" applyFont="1" applyFill="1" applyBorder="1" applyAlignment="1">
      <alignment horizontal="left" vertical="center"/>
    </xf>
    <xf numFmtId="0" fontId="51" fillId="0" borderId="232" xfId="0" applyFont="1" applyBorder="1" applyAlignment="1">
      <alignment horizontal="left" vertical="center" wrapText="1"/>
    </xf>
    <xf numFmtId="0" fontId="48" fillId="9" borderId="232" xfId="0" quotePrefix="1" applyFont="1" applyFill="1" applyBorder="1" applyAlignment="1">
      <alignment horizontal="center" vertical="center"/>
    </xf>
    <xf numFmtId="0" fontId="48" fillId="9" borderId="232" xfId="0" applyFont="1" applyFill="1" applyBorder="1" applyAlignment="1">
      <alignment horizontal="center" vertical="center"/>
    </xf>
    <xf numFmtId="0" fontId="51" fillId="0" borderId="232" xfId="0" quotePrefix="1" applyFont="1" applyBorder="1" applyAlignment="1">
      <alignment horizontal="left" vertical="center" wrapText="1"/>
    </xf>
    <xf numFmtId="0" fontId="51" fillId="0" borderId="232" xfId="0" quotePrefix="1" applyFont="1" applyBorder="1" applyAlignment="1">
      <alignment horizontal="left" vertical="center"/>
    </xf>
    <xf numFmtId="0" fontId="51" fillId="0" borderId="232" xfId="0" applyFont="1" applyBorder="1" applyAlignment="1">
      <alignment horizontal="left" vertical="center"/>
    </xf>
    <xf numFmtId="0" fontId="51" fillId="0" borderId="225" xfId="0" applyFont="1" applyBorder="1" applyAlignment="1">
      <alignment horizontal="left" vertical="center"/>
    </xf>
    <xf numFmtId="2" fontId="51" fillId="0" borderId="232" xfId="0" applyNumberFormat="1" applyFont="1" applyBorder="1" applyAlignment="1">
      <alignment horizontal="left" vertical="center"/>
    </xf>
    <xf numFmtId="2" fontId="51" fillId="10" borderId="10" xfId="0" applyNumberFormat="1" applyFont="1" applyFill="1" applyBorder="1" applyAlignment="1">
      <alignment horizontal="center" vertical="center" wrapText="1"/>
    </xf>
    <xf numFmtId="2" fontId="51" fillId="22" borderId="10" xfId="0" applyNumberFormat="1" applyFont="1" applyFill="1" applyBorder="1" applyAlignment="1">
      <alignment horizontal="center" vertical="center" wrapText="1"/>
    </xf>
    <xf numFmtId="0" fontId="0" fillId="0" borderId="0" xfId="0" applyAlignment="1">
      <alignment vertical="center"/>
    </xf>
    <xf numFmtId="164" fontId="37" fillId="0" borderId="0" xfId="0" applyNumberFormat="1" applyFont="1" applyAlignment="1">
      <alignment horizontal="left" vertical="center"/>
    </xf>
    <xf numFmtId="0" fontId="51" fillId="9" borderId="226" xfId="0" applyFont="1" applyFill="1" applyBorder="1" applyAlignment="1">
      <alignment horizontal="left" vertical="center"/>
    </xf>
    <xf numFmtId="0" fontId="48" fillId="29" borderId="224" xfId="0" applyFont="1" applyFill="1" applyBorder="1" applyAlignment="1">
      <alignment horizontal="left" vertical="center" wrapText="1"/>
    </xf>
    <xf numFmtId="0" fontId="51" fillId="29" borderId="224" xfId="0" applyFont="1" applyFill="1" applyBorder="1" applyAlignment="1">
      <alignment horizontal="left" vertical="center" wrapText="1"/>
    </xf>
    <xf numFmtId="0" fontId="0" fillId="0" borderId="160" xfId="0" applyBorder="1" applyAlignment="1">
      <alignment horizontal="left" vertical="center"/>
    </xf>
    <xf numFmtId="0" fontId="0" fillId="0" borderId="161" xfId="0" applyBorder="1" applyAlignment="1">
      <alignment horizontal="left" vertical="center"/>
    </xf>
    <xf numFmtId="0" fontId="0" fillId="0" borderId="162" xfId="0" applyBorder="1" applyAlignment="1">
      <alignment horizontal="left" vertical="center"/>
    </xf>
    <xf numFmtId="0" fontId="36" fillId="0" borderId="0" xfId="0" applyFont="1" applyAlignment="1">
      <alignment vertical="center"/>
    </xf>
    <xf numFmtId="0" fontId="51" fillId="29" borderId="224" xfId="0" applyFont="1" applyFill="1" applyBorder="1" applyAlignment="1">
      <alignment horizontal="left" vertical="center"/>
    </xf>
    <xf numFmtId="0" fontId="95" fillId="29" borderId="224" xfId="0" applyFont="1" applyFill="1" applyBorder="1" applyAlignment="1">
      <alignment horizontal="left" vertical="center"/>
    </xf>
    <xf numFmtId="2" fontId="51" fillId="29" borderId="224" xfId="0" applyNumberFormat="1" applyFont="1" applyFill="1" applyBorder="1" applyAlignment="1">
      <alignment horizontal="left" vertical="center"/>
    </xf>
    <xf numFmtId="0" fontId="0" fillId="0" borderId="161" xfId="0" quotePrefix="1" applyBorder="1" applyAlignment="1">
      <alignment horizontal="left" vertical="center"/>
    </xf>
    <xf numFmtId="164" fontId="51" fillId="0" borderId="232" xfId="0" applyNumberFormat="1" applyFont="1" applyBorder="1" applyAlignment="1">
      <alignment horizontal="left" vertical="center"/>
    </xf>
    <xf numFmtId="2" fontId="55" fillId="9" borderId="226" xfId="0" applyNumberFormat="1" applyFont="1" applyFill="1" applyBorder="1" applyAlignment="1">
      <alignment horizontal="left" vertical="center" wrapText="1"/>
    </xf>
    <xf numFmtId="2" fontId="55" fillId="9" borderId="226" xfId="0" applyNumberFormat="1" applyFont="1" applyFill="1" applyBorder="1" applyAlignment="1">
      <alignment horizontal="center" vertical="center" wrapText="1"/>
    </xf>
    <xf numFmtId="165" fontId="55" fillId="9" borderId="226" xfId="0" applyNumberFormat="1" applyFont="1" applyFill="1" applyBorder="1" applyAlignment="1">
      <alignment horizontal="left" vertical="center" wrapText="1"/>
    </xf>
    <xf numFmtId="0" fontId="59" fillId="7" borderId="233" xfId="0" applyFont="1" applyFill="1" applyBorder="1" applyAlignment="1">
      <alignment horizontal="left" vertical="center"/>
    </xf>
    <xf numFmtId="0" fontId="59" fillId="7" borderId="234" xfId="0" applyFont="1" applyFill="1" applyBorder="1" applyAlignment="1">
      <alignment horizontal="left" vertical="center" wrapText="1"/>
    </xf>
    <xf numFmtId="0" fontId="59" fillId="7" borderId="234" xfId="0" applyFont="1" applyFill="1" applyBorder="1" applyAlignment="1">
      <alignment horizontal="center" vertical="center" wrapText="1"/>
    </xf>
    <xf numFmtId="0" fontId="59" fillId="7" borderId="235" xfId="0" applyFont="1" applyFill="1" applyBorder="1" applyAlignment="1">
      <alignment horizontal="left" vertical="center" wrapText="1"/>
    </xf>
    <xf numFmtId="0" fontId="51" fillId="14" borderId="236" xfId="0" applyFont="1" applyFill="1" applyBorder="1" applyAlignment="1">
      <alignment horizontal="left" vertical="center" wrapText="1"/>
    </xf>
    <xf numFmtId="0" fontId="51" fillId="14" borderId="237" xfId="0" applyFont="1" applyFill="1" applyBorder="1" applyAlignment="1">
      <alignment horizontal="left" vertical="center"/>
    </xf>
    <xf numFmtId="0" fontId="51" fillId="14" borderId="237" xfId="0" applyFont="1" applyFill="1" applyBorder="1" applyAlignment="1">
      <alignment horizontal="center" vertical="center"/>
    </xf>
    <xf numFmtId="166" fontId="51" fillId="14" borderId="237" xfId="0" applyNumberFormat="1" applyFont="1" applyFill="1" applyBorder="1" applyAlignment="1">
      <alignment horizontal="center" vertical="center"/>
    </xf>
    <xf numFmtId="0" fontId="51" fillId="14" borderId="237" xfId="0" quotePrefix="1" applyFont="1" applyFill="1" applyBorder="1" applyAlignment="1">
      <alignment horizontal="center" vertical="center"/>
    </xf>
    <xf numFmtId="0" fontId="51" fillId="14" borderId="238" xfId="0" applyFont="1" applyFill="1" applyBorder="1" applyAlignment="1">
      <alignment horizontal="left" vertical="center"/>
    </xf>
    <xf numFmtId="0" fontId="51" fillId="14" borderId="217" xfId="0" applyFont="1" applyFill="1" applyBorder="1" applyAlignment="1">
      <alignment horizontal="left" vertical="center" wrapText="1"/>
    </xf>
    <xf numFmtId="0" fontId="51" fillId="14" borderId="226" xfId="0" applyFont="1" applyFill="1" applyBorder="1" applyAlignment="1">
      <alignment horizontal="left" vertical="center"/>
    </xf>
    <xf numFmtId="0" fontId="51" fillId="14" borderId="226" xfId="0" applyFont="1" applyFill="1" applyBorder="1" applyAlignment="1">
      <alignment horizontal="center" vertical="center"/>
    </xf>
    <xf numFmtId="166" fontId="51" fillId="14" borderId="226" xfId="0" applyNumberFormat="1" applyFont="1" applyFill="1" applyBorder="1" applyAlignment="1">
      <alignment horizontal="center" vertical="center"/>
    </xf>
    <xf numFmtId="0" fontId="51" fillId="14" borderId="226" xfId="0" quotePrefix="1" applyFont="1" applyFill="1" applyBorder="1" applyAlignment="1">
      <alignment horizontal="center" vertical="center"/>
    </xf>
    <xf numFmtId="0" fontId="51" fillId="14" borderId="225" xfId="0" applyFont="1" applyFill="1" applyBorder="1" applyAlignment="1">
      <alignment horizontal="left" vertical="center"/>
    </xf>
    <xf numFmtId="0" fontId="51" fillId="14" borderId="219" xfId="0" applyFont="1" applyFill="1" applyBorder="1" applyAlignment="1">
      <alignment horizontal="left" vertical="center" wrapText="1"/>
    </xf>
    <xf numFmtId="0" fontId="51" fillId="14" borderId="227" xfId="0" applyFont="1" applyFill="1" applyBorder="1" applyAlignment="1">
      <alignment horizontal="left" vertical="center"/>
    </xf>
    <xf numFmtId="0" fontId="51" fillId="14" borderId="227" xfId="0" applyFont="1" applyFill="1" applyBorder="1" applyAlignment="1">
      <alignment horizontal="center" vertical="center"/>
    </xf>
    <xf numFmtId="166" fontId="51" fillId="14" borderId="227" xfId="0" applyNumberFormat="1" applyFont="1" applyFill="1" applyBorder="1" applyAlignment="1">
      <alignment horizontal="center" vertical="center"/>
    </xf>
    <xf numFmtId="0" fontId="51" fillId="14" borderId="227" xfId="0" quotePrefix="1" applyFont="1" applyFill="1" applyBorder="1" applyAlignment="1">
      <alignment horizontal="center" vertical="center"/>
    </xf>
    <xf numFmtId="0" fontId="51" fillId="14" borderId="221" xfId="0" applyFont="1" applyFill="1" applyBorder="1" applyAlignment="1">
      <alignment horizontal="left" vertical="center"/>
    </xf>
    <xf numFmtId="0" fontId="51" fillId="20" borderId="236" xfId="0" applyFont="1" applyFill="1" applyBorder="1" applyAlignment="1">
      <alignment horizontal="left" vertical="center" wrapText="1"/>
    </xf>
    <xf numFmtId="0" fontId="51" fillId="20" borderId="237" xfId="0" applyFont="1" applyFill="1" applyBorder="1" applyAlignment="1">
      <alignment horizontal="left" vertical="center"/>
    </xf>
    <xf numFmtId="0" fontId="51" fillId="20" borderId="237" xfId="0" applyFont="1" applyFill="1" applyBorder="1" applyAlignment="1">
      <alignment horizontal="center" vertical="center"/>
    </xf>
    <xf numFmtId="166" fontId="51" fillId="20" borderId="237" xfId="0" applyNumberFormat="1" applyFont="1" applyFill="1" applyBorder="1" applyAlignment="1">
      <alignment horizontal="center" vertical="center"/>
    </xf>
    <xf numFmtId="0" fontId="51" fillId="20" borderId="237" xfId="0" quotePrefix="1" applyFont="1" applyFill="1" applyBorder="1" applyAlignment="1">
      <alignment horizontal="center" vertical="center"/>
    </xf>
    <xf numFmtId="0" fontId="51" fillId="20" borderId="238" xfId="0" applyFont="1" applyFill="1" applyBorder="1" applyAlignment="1">
      <alignment horizontal="left" vertical="center"/>
    </xf>
    <xf numFmtId="0" fontId="51" fillId="20" borderId="219" xfId="0" applyFont="1" applyFill="1" applyBorder="1" applyAlignment="1">
      <alignment horizontal="left" vertical="center" wrapText="1"/>
    </xf>
    <xf numFmtId="0" fontId="51" fillId="20" borderId="227" xfId="0" applyFont="1" applyFill="1" applyBorder="1" applyAlignment="1">
      <alignment horizontal="center" vertical="center"/>
    </xf>
    <xf numFmtId="166" fontId="51" fillId="20" borderId="227" xfId="0" applyNumberFormat="1" applyFont="1" applyFill="1" applyBorder="1" applyAlignment="1">
      <alignment horizontal="center" vertical="center"/>
    </xf>
    <xf numFmtId="0" fontId="51" fillId="20" borderId="227" xfId="0" quotePrefix="1" applyFont="1" applyFill="1" applyBorder="1" applyAlignment="1">
      <alignment horizontal="center" vertical="center"/>
    </xf>
    <xf numFmtId="0" fontId="51" fillId="20" borderId="221" xfId="0" applyFont="1" applyFill="1" applyBorder="1" applyAlignment="1">
      <alignment horizontal="left" vertical="center"/>
    </xf>
    <xf numFmtId="0" fontId="5" fillId="0" borderId="237" xfId="0" applyFont="1" applyBorder="1" applyAlignment="1">
      <alignment horizontal="left" vertical="center"/>
    </xf>
    <xf numFmtId="0" fontId="5" fillId="0" borderId="226" xfId="0" applyFont="1" applyBorder="1" applyAlignment="1">
      <alignment horizontal="left" vertical="center"/>
    </xf>
    <xf numFmtId="0" fontId="5" fillId="0" borderId="15" xfId="0" applyFont="1" applyBorder="1" applyAlignment="1">
      <alignment horizontal="left" vertical="center"/>
    </xf>
    <xf numFmtId="0" fontId="5" fillId="0" borderId="227" xfId="0" applyFont="1" applyBorder="1" applyAlignment="1">
      <alignment horizontal="left" vertical="center"/>
    </xf>
    <xf numFmtId="0" fontId="5" fillId="0" borderId="15" xfId="0" applyFont="1" applyBorder="1" applyAlignment="1">
      <alignment horizontal="left" vertical="center" wrapText="1"/>
    </xf>
    <xf numFmtId="0" fontId="5" fillId="0" borderId="236" xfId="0" applyFont="1" applyBorder="1" applyAlignment="1">
      <alignment horizontal="left" vertical="center"/>
    </xf>
    <xf numFmtId="0" fontId="5" fillId="0" borderId="237" xfId="0" applyFont="1" applyBorder="1" applyAlignment="1">
      <alignment horizontal="left" vertical="center" wrapText="1"/>
    </xf>
    <xf numFmtId="2" fontId="5" fillId="0" borderId="237" xfId="0" applyNumberFormat="1" applyFont="1" applyBorder="1" applyAlignment="1">
      <alignment horizontal="left" vertical="center"/>
    </xf>
    <xf numFmtId="0" fontId="5" fillId="0" borderId="238" xfId="0" applyFont="1" applyBorder="1" applyAlignment="1">
      <alignment horizontal="left" vertical="center"/>
    </xf>
    <xf numFmtId="0" fontId="5" fillId="0" borderId="217" xfId="0" applyFont="1" applyBorder="1" applyAlignment="1">
      <alignment horizontal="left" vertical="center"/>
    </xf>
    <xf numFmtId="0" fontId="5" fillId="0" borderId="226" xfId="0" applyFont="1" applyBorder="1" applyAlignment="1">
      <alignment horizontal="left" vertical="center" wrapText="1"/>
    </xf>
    <xf numFmtId="0" fontId="5" fillId="0" borderId="225" xfId="0" applyFont="1" applyBorder="1" applyAlignment="1">
      <alignment horizontal="left" vertical="center"/>
    </xf>
    <xf numFmtId="0" fontId="5" fillId="0" borderId="239" xfId="0" applyFont="1" applyBorder="1" applyAlignment="1">
      <alignment horizontal="left" vertical="center"/>
    </xf>
    <xf numFmtId="2" fontId="5" fillId="0" borderId="15" xfId="0" applyNumberFormat="1" applyFont="1" applyBorder="1" applyAlignment="1">
      <alignment horizontal="left" vertical="center" wrapText="1"/>
    </xf>
    <xf numFmtId="0" fontId="5" fillId="0" borderId="38" xfId="0" applyFont="1" applyBorder="1" applyAlignment="1">
      <alignment horizontal="left" vertical="center"/>
    </xf>
    <xf numFmtId="2" fontId="5" fillId="0" borderId="15" xfId="0" applyNumberFormat="1" applyFont="1" applyBorder="1" applyAlignment="1">
      <alignment horizontal="left" vertical="center"/>
    </xf>
    <xf numFmtId="0" fontId="5" fillId="0" borderId="219" xfId="0" applyFont="1" applyBorder="1" applyAlignment="1">
      <alignment horizontal="left" vertical="center"/>
    </xf>
    <xf numFmtId="0" fontId="5" fillId="0" borderId="227" xfId="0" applyFont="1" applyBorder="1" applyAlignment="1">
      <alignment horizontal="left" vertical="center" wrapText="1"/>
    </xf>
    <xf numFmtId="0" fontId="5" fillId="0" borderId="221" xfId="0" applyFont="1" applyBorder="1" applyAlignment="1">
      <alignment horizontal="left" vertical="center"/>
    </xf>
    <xf numFmtId="0" fontId="51" fillId="7" borderId="217" xfId="0" applyFont="1" applyFill="1" applyBorder="1" applyAlignment="1">
      <alignment horizontal="left" vertical="center"/>
    </xf>
    <xf numFmtId="0" fontId="51" fillId="7" borderId="226" xfId="0" quotePrefix="1" applyFont="1" applyFill="1" applyBorder="1" applyAlignment="1">
      <alignment horizontal="left" vertical="center" wrapText="1"/>
    </xf>
    <xf numFmtId="0" fontId="51" fillId="7" borderId="226" xfId="0" quotePrefix="1" applyFont="1" applyFill="1" applyBorder="1" applyAlignment="1">
      <alignment horizontal="left" vertical="center"/>
    </xf>
    <xf numFmtId="0" fontId="51" fillId="7" borderId="226" xfId="0" applyFont="1" applyFill="1" applyBorder="1" applyAlignment="1">
      <alignment horizontal="left" vertical="center"/>
    </xf>
    <xf numFmtId="0" fontId="51" fillId="7" borderId="225" xfId="0" applyFont="1" applyFill="1" applyBorder="1" applyAlignment="1">
      <alignment horizontal="left" vertical="center"/>
    </xf>
    <xf numFmtId="0" fontId="31" fillId="7" borderId="158" xfId="0" applyFont="1" applyFill="1" applyBorder="1" applyAlignment="1">
      <alignment horizontal="left" vertical="center" wrapText="1"/>
    </xf>
    <xf numFmtId="0" fontId="59" fillId="13" borderId="233" xfId="0" applyFont="1" applyFill="1" applyBorder="1" applyAlignment="1">
      <alignment horizontal="left" vertical="center"/>
    </xf>
    <xf numFmtId="0" fontId="75" fillId="13" borderId="234" xfId="0" applyFont="1" applyFill="1" applyBorder="1" applyAlignment="1">
      <alignment horizontal="left" vertical="center"/>
    </xf>
    <xf numFmtId="0" fontId="59" fillId="13" borderId="234" xfId="0" applyFont="1" applyFill="1" applyBorder="1" applyAlignment="1">
      <alignment horizontal="left" vertical="center"/>
    </xf>
    <xf numFmtId="0" fontId="59" fillId="13" borderId="235" xfId="0" applyFont="1" applyFill="1" applyBorder="1" applyAlignment="1">
      <alignment horizontal="left" vertical="center"/>
    </xf>
    <xf numFmtId="0" fontId="51" fillId="4" borderId="236" xfId="0" applyFont="1" applyFill="1" applyBorder="1" applyAlignment="1">
      <alignment horizontal="left" vertical="center"/>
    </xf>
    <xf numFmtId="0" fontId="51" fillId="4" borderId="237" xfId="0" applyFont="1" applyFill="1" applyBorder="1" applyAlignment="1">
      <alignment horizontal="left" vertical="center" wrapText="1"/>
    </xf>
    <xf numFmtId="11" fontId="51" fillId="4" borderId="237" xfId="0" applyNumberFormat="1" applyFont="1" applyFill="1" applyBorder="1" applyAlignment="1">
      <alignment horizontal="left" vertical="center"/>
    </xf>
    <xf numFmtId="0" fontId="51" fillId="4" borderId="237" xfId="0" applyFont="1" applyFill="1" applyBorder="1" applyAlignment="1">
      <alignment horizontal="left" vertical="center"/>
    </xf>
    <xf numFmtId="0" fontId="51" fillId="4" borderId="238" xfId="0" applyFont="1" applyFill="1" applyBorder="1" applyAlignment="1">
      <alignment horizontal="left" vertical="center"/>
    </xf>
    <xf numFmtId="0" fontId="51" fillId="4" borderId="239" xfId="0" applyFont="1" applyFill="1" applyBorder="1" applyAlignment="1">
      <alignment horizontal="left" vertical="center"/>
    </xf>
    <xf numFmtId="0" fontId="51" fillId="4" borderId="15" xfId="0" applyFont="1" applyFill="1" applyBorder="1" applyAlignment="1">
      <alignment horizontal="left" vertical="center" wrapText="1"/>
    </xf>
    <xf numFmtId="11" fontId="51" fillId="4" borderId="15" xfId="0" applyNumberFormat="1" applyFont="1" applyFill="1" applyBorder="1" applyAlignment="1">
      <alignment horizontal="left" vertical="center"/>
    </xf>
    <xf numFmtId="0" fontId="51" fillId="4" borderId="15" xfId="0" applyFont="1" applyFill="1" applyBorder="1" applyAlignment="1">
      <alignment horizontal="left" vertical="center"/>
    </xf>
    <xf numFmtId="0" fontId="51" fillId="4" borderId="227" xfId="0" applyFont="1" applyFill="1" applyBorder="1" applyAlignment="1">
      <alignment horizontal="left" vertical="center"/>
    </xf>
    <xf numFmtId="0" fontId="51" fillId="4" borderId="221" xfId="0" applyFont="1" applyFill="1" applyBorder="1" applyAlignment="1">
      <alignment horizontal="left" vertical="center"/>
    </xf>
    <xf numFmtId="0" fontId="58" fillId="7" borderId="240" xfId="0" applyFont="1" applyFill="1" applyBorder="1" applyAlignment="1">
      <alignment horizontal="center" vertical="center" wrapText="1"/>
    </xf>
    <xf numFmtId="0" fontId="59" fillId="13" borderId="241" xfId="0" applyFont="1" applyFill="1" applyBorder="1" applyAlignment="1">
      <alignment horizontal="left" vertical="center"/>
    </xf>
    <xf numFmtId="0" fontId="75" fillId="13" borderId="242" xfId="0" applyFont="1" applyFill="1" applyBorder="1" applyAlignment="1">
      <alignment horizontal="left" vertical="center"/>
    </xf>
    <xf numFmtId="0" fontId="59" fillId="13" borderId="242" xfId="0" applyFont="1" applyFill="1" applyBorder="1" applyAlignment="1">
      <alignment horizontal="left" vertical="center"/>
    </xf>
    <xf numFmtId="0" fontId="59" fillId="13" borderId="243" xfId="0" applyFont="1" applyFill="1" applyBorder="1" applyAlignment="1">
      <alignment horizontal="left" vertical="center"/>
    </xf>
    <xf numFmtId="0" fontId="48" fillId="4" borderId="237" xfId="0" quotePrefix="1" applyFont="1" applyFill="1" applyBorder="1" applyAlignment="1">
      <alignment horizontal="left" vertical="center" wrapText="1"/>
    </xf>
    <xf numFmtId="164" fontId="51" fillId="4" borderId="237" xfId="0" applyNumberFormat="1" applyFont="1" applyFill="1" applyBorder="1" applyAlignment="1">
      <alignment horizontal="left" vertical="center"/>
    </xf>
    <xf numFmtId="0" fontId="51" fillId="4" borderId="217" xfId="0" applyFont="1" applyFill="1" applyBorder="1" applyAlignment="1">
      <alignment horizontal="left" vertical="center"/>
    </xf>
    <xf numFmtId="0" fontId="51" fillId="4" borderId="226" xfId="0" applyFont="1" applyFill="1" applyBorder="1" applyAlignment="1">
      <alignment horizontal="left" vertical="center" wrapText="1"/>
    </xf>
    <xf numFmtId="0" fontId="48" fillId="4" borderId="226" xfId="0" quotePrefix="1" applyFont="1" applyFill="1" applyBorder="1" applyAlignment="1">
      <alignment horizontal="left" vertical="center" wrapText="1"/>
    </xf>
    <xf numFmtId="164" fontId="51" fillId="4" borderId="226" xfId="0" applyNumberFormat="1" applyFont="1" applyFill="1" applyBorder="1" applyAlignment="1">
      <alignment horizontal="left" vertical="center"/>
    </xf>
    <xf numFmtId="0" fontId="51" fillId="4" borderId="219" xfId="0" applyFont="1" applyFill="1" applyBorder="1" applyAlignment="1">
      <alignment horizontal="left" vertical="center"/>
    </xf>
    <xf numFmtId="0" fontId="51" fillId="4" borderId="227" xfId="0" applyFont="1" applyFill="1" applyBorder="1" applyAlignment="1">
      <alignment horizontal="left" vertical="center" wrapText="1"/>
    </xf>
    <xf numFmtId="0" fontId="48" fillId="4" borderId="227" xfId="0" quotePrefix="1" applyFont="1" applyFill="1" applyBorder="1" applyAlignment="1">
      <alignment horizontal="left" vertical="center" wrapText="1"/>
    </xf>
    <xf numFmtId="164" fontId="51" fillId="4" borderId="227" xfId="0" applyNumberFormat="1" applyFont="1" applyFill="1" applyBorder="1" applyAlignment="1">
      <alignment horizontal="left" vertical="center"/>
    </xf>
    <xf numFmtId="0" fontId="51" fillId="20" borderId="236" xfId="2" applyFont="1" applyFill="1" applyBorder="1" applyAlignment="1">
      <alignment horizontal="left" vertical="center" wrapText="1"/>
    </xf>
    <xf numFmtId="0" fontId="51" fillId="20" borderId="237" xfId="0" applyFont="1" applyFill="1" applyBorder="1" applyAlignment="1">
      <alignment horizontal="left" vertical="center" wrapText="1"/>
    </xf>
    <xf numFmtId="2" fontId="51" fillId="20" borderId="237" xfId="0" applyNumberFormat="1" applyFont="1" applyFill="1" applyBorder="1" applyAlignment="1">
      <alignment horizontal="left" vertical="center"/>
    </xf>
    <xf numFmtId="0" fontId="51" fillId="20" borderId="217" xfId="2" applyFont="1" applyFill="1" applyBorder="1" applyAlignment="1">
      <alignment horizontal="left" vertical="center" wrapText="1"/>
    </xf>
    <xf numFmtId="0" fontId="51" fillId="20" borderId="226" xfId="0" applyFont="1" applyFill="1" applyBorder="1" applyAlignment="1">
      <alignment horizontal="left" vertical="center" wrapText="1"/>
    </xf>
    <xf numFmtId="2" fontId="51" fillId="20" borderId="226" xfId="0" applyNumberFormat="1" applyFont="1" applyFill="1" applyBorder="1" applyAlignment="1">
      <alignment horizontal="left" vertical="center"/>
    </xf>
    <xf numFmtId="0" fontId="51" fillId="20" borderId="226" xfId="0" applyFont="1" applyFill="1" applyBorder="1" applyAlignment="1">
      <alignment horizontal="left" vertical="center"/>
    </xf>
    <xf numFmtId="0" fontId="51" fillId="20" borderId="225" xfId="0" applyFont="1" applyFill="1" applyBorder="1" applyAlignment="1">
      <alignment horizontal="left" vertical="center"/>
    </xf>
    <xf numFmtId="0" fontId="51" fillId="20" borderId="239" xfId="2" applyFont="1" applyFill="1" applyBorder="1" applyAlignment="1">
      <alignment horizontal="left" vertical="center" wrapText="1"/>
    </xf>
    <xf numFmtId="2" fontId="51" fillId="20" borderId="15" xfId="0" applyNumberFormat="1" applyFont="1" applyFill="1" applyBorder="1" applyAlignment="1">
      <alignment horizontal="left" vertical="center"/>
    </xf>
    <xf numFmtId="0" fontId="51" fillId="20" borderId="109" xfId="2" applyFont="1" applyFill="1" applyBorder="1" applyAlignment="1">
      <alignment horizontal="left" vertical="center" wrapText="1"/>
    </xf>
    <xf numFmtId="0" fontId="51" fillId="20" borderId="227" xfId="0" applyFont="1" applyFill="1" applyBorder="1" applyAlignment="1">
      <alignment horizontal="left" vertical="center" wrapText="1"/>
    </xf>
    <xf numFmtId="2" fontId="51" fillId="20" borderId="89" xfId="0" applyNumberFormat="1" applyFont="1" applyFill="1" applyBorder="1" applyAlignment="1">
      <alignment horizontal="left" vertical="center"/>
    </xf>
    <xf numFmtId="0" fontId="51" fillId="20" borderId="89" xfId="0" applyFont="1" applyFill="1" applyBorder="1" applyAlignment="1">
      <alignment horizontal="left" vertical="center"/>
    </xf>
    <xf numFmtId="0" fontId="51" fillId="29" borderId="239" xfId="2" applyFont="1" applyFill="1" applyBorder="1" applyAlignment="1">
      <alignment horizontal="left" vertical="center" wrapText="1"/>
    </xf>
    <xf numFmtId="0" fontId="51" fillId="29" borderId="15" xfId="0" applyFont="1" applyFill="1" applyBorder="1" applyAlignment="1">
      <alignment horizontal="left" vertical="center"/>
    </xf>
    <xf numFmtId="0" fontId="95" fillId="29" borderId="15" xfId="0" applyFont="1" applyFill="1" applyBorder="1" applyAlignment="1">
      <alignment horizontal="left" vertical="center"/>
    </xf>
    <xf numFmtId="165" fontId="51" fillId="29" borderId="15" xfId="0" applyNumberFormat="1" applyFont="1" applyFill="1" applyBorder="1" applyAlignment="1">
      <alignment horizontal="left" vertical="center"/>
    </xf>
    <xf numFmtId="0" fontId="48" fillId="29" borderId="15" xfId="0" applyFont="1" applyFill="1" applyBorder="1" applyAlignment="1">
      <alignment horizontal="left" vertical="center" wrapText="1"/>
    </xf>
    <xf numFmtId="0" fontId="51" fillId="29" borderId="15" xfId="0" applyFont="1" applyFill="1" applyBorder="1" applyAlignment="1">
      <alignment horizontal="left" vertical="center" wrapText="1"/>
    </xf>
    <xf numFmtId="0" fontId="51" fillId="29" borderId="38" xfId="0" applyFont="1" applyFill="1" applyBorder="1" applyAlignment="1">
      <alignment horizontal="center" vertical="center"/>
    </xf>
    <xf numFmtId="0" fontId="51" fillId="29" borderId="226" xfId="0" applyFont="1" applyFill="1" applyBorder="1" applyAlignment="1">
      <alignment horizontal="left" vertical="center"/>
    </xf>
    <xf numFmtId="2" fontId="51" fillId="29" borderId="15" xfId="0" applyNumberFormat="1" applyFont="1" applyFill="1" applyBorder="1" applyAlignment="1">
      <alignment horizontal="left" vertical="center"/>
    </xf>
    <xf numFmtId="0" fontId="51" fillId="29" borderId="194" xfId="0" applyFont="1" applyFill="1" applyBorder="1" applyAlignment="1">
      <alignment horizontal="left" vertical="center"/>
    </xf>
    <xf numFmtId="0" fontId="51" fillId="29" borderId="244" xfId="0" applyFont="1" applyFill="1" applyBorder="1" applyAlignment="1">
      <alignment horizontal="center" vertical="center"/>
    </xf>
    <xf numFmtId="0" fontId="51" fillId="29" borderId="227" xfId="0" applyFont="1" applyFill="1" applyBorder="1" applyAlignment="1">
      <alignment horizontal="left" vertical="center"/>
    </xf>
    <xf numFmtId="0" fontId="95" fillId="29" borderId="227" xfId="0" applyFont="1" applyFill="1" applyBorder="1" applyAlignment="1">
      <alignment horizontal="left" vertical="center"/>
    </xf>
    <xf numFmtId="2" fontId="51" fillId="29" borderId="227" xfId="0" applyNumberFormat="1" applyFont="1" applyFill="1" applyBorder="1" applyAlignment="1">
      <alignment horizontal="left" vertical="center"/>
    </xf>
    <xf numFmtId="0" fontId="48" fillId="29" borderId="227" xfId="0" applyFont="1" applyFill="1" applyBorder="1" applyAlignment="1">
      <alignment horizontal="left" vertical="center" wrapText="1"/>
    </xf>
    <xf numFmtId="0" fontId="51" fillId="29" borderId="227" xfId="0" applyFont="1" applyFill="1" applyBorder="1" applyAlignment="1">
      <alignment horizontal="left" vertical="center" wrapText="1"/>
    </xf>
    <xf numFmtId="0" fontId="99" fillId="0" borderId="0" xfId="2" applyFont="1" applyAlignment="1">
      <alignment horizontal="left" vertical="center" wrapText="1"/>
    </xf>
    <xf numFmtId="0" fontId="95" fillId="0" borderId="0" xfId="0" applyFont="1" applyAlignment="1">
      <alignment horizontal="left" vertical="center"/>
    </xf>
    <xf numFmtId="2" fontId="51" fillId="0" borderId="0" xfId="0" applyNumberFormat="1" applyFont="1" applyAlignment="1">
      <alignment horizontal="left" vertical="center"/>
    </xf>
    <xf numFmtId="0" fontId="48" fillId="0" borderId="0" xfId="0" applyFont="1" applyAlignment="1">
      <alignment horizontal="left" vertical="center" wrapText="1"/>
    </xf>
    <xf numFmtId="0" fontId="51" fillId="0" borderId="0" xfId="0" applyFont="1" applyAlignment="1">
      <alignment horizontal="center" vertical="center"/>
    </xf>
    <xf numFmtId="0" fontId="75" fillId="7" borderId="234" xfId="0" applyFont="1" applyFill="1" applyBorder="1" applyAlignment="1">
      <alignment horizontal="left" vertical="center"/>
    </xf>
    <xf numFmtId="0" fontId="59" fillId="7" borderId="234" xfId="0" applyFont="1" applyFill="1" applyBorder="1" applyAlignment="1">
      <alignment horizontal="left" vertical="center"/>
    </xf>
    <xf numFmtId="0" fontId="59" fillId="7" borderId="235" xfId="0" applyFont="1" applyFill="1" applyBorder="1" applyAlignment="1">
      <alignment horizontal="left" vertical="center"/>
    </xf>
    <xf numFmtId="0" fontId="51" fillId="20" borderId="239" xfId="0" applyFont="1" applyFill="1" applyBorder="1" applyAlignment="1">
      <alignment horizontal="left" vertical="center"/>
    </xf>
    <xf numFmtId="164" fontId="51" fillId="20" borderId="15" xfId="0" applyNumberFormat="1" applyFont="1" applyFill="1" applyBorder="1" applyAlignment="1">
      <alignment horizontal="left" vertical="center"/>
    </xf>
    <xf numFmtId="0" fontId="51" fillId="20" borderId="219" xfId="0" applyFont="1" applyFill="1" applyBorder="1" applyAlignment="1">
      <alignment horizontal="left" vertical="center"/>
    </xf>
    <xf numFmtId="164" fontId="51" fillId="20" borderId="227" xfId="0" applyNumberFormat="1" applyFont="1" applyFill="1" applyBorder="1" applyAlignment="1">
      <alignment horizontal="left" vertical="center"/>
    </xf>
    <xf numFmtId="0" fontId="4" fillId="0" borderId="217" xfId="0" applyFont="1" applyBorder="1" applyAlignment="1">
      <alignment horizontal="left" vertical="center"/>
    </xf>
    <xf numFmtId="0" fontId="4" fillId="0" borderId="226" xfId="0" applyFont="1" applyBorder="1" applyAlignment="1">
      <alignment horizontal="left" vertical="center" wrapText="1"/>
    </xf>
    <xf numFmtId="0" fontId="4" fillId="0" borderId="226" xfId="0" applyFont="1" applyBorder="1" applyAlignment="1">
      <alignment horizontal="left" vertical="center"/>
    </xf>
    <xf numFmtId="0" fontId="4" fillId="0" borderId="225" xfId="0" applyFont="1" applyBorder="1" applyAlignment="1">
      <alignment horizontal="left" vertical="center"/>
    </xf>
    <xf numFmtId="0" fontId="48" fillId="0" borderId="225" xfId="0" applyFont="1" applyBorder="1" applyAlignment="1">
      <alignment horizontal="left" vertical="center"/>
    </xf>
    <xf numFmtId="0" fontId="48" fillId="0" borderId="15" xfId="0" applyFont="1" applyBorder="1" applyAlignment="1">
      <alignment vertical="center"/>
    </xf>
    <xf numFmtId="0" fontId="48" fillId="0" borderId="117" xfId="0" applyFont="1" applyBorder="1" applyAlignment="1">
      <alignment vertical="center"/>
    </xf>
    <xf numFmtId="0" fontId="48" fillId="0" borderId="6" xfId="0" applyFont="1" applyBorder="1" applyAlignment="1">
      <alignment vertical="center"/>
    </xf>
    <xf numFmtId="0" fontId="48" fillId="0" borderId="226" xfId="0" applyFont="1" applyBorder="1" applyAlignment="1">
      <alignment vertical="center"/>
    </xf>
    <xf numFmtId="0" fontId="48" fillId="0" borderId="111" xfId="0" applyFont="1" applyBorder="1" applyAlignment="1">
      <alignment vertical="center"/>
    </xf>
    <xf numFmtId="0" fontId="48" fillId="0" borderId="114" xfId="0" applyFont="1" applyBorder="1" applyAlignment="1">
      <alignment vertical="center"/>
    </xf>
    <xf numFmtId="0" fontId="48" fillId="0" borderId="91" xfId="0" applyFont="1" applyBorder="1" applyAlignment="1">
      <alignment vertical="center"/>
    </xf>
    <xf numFmtId="0" fontId="48" fillId="0" borderId="13" xfId="0" applyFont="1" applyBorder="1" applyAlignment="1">
      <alignment vertical="center"/>
    </xf>
    <xf numFmtId="0" fontId="48" fillId="0" borderId="149" xfId="0" applyFont="1" applyBorder="1" applyAlignment="1">
      <alignment vertical="center"/>
    </xf>
    <xf numFmtId="0" fontId="48" fillId="0" borderId="222" xfId="0" applyFont="1" applyBorder="1" applyAlignment="1">
      <alignment vertical="center"/>
    </xf>
    <xf numFmtId="0" fontId="51" fillId="34" borderId="217" xfId="0" applyFont="1" applyFill="1" applyBorder="1" applyAlignment="1">
      <alignment horizontal="left" vertical="center" wrapText="1"/>
    </xf>
    <xf numFmtId="2" fontId="51" fillId="34" borderId="226" xfId="0" applyNumberFormat="1" applyFont="1" applyFill="1" applyBorder="1" applyAlignment="1">
      <alignment horizontal="left" vertical="center" wrapText="1"/>
    </xf>
    <xf numFmtId="2" fontId="51" fillId="34" borderId="226" xfId="0" applyNumberFormat="1" applyFont="1" applyFill="1" applyBorder="1" applyAlignment="1">
      <alignment horizontal="center" vertical="center" wrapText="1"/>
    </xf>
    <xf numFmtId="0" fontId="51" fillId="34" borderId="226" xfId="0" applyFont="1" applyFill="1" applyBorder="1" applyAlignment="1">
      <alignment horizontal="center" vertical="center" wrapText="1"/>
    </xf>
    <xf numFmtId="0" fontId="51" fillId="34" borderId="225" xfId="0" applyFont="1" applyFill="1" applyBorder="1" applyAlignment="1">
      <alignment horizontal="left" vertical="center"/>
    </xf>
    <xf numFmtId="0" fontId="51" fillId="34" borderId="219" xfId="0" applyFont="1" applyFill="1" applyBorder="1" applyAlignment="1">
      <alignment horizontal="left" vertical="center" wrapText="1"/>
    </xf>
    <xf numFmtId="2" fontId="51" fillId="34" borderId="227" xfId="0" applyNumberFormat="1" applyFont="1" applyFill="1" applyBorder="1" applyAlignment="1">
      <alignment horizontal="left" vertical="center" wrapText="1"/>
    </xf>
    <xf numFmtId="2" fontId="51" fillId="34" borderId="227" xfId="0" applyNumberFormat="1" applyFont="1" applyFill="1" applyBorder="1" applyAlignment="1">
      <alignment horizontal="center" vertical="center" wrapText="1"/>
    </xf>
    <xf numFmtId="0" fontId="51" fillId="34" borderId="227" xfId="0" applyFont="1" applyFill="1" applyBorder="1" applyAlignment="1">
      <alignment horizontal="center" vertical="center" wrapText="1"/>
    </xf>
    <xf numFmtId="0" fontId="51" fillId="34" borderId="221" xfId="0" applyFont="1" applyFill="1" applyBorder="1" applyAlignment="1">
      <alignment horizontal="left" vertical="center"/>
    </xf>
    <xf numFmtId="166" fontId="55" fillId="9" borderId="226" xfId="0" applyNumberFormat="1" applyFont="1" applyFill="1" applyBorder="1" applyAlignment="1">
      <alignment horizontal="left" vertical="center" wrapText="1"/>
    </xf>
    <xf numFmtId="166" fontId="55" fillId="9" borderId="226" xfId="0" applyNumberFormat="1" applyFont="1" applyFill="1" applyBorder="1" applyAlignment="1">
      <alignment horizontal="center" vertical="center" wrapText="1"/>
    </xf>
    <xf numFmtId="0" fontId="69" fillId="0" borderId="217" xfId="0" applyFont="1" applyBorder="1" applyAlignment="1">
      <alignment horizontal="left"/>
    </xf>
    <xf numFmtId="0" fontId="0" fillId="0" borderId="226" xfId="0" applyBorder="1" applyAlignment="1">
      <alignment horizontal="left"/>
    </xf>
    <xf numFmtId="11" fontId="13" fillId="0" borderId="226" xfId="159" applyNumberFormat="1" applyBorder="1" applyAlignment="1">
      <alignment horizontal="center"/>
    </xf>
    <xf numFmtId="0" fontId="4" fillId="0" borderId="226" xfId="155" applyFont="1" applyBorder="1" applyAlignment="1">
      <alignment horizontal="center"/>
    </xf>
    <xf numFmtId="0" fontId="48" fillId="0" borderId="226" xfId="0" applyFont="1" applyBorder="1" applyAlignment="1">
      <alignment horizontal="center"/>
    </xf>
    <xf numFmtId="0" fontId="0" fillId="0" borderId="226" xfId="0" applyBorder="1" applyAlignment="1">
      <alignment horizontal="center"/>
    </xf>
    <xf numFmtId="0" fontId="0" fillId="0" borderId="226" xfId="0" applyBorder="1"/>
    <xf numFmtId="0" fontId="0" fillId="0" borderId="225" xfId="0" applyBorder="1"/>
    <xf numFmtId="0" fontId="48" fillId="8" borderId="237" xfId="0" quotePrefix="1" applyFont="1" applyFill="1" applyBorder="1" applyAlignment="1">
      <alignment horizontal="center" vertical="center"/>
    </xf>
    <xf numFmtId="0" fontId="48" fillId="8" borderId="226" xfId="0" quotePrefix="1" applyFont="1" applyFill="1" applyBorder="1" applyAlignment="1">
      <alignment horizontal="center" vertical="center"/>
    </xf>
    <xf numFmtId="0" fontId="48" fillId="21" borderId="226" xfId="0" quotePrefix="1" applyFont="1" applyFill="1" applyBorder="1" applyAlignment="1">
      <alignment horizontal="center" vertical="center"/>
    </xf>
    <xf numFmtId="0" fontId="48" fillId="11" borderId="226" xfId="0" quotePrefix="1" applyFont="1" applyFill="1" applyBorder="1" applyAlignment="1">
      <alignment horizontal="center" vertical="center"/>
    </xf>
    <xf numFmtId="0" fontId="48" fillId="12" borderId="226" xfId="0" quotePrefix="1" applyFont="1" applyFill="1" applyBorder="1" applyAlignment="1">
      <alignment horizontal="center" vertical="center"/>
    </xf>
    <xf numFmtId="0" fontId="48" fillId="18" borderId="226" xfId="0" quotePrefix="1" applyFont="1" applyFill="1" applyBorder="1" applyAlignment="1">
      <alignment horizontal="center" vertical="center"/>
    </xf>
    <xf numFmtId="0" fontId="48" fillId="7" borderId="226" xfId="0" quotePrefix="1" applyFont="1" applyFill="1" applyBorder="1" applyAlignment="1">
      <alignment horizontal="center" vertical="center"/>
    </xf>
    <xf numFmtId="0" fontId="48" fillId="16" borderId="226" xfId="0" quotePrefix="1" applyFont="1" applyFill="1" applyBorder="1" applyAlignment="1">
      <alignment horizontal="center" vertical="center"/>
    </xf>
    <xf numFmtId="0" fontId="48" fillId="15" borderId="226" xfId="0" quotePrefix="1" applyFont="1" applyFill="1" applyBorder="1" applyAlignment="1">
      <alignment horizontal="center" vertical="center"/>
    </xf>
    <xf numFmtId="0" fontId="48" fillId="4" borderId="226" xfId="0" quotePrefix="1" applyFont="1" applyFill="1" applyBorder="1" applyAlignment="1">
      <alignment horizontal="center" vertical="center"/>
    </xf>
    <xf numFmtId="0" fontId="48" fillId="18" borderId="227" xfId="0" quotePrefix="1" applyFont="1" applyFill="1" applyBorder="1" applyAlignment="1">
      <alignment horizontal="center" vertical="center"/>
    </xf>
    <xf numFmtId="0" fontId="48" fillId="5" borderId="237" xfId="0" applyFont="1" applyFill="1" applyBorder="1" applyAlignment="1">
      <alignment horizontal="center" vertical="center"/>
    </xf>
    <xf numFmtId="0" fontId="48" fillId="5" borderId="226" xfId="0" applyFont="1" applyFill="1" applyBorder="1" applyAlignment="1">
      <alignment horizontal="center" vertical="center"/>
    </xf>
    <xf numFmtId="0" fontId="48" fillId="5" borderId="227" xfId="0" applyFont="1" applyFill="1" applyBorder="1" applyAlignment="1">
      <alignment horizontal="center" vertical="center"/>
    </xf>
    <xf numFmtId="0" fontId="31" fillId="34" borderId="217" xfId="0" applyFont="1" applyFill="1" applyBorder="1" applyAlignment="1">
      <alignment horizontal="center" vertical="center"/>
    </xf>
    <xf numFmtId="0" fontId="31" fillId="34" borderId="226" xfId="0" applyFont="1" applyFill="1" applyBorder="1" applyAlignment="1">
      <alignment horizontal="center" vertical="center"/>
    </xf>
    <xf numFmtId="0" fontId="0" fillId="34" borderId="226" xfId="0" applyFill="1" applyBorder="1" applyAlignment="1">
      <alignment horizontal="left" vertical="center"/>
    </xf>
    <xf numFmtId="0" fontId="0" fillId="34" borderId="226" xfId="0" applyFill="1" applyBorder="1" applyAlignment="1">
      <alignment horizontal="center" vertical="center"/>
    </xf>
    <xf numFmtId="0" fontId="0" fillId="34" borderId="226" xfId="0" quotePrefix="1" applyFill="1" applyBorder="1" applyAlignment="1">
      <alignment horizontal="center" vertical="center"/>
    </xf>
    <xf numFmtId="0" fontId="48" fillId="34" borderId="226" xfId="0" applyFont="1" applyFill="1" applyBorder="1" applyAlignment="1">
      <alignment horizontal="left" vertical="center"/>
    </xf>
    <xf numFmtId="0" fontId="0" fillId="34" borderId="225" xfId="0" applyFill="1" applyBorder="1"/>
    <xf numFmtId="0" fontId="48" fillId="0" borderId="217" xfId="0" applyFont="1" applyBorder="1" applyAlignment="1">
      <alignment horizontal="left" vertical="center" wrapText="1"/>
    </xf>
    <xf numFmtId="0" fontId="48" fillId="0" borderId="225" xfId="0" applyFont="1" applyBorder="1" applyAlignment="1">
      <alignment horizontal="left" vertical="center" wrapText="1"/>
    </xf>
    <xf numFmtId="0" fontId="48" fillId="0" borderId="219" xfId="0" applyFont="1" applyBorder="1" applyAlignment="1">
      <alignment horizontal="left" vertical="center" wrapText="1"/>
    </xf>
    <xf numFmtId="0" fontId="48" fillId="0" borderId="227" xfId="0" applyFont="1" applyBorder="1" applyAlignment="1">
      <alignment horizontal="left" vertical="center" wrapText="1"/>
    </xf>
    <xf numFmtId="0" fontId="48" fillId="0" borderId="221" xfId="0" applyFont="1" applyBorder="1" applyAlignment="1">
      <alignment horizontal="left" vertical="center" wrapText="1"/>
    </xf>
    <xf numFmtId="0" fontId="48" fillId="0" borderId="226" xfId="0" applyFont="1" applyBorder="1" applyAlignment="1">
      <alignment horizontal="left" vertical="center"/>
    </xf>
    <xf numFmtId="0" fontId="55" fillId="9" borderId="239" xfId="0" applyFont="1" applyFill="1" applyBorder="1" applyAlignment="1">
      <alignment horizontal="left" vertical="center" wrapText="1"/>
    </xf>
    <xf numFmtId="0" fontId="51" fillId="0" borderId="226" xfId="0" quotePrefix="1" applyFont="1" applyBorder="1" applyAlignment="1">
      <alignment horizontal="left" vertical="center"/>
    </xf>
    <xf numFmtId="2" fontId="51" fillId="0" borderId="226" xfId="0" applyNumberFormat="1" applyFont="1" applyBorder="1" applyAlignment="1">
      <alignment horizontal="left" vertical="center"/>
    </xf>
    <xf numFmtId="0" fontId="51" fillId="12" borderId="219" xfId="0" quotePrefix="1" applyFont="1" applyFill="1" applyBorder="1" applyAlignment="1">
      <alignment horizontal="left" vertical="center"/>
    </xf>
    <xf numFmtId="0" fontId="51" fillId="12" borderId="227" xfId="0" quotePrefix="1" applyFont="1" applyFill="1" applyBorder="1" applyAlignment="1">
      <alignment horizontal="left" vertical="center" wrapText="1"/>
    </xf>
    <xf numFmtId="166" fontId="51" fillId="12" borderId="227" xfId="0" applyNumberFormat="1" applyFont="1" applyFill="1" applyBorder="1" applyAlignment="1">
      <alignment horizontal="left" vertical="center"/>
    </xf>
    <xf numFmtId="0" fontId="51" fillId="12" borderId="227" xfId="0" applyFont="1" applyFill="1" applyBorder="1" applyAlignment="1">
      <alignment horizontal="left" vertical="center" wrapText="1"/>
    </xf>
    <xf numFmtId="0" fontId="51" fillId="12" borderId="227" xfId="0" quotePrefix="1" applyFont="1" applyFill="1" applyBorder="1" applyAlignment="1">
      <alignment horizontal="left" vertical="center"/>
    </xf>
    <xf numFmtId="0" fontId="51" fillId="12" borderId="227" xfId="0" applyFont="1" applyFill="1" applyBorder="1" applyAlignment="1">
      <alignment horizontal="left" vertical="center"/>
    </xf>
    <xf numFmtId="0" fontId="51" fillId="12" borderId="221" xfId="0" applyFont="1" applyFill="1" applyBorder="1" applyAlignment="1">
      <alignment horizontal="left" vertical="center"/>
    </xf>
    <xf numFmtId="164" fontId="55" fillId="9" borderId="226" xfId="0" applyNumberFormat="1" applyFont="1" applyFill="1" applyBorder="1" applyAlignment="1">
      <alignment horizontal="center" vertical="center" wrapText="1"/>
    </xf>
    <xf numFmtId="0" fontId="51" fillId="21" borderId="217" xfId="0" applyFont="1" applyFill="1" applyBorder="1" applyAlignment="1">
      <alignment horizontal="left" vertical="center"/>
    </xf>
    <xf numFmtId="0" fontId="51" fillId="21" borderId="226" xfId="0" applyFont="1" applyFill="1" applyBorder="1" applyAlignment="1">
      <alignment horizontal="left" vertical="center" wrapText="1"/>
    </xf>
    <xf numFmtId="2" fontId="51" fillId="21" borderId="226" xfId="0" applyNumberFormat="1" applyFont="1" applyFill="1" applyBorder="1" applyAlignment="1">
      <alignment horizontal="center" vertical="center" wrapText="1"/>
    </xf>
    <xf numFmtId="0" fontId="51" fillId="21" borderId="226" xfId="0" applyFont="1" applyFill="1" applyBorder="1" applyAlignment="1">
      <alignment horizontal="center" vertical="center" wrapText="1"/>
    </xf>
    <xf numFmtId="0" fontId="51" fillId="21" borderId="225" xfId="0" applyFont="1" applyFill="1" applyBorder="1" applyAlignment="1">
      <alignment horizontal="left" vertical="center" wrapText="1"/>
    </xf>
    <xf numFmtId="0" fontId="51" fillId="8" borderId="245" xfId="0" applyFont="1" applyFill="1" applyBorder="1" applyAlignment="1">
      <alignment horizontal="left" vertical="center" wrapText="1"/>
    </xf>
    <xf numFmtId="0" fontId="78" fillId="8" borderId="217" xfId="0" applyFont="1" applyFill="1" applyBorder="1" applyAlignment="1">
      <alignment horizontal="left" vertical="center"/>
    </xf>
    <xf numFmtId="0" fontId="51" fillId="8" borderId="226" xfId="0" applyFont="1" applyFill="1" applyBorder="1" applyAlignment="1">
      <alignment horizontal="left" vertical="center" wrapText="1"/>
    </xf>
    <xf numFmtId="0" fontId="51" fillId="8" borderId="226" xfId="0" quotePrefix="1" applyFont="1" applyFill="1" applyBorder="1" applyAlignment="1">
      <alignment horizontal="center" vertical="center" wrapText="1"/>
    </xf>
    <xf numFmtId="0" fontId="51" fillId="8" borderId="225" xfId="0" applyFont="1" applyFill="1" applyBorder="1" applyAlignment="1">
      <alignment horizontal="left" vertical="center" wrapText="1"/>
    </xf>
    <xf numFmtId="0" fontId="51" fillId="8" borderId="225" xfId="0" applyFont="1" applyFill="1" applyBorder="1" applyAlignment="1">
      <alignment horizontal="center" vertical="center" wrapText="1"/>
    </xf>
    <xf numFmtId="0" fontId="78" fillId="21" borderId="217" xfId="0" applyFont="1" applyFill="1" applyBorder="1" applyAlignment="1">
      <alignment horizontal="left" vertical="center"/>
    </xf>
    <xf numFmtId="0" fontId="51" fillId="5" borderId="226" xfId="0" applyFont="1" applyFill="1" applyBorder="1" applyAlignment="1">
      <alignment horizontal="left" vertical="center" wrapText="1"/>
    </xf>
    <xf numFmtId="0" fontId="78" fillId="21" borderId="219" xfId="0" applyFont="1" applyFill="1" applyBorder="1" applyAlignment="1">
      <alignment horizontal="left" vertical="center"/>
    </xf>
    <xf numFmtId="0" fontId="51" fillId="21" borderId="227" xfId="0" applyFont="1" applyFill="1" applyBorder="1" applyAlignment="1">
      <alignment horizontal="left" vertical="center" wrapText="1"/>
    </xf>
    <xf numFmtId="2" fontId="51" fillId="21" borderId="227" xfId="0" applyNumberFormat="1" applyFont="1" applyFill="1" applyBorder="1" applyAlignment="1">
      <alignment horizontal="center" vertical="center" wrapText="1"/>
    </xf>
    <xf numFmtId="0" fontId="51" fillId="21" borderId="227" xfId="0" applyFont="1" applyFill="1" applyBorder="1" applyAlignment="1">
      <alignment horizontal="center" vertical="center" wrapText="1"/>
    </xf>
    <xf numFmtId="0" fontId="51" fillId="21" borderId="221" xfId="0" applyFont="1" applyFill="1" applyBorder="1" applyAlignment="1">
      <alignment horizontal="left" vertical="center" wrapText="1"/>
    </xf>
    <xf numFmtId="0" fontId="78" fillId="8" borderId="226" xfId="0" applyFont="1" applyFill="1" applyBorder="1" applyAlignment="1">
      <alignment horizontal="left" vertical="center"/>
    </xf>
    <xf numFmtId="164" fontId="51" fillId="8" borderId="226" xfId="0" applyNumberFormat="1" applyFont="1" applyFill="1" applyBorder="1" applyAlignment="1">
      <alignment horizontal="left" vertical="center"/>
    </xf>
    <xf numFmtId="0" fontId="51" fillId="8" borderId="226" xfId="0" quotePrefix="1" applyFont="1" applyFill="1" applyBorder="1" applyAlignment="1">
      <alignment horizontal="left" vertical="center"/>
    </xf>
    <xf numFmtId="0" fontId="51" fillId="8" borderId="226" xfId="0" applyFont="1" applyFill="1" applyBorder="1" applyAlignment="1">
      <alignment horizontal="left" vertical="center"/>
    </xf>
    <xf numFmtId="0" fontId="51" fillId="8" borderId="225" xfId="0" applyFont="1" applyFill="1" applyBorder="1" applyAlignment="1">
      <alignment horizontal="left" vertical="center"/>
    </xf>
    <xf numFmtId="0" fontId="78" fillId="25" borderId="217" xfId="0" quotePrefix="1" applyFont="1" applyFill="1" applyBorder="1" applyAlignment="1">
      <alignment horizontal="left" vertical="center"/>
    </xf>
    <xf numFmtId="0" fontId="51" fillId="25" borderId="226" xfId="0" quotePrefix="1" applyFont="1" applyFill="1" applyBorder="1" applyAlignment="1">
      <alignment horizontal="left" vertical="center"/>
    </xf>
    <xf numFmtId="0" fontId="78" fillId="25" borderId="226" xfId="0" quotePrefix="1" applyFont="1" applyFill="1" applyBorder="1" applyAlignment="1">
      <alignment horizontal="left" vertical="center"/>
    </xf>
    <xf numFmtId="164" fontId="51" fillId="25" borderId="226" xfId="0" applyNumberFormat="1" applyFont="1" applyFill="1" applyBorder="1" applyAlignment="1">
      <alignment horizontal="left" vertical="center"/>
    </xf>
    <xf numFmtId="0" fontId="51" fillId="25" borderId="225" xfId="0" applyFont="1" applyFill="1" applyBorder="1" applyAlignment="1">
      <alignment horizontal="left" vertical="center"/>
    </xf>
    <xf numFmtId="0" fontId="51" fillId="25" borderId="226" xfId="0" applyFont="1" applyFill="1" applyBorder="1" applyAlignment="1">
      <alignment horizontal="left" vertical="center" wrapText="1"/>
    </xf>
    <xf numFmtId="0" fontId="51" fillId="25" borderId="226" xfId="0" applyFont="1" applyFill="1" applyBorder="1" applyAlignment="1">
      <alignment horizontal="left" vertical="center"/>
    </xf>
    <xf numFmtId="0" fontId="78" fillId="8" borderId="217" xfId="0" quotePrefix="1" applyFont="1" applyFill="1" applyBorder="1" applyAlignment="1">
      <alignment horizontal="left" vertical="center"/>
    </xf>
    <xf numFmtId="0" fontId="78" fillId="8" borderId="226" xfId="0" quotePrefix="1" applyFont="1" applyFill="1" applyBorder="1" applyAlignment="1">
      <alignment horizontal="left" vertical="center" wrapText="1"/>
    </xf>
    <xf numFmtId="0" fontId="78" fillId="21" borderId="217" xfId="0" quotePrefix="1" applyFont="1" applyFill="1" applyBorder="1" applyAlignment="1">
      <alignment horizontal="left" vertical="center"/>
    </xf>
    <xf numFmtId="0" fontId="78" fillId="21" borderId="226" xfId="0" quotePrefix="1" applyFont="1" applyFill="1" applyBorder="1" applyAlignment="1">
      <alignment horizontal="left" vertical="center" wrapText="1"/>
    </xf>
    <xf numFmtId="164" fontId="51" fillId="21" borderId="226" xfId="0" applyNumberFormat="1" applyFont="1" applyFill="1" applyBorder="1" applyAlignment="1">
      <alignment horizontal="left" vertical="center"/>
    </xf>
    <xf numFmtId="0" fontId="51" fillId="21" borderId="226" xfId="0" quotePrefix="1" applyFont="1" applyFill="1" applyBorder="1" applyAlignment="1">
      <alignment horizontal="left" vertical="center"/>
    </xf>
    <xf numFmtId="0" fontId="51" fillId="21" borderId="226" xfId="0" applyFont="1" applyFill="1" applyBorder="1" applyAlignment="1">
      <alignment horizontal="left" vertical="center"/>
    </xf>
    <xf numFmtId="0" fontId="78" fillId="5" borderId="226" xfId="0" quotePrefix="1" applyFont="1" applyFill="1" applyBorder="1" applyAlignment="1">
      <alignment horizontal="left" vertical="center"/>
    </xf>
    <xf numFmtId="0" fontId="78" fillId="8" borderId="226" xfId="0" quotePrefix="1" applyFont="1" applyFill="1" applyBorder="1" applyAlignment="1">
      <alignment horizontal="left" vertical="center"/>
    </xf>
    <xf numFmtId="0" fontId="51" fillId="21" borderId="225" xfId="0" applyFont="1" applyFill="1" applyBorder="1" applyAlignment="1">
      <alignment horizontal="left" vertical="center"/>
    </xf>
    <xf numFmtId="0" fontId="78" fillId="21" borderId="226" xfId="0" quotePrefix="1" applyFont="1" applyFill="1" applyBorder="1" applyAlignment="1">
      <alignment horizontal="left" vertical="center"/>
    </xf>
    <xf numFmtId="0" fontId="51" fillId="11" borderId="226" xfId="0" applyFont="1" applyFill="1" applyBorder="1" applyAlignment="1">
      <alignment horizontal="left" vertical="center" wrapText="1"/>
    </xf>
    <xf numFmtId="164" fontId="51" fillId="11" borderId="226" xfId="0" applyNumberFormat="1" applyFont="1" applyFill="1" applyBorder="1" applyAlignment="1">
      <alignment horizontal="left" vertical="center"/>
    </xf>
    <xf numFmtId="0" fontId="51" fillId="11" borderId="217" xfId="0" applyFont="1" applyFill="1" applyBorder="1" applyAlignment="1">
      <alignment horizontal="left" vertical="center"/>
    </xf>
    <xf numFmtId="0" fontId="0" fillId="11" borderId="226" xfId="0" applyFill="1" applyBorder="1" applyAlignment="1">
      <alignment horizontal="left"/>
    </xf>
    <xf numFmtId="0" fontId="51" fillId="19" borderId="217" xfId="0" applyFont="1" applyFill="1" applyBorder="1" applyAlignment="1">
      <alignment horizontal="left" vertical="center"/>
    </xf>
    <xf numFmtId="0" fontId="0" fillId="19" borderId="226" xfId="0" applyFill="1" applyBorder="1" applyAlignment="1">
      <alignment horizontal="left"/>
    </xf>
    <xf numFmtId="2" fontId="51" fillId="19" borderId="226" xfId="0" applyNumberFormat="1" applyFont="1" applyFill="1" applyBorder="1" applyAlignment="1">
      <alignment horizontal="center" vertical="center" wrapText="1"/>
    </xf>
    <xf numFmtId="164" fontId="51" fillId="19" borderId="224" xfId="0" applyNumberFormat="1" applyFont="1" applyFill="1" applyBorder="1" applyAlignment="1">
      <alignment horizontal="center" vertical="center"/>
    </xf>
    <xf numFmtId="2" fontId="51" fillId="19" borderId="224" xfId="0" applyNumberFormat="1" applyFont="1" applyFill="1" applyBorder="1" applyAlignment="1">
      <alignment horizontal="center" vertical="center"/>
    </xf>
    <xf numFmtId="0" fontId="55" fillId="11" borderId="226" xfId="0" applyFont="1" applyFill="1" applyBorder="1" applyAlignment="1">
      <alignment horizontal="left" vertical="center" wrapText="1"/>
    </xf>
    <xf numFmtId="0" fontId="55" fillId="19" borderId="217" xfId="0" applyFont="1" applyFill="1" applyBorder="1" applyAlignment="1">
      <alignment horizontal="left" vertical="center"/>
    </xf>
    <xf numFmtId="0" fontId="55" fillId="19" borderId="226" xfId="0" applyFont="1" applyFill="1" applyBorder="1" applyAlignment="1">
      <alignment horizontal="left" vertical="center" wrapText="1"/>
    </xf>
    <xf numFmtId="166" fontId="51" fillId="19" borderId="226" xfId="0" applyNumberFormat="1" applyFont="1" applyFill="1" applyBorder="1" applyAlignment="1">
      <alignment horizontal="center" vertical="center" wrapText="1"/>
    </xf>
    <xf numFmtId="0" fontId="51" fillId="11" borderId="217" xfId="0" applyFont="1" applyFill="1" applyBorder="1" applyAlignment="1">
      <alignment horizontal="left" vertical="center" wrapText="1"/>
    </xf>
    <xf numFmtId="0" fontId="51" fillId="19" borderId="217" xfId="0" applyFont="1" applyFill="1" applyBorder="1" applyAlignment="1">
      <alignment horizontal="left" vertical="center" wrapText="1"/>
    </xf>
    <xf numFmtId="0" fontId="51" fillId="19" borderId="226" xfId="0" applyFont="1" applyFill="1" applyBorder="1" applyAlignment="1">
      <alignment horizontal="left" vertical="center" wrapText="1"/>
    </xf>
    <xf numFmtId="164" fontId="51" fillId="0" borderId="226" xfId="0" applyNumberFormat="1" applyFont="1" applyBorder="1" applyAlignment="1">
      <alignment horizontal="left" vertical="center"/>
    </xf>
    <xf numFmtId="0" fontId="51" fillId="19" borderId="226" xfId="0" quotePrefix="1" applyFont="1" applyFill="1" applyBorder="1" applyAlignment="1">
      <alignment horizontal="left" vertical="center" wrapText="1"/>
    </xf>
    <xf numFmtId="0" fontId="51" fillId="11" borderId="226" xfId="0" quotePrefix="1" applyFont="1" applyFill="1" applyBorder="1" applyAlignment="1">
      <alignment horizontal="left" vertical="center" wrapText="1"/>
    </xf>
    <xf numFmtId="0" fontId="48" fillId="11" borderId="226" xfId="0" applyFont="1" applyFill="1" applyBorder="1" applyAlignment="1">
      <alignment horizontal="left" vertical="center"/>
    </xf>
    <xf numFmtId="2" fontId="113" fillId="35" borderId="226" xfId="208" applyNumberFormat="1" applyBorder="1" applyAlignment="1">
      <alignment horizontal="center" vertical="center"/>
    </xf>
    <xf numFmtId="164" fontId="113" fillId="35" borderId="226" xfId="208" applyNumberFormat="1" applyBorder="1" applyAlignment="1">
      <alignment horizontal="center" vertical="center"/>
    </xf>
    <xf numFmtId="1" fontId="113" fillId="35" borderId="226" xfId="208" applyNumberFormat="1" applyBorder="1" applyAlignment="1">
      <alignment horizontal="center" vertical="center"/>
    </xf>
    <xf numFmtId="0" fontId="113" fillId="35" borderId="226" xfId="208" applyBorder="1" applyAlignment="1">
      <alignment horizontal="center" vertical="center"/>
    </xf>
    <xf numFmtId="166" fontId="113" fillId="35" borderId="226" xfId="208" applyNumberFormat="1" applyBorder="1" applyAlignment="1">
      <alignment horizontal="center" vertical="center"/>
    </xf>
    <xf numFmtId="166" fontId="113" fillId="35" borderId="227" xfId="208" applyNumberFormat="1" applyBorder="1" applyAlignment="1">
      <alignment horizontal="center" vertical="center"/>
    </xf>
    <xf numFmtId="0" fontId="59" fillId="7" borderId="234" xfId="3" applyFont="1" applyFill="1" applyBorder="1" applyAlignment="1">
      <alignment horizontal="center" vertical="center" wrapText="1"/>
    </xf>
    <xf numFmtId="0" fontId="51" fillId="5" borderId="237" xfId="0" applyFont="1" applyFill="1" applyBorder="1" applyAlignment="1">
      <alignment horizontal="center" vertical="center"/>
    </xf>
    <xf numFmtId="0" fontId="58" fillId="36" borderId="0" xfId="0" applyFont="1" applyFill="1" applyAlignment="1">
      <alignment horizontal="center" vertical="center"/>
    </xf>
    <xf numFmtId="0" fontId="55" fillId="9" borderId="236" xfId="0" applyFont="1" applyFill="1" applyBorder="1" applyAlignment="1">
      <alignment horizontal="left" vertical="center" wrapText="1"/>
    </xf>
    <xf numFmtId="0" fontId="51" fillId="9" borderId="239" xfId="0" applyFont="1" applyFill="1" applyBorder="1" applyAlignment="1">
      <alignment horizontal="left" vertical="center" wrapText="1"/>
    </xf>
    <xf numFmtId="2" fontId="51" fillId="9" borderId="92" xfId="0" applyNumberFormat="1" applyFont="1" applyFill="1" applyBorder="1" applyAlignment="1">
      <alignment horizontal="left" vertical="center" wrapText="1"/>
    </xf>
    <xf numFmtId="0" fontId="51" fillId="9" borderId="92" xfId="0" applyFont="1" applyFill="1" applyBorder="1" applyAlignment="1">
      <alignment horizontal="center" vertical="center" wrapText="1"/>
    </xf>
    <xf numFmtId="0" fontId="51" fillId="9" borderId="92" xfId="0" applyFont="1" applyFill="1" applyBorder="1" applyAlignment="1">
      <alignment horizontal="left" vertical="center" wrapText="1"/>
    </xf>
    <xf numFmtId="0" fontId="51" fillId="9" borderId="97" xfId="0" applyFont="1" applyFill="1" applyBorder="1" applyAlignment="1">
      <alignment horizontal="left" vertical="center" wrapText="1"/>
    </xf>
    <xf numFmtId="164" fontId="55" fillId="9" borderId="237" xfId="0" applyNumberFormat="1" applyFont="1" applyFill="1" applyBorder="1" applyAlignment="1">
      <alignment horizontal="left" vertical="center" wrapText="1"/>
    </xf>
    <xf numFmtId="0" fontId="50" fillId="9" borderId="217" xfId="0" applyFont="1" applyFill="1" applyBorder="1" applyAlignment="1">
      <alignment horizontal="center" vertical="center"/>
    </xf>
    <xf numFmtId="0" fontId="50" fillId="9" borderId="226" xfId="0" applyFont="1" applyFill="1" applyBorder="1" applyAlignment="1">
      <alignment horizontal="center" vertical="center"/>
    </xf>
    <xf numFmtId="0" fontId="48" fillId="9" borderId="246" xfId="0" applyFont="1" applyFill="1" applyBorder="1" applyAlignment="1">
      <alignment horizontal="center" vertical="center"/>
    </xf>
    <xf numFmtId="0" fontId="48" fillId="0" borderId="217" xfId="0" applyFont="1" applyBorder="1" applyAlignment="1">
      <alignment horizontal="left" vertical="center"/>
    </xf>
    <xf numFmtId="165" fontId="51" fillId="0" borderId="146" xfId="0" quotePrefix="1" applyNumberFormat="1" applyFont="1" applyBorder="1" applyAlignment="1">
      <alignment horizontal="left" vertical="center"/>
    </xf>
    <xf numFmtId="8" fontId="95" fillId="0" borderId="226" xfId="0" applyNumberFormat="1" applyFont="1" applyBorder="1" applyAlignment="1">
      <alignment horizontal="left" vertical="center" wrapText="1"/>
    </xf>
    <xf numFmtId="164" fontId="48" fillId="0" borderId="226" xfId="0" applyNumberFormat="1" applyFont="1" applyBorder="1" applyAlignment="1">
      <alignment horizontal="left" vertical="center"/>
    </xf>
    <xf numFmtId="8" fontId="51" fillId="0" borderId="226" xfId="0" applyNumberFormat="1" applyFont="1" applyBorder="1" applyAlignment="1">
      <alignment horizontal="left" vertical="center" wrapText="1"/>
    </xf>
    <xf numFmtId="164" fontId="48" fillId="0" borderId="226" xfId="0" applyNumberFormat="1" applyFont="1" applyBorder="1" applyAlignment="1">
      <alignment horizontal="left" vertical="center" wrapText="1"/>
    </xf>
    <xf numFmtId="8" fontId="51" fillId="0" borderId="227" xfId="0" applyNumberFormat="1" applyFont="1" applyBorder="1" applyAlignment="1">
      <alignment horizontal="left" vertical="center" wrapText="1"/>
    </xf>
    <xf numFmtId="164" fontId="48" fillId="0" borderId="227" xfId="0" applyNumberFormat="1" applyFont="1" applyBorder="1" applyAlignment="1">
      <alignment horizontal="left" vertical="center" wrapText="1"/>
    </xf>
    <xf numFmtId="0" fontId="51" fillId="0" borderId="227" xfId="0" applyFont="1" applyBorder="1" applyAlignment="1">
      <alignment horizontal="left" vertical="center"/>
    </xf>
    <xf numFmtId="0" fontId="59" fillId="0" borderId="192" xfId="0" applyFont="1" applyBorder="1" applyAlignment="1">
      <alignment horizontal="left" vertical="center"/>
    </xf>
    <xf numFmtId="8" fontId="51" fillId="0" borderId="237" xfId="0" applyNumberFormat="1" applyFont="1" applyBorder="1" applyAlignment="1">
      <alignment horizontal="left" vertical="center" wrapText="1"/>
    </xf>
    <xf numFmtId="165" fontId="78" fillId="0" borderId="237" xfId="0" quotePrefix="1" applyNumberFormat="1" applyFont="1" applyBorder="1" applyAlignment="1">
      <alignment horizontal="left" vertical="center"/>
    </xf>
    <xf numFmtId="0" fontId="78" fillId="0" borderId="237" xfId="0" applyFont="1" applyBorder="1" applyAlignment="1">
      <alignment horizontal="left" vertical="center"/>
    </xf>
    <xf numFmtId="0" fontId="55" fillId="37" borderId="0" xfId="0" applyFont="1" applyFill="1" applyAlignment="1">
      <alignment horizontal="center" vertical="center"/>
    </xf>
    <xf numFmtId="0" fontId="51" fillId="0" borderId="88" xfId="0" applyFont="1" applyBorder="1" applyAlignment="1">
      <alignment vertical="center" wrapText="1"/>
    </xf>
    <xf numFmtId="0" fontId="51" fillId="0" borderId="227" xfId="6" applyFont="1" applyBorder="1" applyAlignment="1">
      <alignment horizontal="center" vertical="center" wrapText="1"/>
    </xf>
    <xf numFmtId="0" fontId="45" fillId="0" borderId="0" xfId="6" applyAlignment="1">
      <alignment vertical="center"/>
    </xf>
    <xf numFmtId="0" fontId="48" fillId="0" borderId="187" xfId="6" applyFont="1" applyBorder="1" applyAlignment="1">
      <alignment horizontal="left" vertical="center"/>
    </xf>
    <xf numFmtId="0" fontId="48" fillId="0" borderId="188" xfId="6" applyFont="1" applyBorder="1" applyAlignment="1">
      <alignment horizontal="center" vertical="center"/>
    </xf>
    <xf numFmtId="0" fontId="48" fillId="0" borderId="92" xfId="6" applyFont="1" applyBorder="1" applyAlignment="1">
      <alignment horizontal="center" vertical="center"/>
    </xf>
    <xf numFmtId="0" fontId="48" fillId="0" borderId="100" xfId="6" applyFont="1" applyBorder="1" applyAlignment="1">
      <alignment horizontal="left" vertical="center"/>
    </xf>
    <xf numFmtId="0" fontId="48" fillId="0" borderId="149" xfId="6" applyFont="1" applyBorder="1" applyAlignment="1">
      <alignment horizontal="center" vertical="center"/>
    </xf>
    <xf numFmtId="0" fontId="48" fillId="0" borderId="169" xfId="6" applyFont="1" applyBorder="1" applyAlignment="1">
      <alignment horizontal="left" vertical="center"/>
    </xf>
    <xf numFmtId="0" fontId="48" fillId="0" borderId="170" xfId="6" applyFont="1" applyBorder="1" applyAlignment="1">
      <alignment horizontal="center" vertical="center"/>
    </xf>
    <xf numFmtId="0" fontId="51" fillId="0" borderId="217" xfId="0" applyFont="1" applyBorder="1" applyAlignment="1">
      <alignment horizontal="left" vertical="center" wrapText="1"/>
    </xf>
    <xf numFmtId="0" fontId="95" fillId="0" borderId="226" xfId="0" applyFont="1" applyBorder="1" applyAlignment="1">
      <alignment horizontal="left" vertical="center" wrapText="1"/>
    </xf>
    <xf numFmtId="164" fontId="0" fillId="0" borderId="226" xfId="0" applyNumberFormat="1" applyBorder="1" applyAlignment="1">
      <alignment horizontal="left" vertical="center"/>
    </xf>
    <xf numFmtId="0" fontId="0" fillId="0" borderId="225" xfId="0" applyBorder="1" applyAlignment="1">
      <alignment horizontal="left" vertical="center"/>
    </xf>
    <xf numFmtId="0" fontId="51" fillId="11" borderId="226" xfId="0" applyFont="1" applyFill="1" applyBorder="1" applyAlignment="1">
      <alignment horizontal="center" vertical="center"/>
    </xf>
    <xf numFmtId="0" fontId="51" fillId="11" borderId="225" xfId="0" applyFont="1" applyFill="1" applyBorder="1" applyAlignment="1">
      <alignment horizontal="left" vertical="center" wrapText="1"/>
    </xf>
    <xf numFmtId="0" fontId="51" fillId="0" borderId="219" xfId="0" applyFont="1" applyBorder="1" applyAlignment="1">
      <alignment horizontal="left" vertical="center"/>
    </xf>
    <xf numFmtId="0" fontId="51" fillId="0" borderId="227" xfId="0" applyFont="1" applyBorder="1" applyAlignment="1">
      <alignment horizontal="center" vertical="center"/>
    </xf>
    <xf numFmtId="0" fontId="51" fillId="0" borderId="221" xfId="0" applyFont="1" applyBorder="1" applyAlignment="1">
      <alignment horizontal="left" vertical="center"/>
    </xf>
    <xf numFmtId="0" fontId="48" fillId="0" borderId="219" xfId="0" applyFont="1" applyBorder="1" applyAlignment="1">
      <alignment horizontal="left" vertical="center"/>
    </xf>
    <xf numFmtId="164" fontId="48" fillId="0" borderId="227" xfId="0" applyNumberFormat="1" applyFont="1" applyBorder="1" applyAlignment="1">
      <alignment horizontal="left" vertical="center"/>
    </xf>
    <xf numFmtId="0" fontId="48" fillId="0" borderId="227" xfId="0" applyFont="1" applyBorder="1" applyAlignment="1">
      <alignment horizontal="left" vertical="center"/>
    </xf>
    <xf numFmtId="0" fontId="48" fillId="0" borderId="221" xfId="0" applyFont="1" applyBorder="1" applyAlignment="1">
      <alignment horizontal="left" vertical="center"/>
    </xf>
    <xf numFmtId="164" fontId="51" fillId="0" borderId="226" xfId="0" quotePrefix="1" applyNumberFormat="1" applyFont="1" applyBorder="1" applyAlignment="1">
      <alignment horizontal="left" vertical="center"/>
    </xf>
    <xf numFmtId="0" fontId="2" fillId="0" borderId="225" xfId="0" applyFont="1" applyBorder="1" applyAlignment="1">
      <alignment horizontal="left" vertical="center"/>
    </xf>
    <xf numFmtId="0" fontId="51" fillId="0" borderId="242" xfId="0" applyFont="1" applyBorder="1" applyAlignment="1">
      <alignment horizontal="left" vertical="center"/>
    </xf>
    <xf numFmtId="0" fontId="0" fillId="53" borderId="226" xfId="0" applyFill="1" applyBorder="1" applyAlignment="1">
      <alignment horizontal="left" vertical="center"/>
    </xf>
    <xf numFmtId="0" fontId="48" fillId="53" borderId="226" xfId="0" applyFont="1" applyFill="1" applyBorder="1"/>
    <xf numFmtId="0" fontId="0" fillId="53" borderId="226" xfId="0" applyFill="1" applyBorder="1"/>
    <xf numFmtId="0" fontId="51" fillId="0" borderId="172" xfId="0" applyFont="1" applyBorder="1" applyAlignment="1">
      <alignment horizontal="left" vertical="center"/>
    </xf>
    <xf numFmtId="0" fontId="51" fillId="0" borderId="179" xfId="0" applyFont="1" applyBorder="1" applyAlignment="1">
      <alignment horizontal="left" vertical="center"/>
    </xf>
    <xf numFmtId="0" fontId="51" fillId="0" borderId="150" xfId="0" applyFont="1" applyBorder="1" applyAlignment="1">
      <alignment horizontal="left" vertical="center"/>
    </xf>
    <xf numFmtId="0" fontId="51" fillId="0" borderId="180" xfId="0" applyFont="1" applyBorder="1" applyAlignment="1">
      <alignment horizontal="left" vertical="center"/>
    </xf>
    <xf numFmtId="0" fontId="51" fillId="0" borderId="181" xfId="0" applyFont="1" applyBorder="1" applyAlignment="1">
      <alignment horizontal="left" vertical="center"/>
    </xf>
    <xf numFmtId="0" fontId="51" fillId="0" borderId="71" xfId="0" applyFont="1" applyBorder="1" applyAlignment="1">
      <alignment horizontal="left" vertical="center"/>
    </xf>
    <xf numFmtId="0" fontId="59" fillId="7" borderId="173" xfId="0" applyFont="1" applyFill="1" applyBorder="1" applyAlignment="1">
      <alignment horizontal="left" vertical="center" wrapText="1"/>
    </xf>
    <xf numFmtId="0" fontId="59" fillId="7" borderId="174" xfId="0" applyFont="1" applyFill="1" applyBorder="1" applyAlignment="1">
      <alignment horizontal="left" vertical="center" wrapText="1"/>
    </xf>
    <xf numFmtId="0" fontId="59" fillId="7" borderId="175" xfId="0" applyFont="1" applyFill="1" applyBorder="1" applyAlignment="1">
      <alignment horizontal="left" vertical="center" wrapText="1"/>
    </xf>
    <xf numFmtId="0" fontId="51" fillId="0" borderId="176" xfId="0" applyFont="1" applyBorder="1" applyAlignment="1">
      <alignment horizontal="left" vertical="center"/>
    </xf>
    <xf numFmtId="0" fontId="51" fillId="0" borderId="177" xfId="0" applyFont="1" applyBorder="1" applyAlignment="1">
      <alignment horizontal="left" vertical="center"/>
    </xf>
    <xf numFmtId="0" fontId="51" fillId="0" borderId="178" xfId="0" applyFont="1" applyBorder="1" applyAlignment="1">
      <alignment horizontal="left" vertical="center"/>
    </xf>
    <xf numFmtId="0" fontId="44" fillId="3" borderId="20" xfId="0" applyFont="1" applyFill="1" applyBorder="1" applyAlignment="1">
      <alignment horizontal="center" vertical="top" wrapText="1"/>
    </xf>
    <xf numFmtId="0" fontId="44" fillId="3" borderId="0" xfId="0" applyFont="1" applyFill="1" applyAlignment="1">
      <alignment horizontal="center" vertical="top" wrapText="1"/>
    </xf>
    <xf numFmtId="0" fontId="44" fillId="3" borderId="21" xfId="0" applyFont="1" applyFill="1" applyBorder="1" applyAlignment="1">
      <alignment horizontal="center" vertical="top" wrapText="1"/>
    </xf>
    <xf numFmtId="0" fontId="44" fillId="3" borderId="22" xfId="0" applyFont="1" applyFill="1" applyBorder="1" applyAlignment="1">
      <alignment wrapText="1"/>
    </xf>
    <xf numFmtId="0" fontId="44" fillId="3" borderId="23" xfId="0" applyFont="1" applyFill="1" applyBorder="1" applyAlignment="1">
      <alignment wrapText="1"/>
    </xf>
    <xf numFmtId="0" fontId="44" fillId="3" borderId="24" xfId="0" applyFont="1" applyFill="1" applyBorder="1" applyAlignment="1">
      <alignment wrapText="1"/>
    </xf>
    <xf numFmtId="0" fontId="0" fillId="2" borderId="0" xfId="0" applyFill="1" applyAlignment="1">
      <alignment wrapText="1"/>
    </xf>
    <xf numFmtId="0" fontId="48" fillId="8" borderId="146" xfId="0" quotePrefix="1" applyNumberFormat="1" applyFont="1" applyFill="1" applyBorder="1" applyAlignment="1">
      <alignment horizontal="center" vertical="center"/>
    </xf>
    <xf numFmtId="0" fontId="48" fillId="8" borderId="149" xfId="0" quotePrefix="1" applyNumberFormat="1" applyFont="1" applyFill="1" applyBorder="1" applyAlignment="1">
      <alignment horizontal="center" vertical="center"/>
    </xf>
    <xf numFmtId="0" fontId="48" fillId="8" borderId="149" xfId="0" applyNumberFormat="1" applyFont="1" applyFill="1" applyBorder="1" applyAlignment="1">
      <alignment horizontal="center" vertical="center"/>
    </xf>
    <xf numFmtId="0" fontId="48" fillId="26" borderId="149" xfId="0" quotePrefix="1" applyNumberFormat="1" applyFont="1" applyFill="1" applyBorder="1" applyAlignment="1">
      <alignment horizontal="center" vertical="center"/>
    </xf>
    <xf numFmtId="0" fontId="48" fillId="26" borderId="149" xfId="0" applyNumberFormat="1" applyFont="1" applyFill="1" applyBorder="1" applyAlignment="1">
      <alignment horizontal="center" vertical="center"/>
    </xf>
    <xf numFmtId="0" fontId="48" fillId="21" borderId="149" xfId="0" applyNumberFormat="1" applyFont="1" applyFill="1" applyBorder="1" applyAlignment="1">
      <alignment horizontal="center" vertical="center"/>
    </xf>
    <xf numFmtId="0" fontId="48" fillId="11" borderId="149" xfId="0" applyNumberFormat="1" applyFont="1" applyFill="1" applyBorder="1" applyAlignment="1">
      <alignment horizontal="center" vertical="center"/>
    </xf>
    <xf numFmtId="0" fontId="48" fillId="11" borderId="222" xfId="0" applyNumberFormat="1" applyFont="1" applyFill="1" applyBorder="1" applyAlignment="1">
      <alignment horizontal="center" vertical="center"/>
    </xf>
    <xf numFmtId="0" fontId="48" fillId="11" borderId="15" xfId="0" applyNumberFormat="1" applyFont="1" applyFill="1" applyBorder="1" applyAlignment="1">
      <alignment horizontal="center" vertical="center"/>
    </xf>
    <xf numFmtId="0" fontId="48" fillId="11" borderId="149" xfId="0" quotePrefix="1" applyNumberFormat="1" applyFont="1" applyFill="1" applyBorder="1" applyAlignment="1">
      <alignment horizontal="center" vertical="center"/>
    </xf>
    <xf numFmtId="0" fontId="48" fillId="10" borderId="15" xfId="0" quotePrefix="1" applyNumberFormat="1" applyFont="1" applyFill="1" applyBorder="1" applyAlignment="1">
      <alignment horizontal="center" vertical="center"/>
    </xf>
    <xf numFmtId="0" fontId="48" fillId="10" borderId="149" xfId="0" quotePrefix="1" applyNumberFormat="1" applyFont="1" applyFill="1" applyBorder="1" applyAlignment="1">
      <alignment horizontal="center" vertical="center"/>
    </xf>
    <xf numFmtId="0" fontId="48" fillId="22" borderId="149" xfId="0" applyNumberFormat="1" applyFont="1" applyFill="1" applyBorder="1" applyAlignment="1">
      <alignment horizontal="center" vertical="center"/>
    </xf>
    <xf numFmtId="0" fontId="48" fillId="20" borderId="149" xfId="0" quotePrefix="1" applyNumberFormat="1" applyFont="1" applyFill="1" applyBorder="1" applyAlignment="1">
      <alignment horizontal="center" vertical="center"/>
    </xf>
    <xf numFmtId="0" fontId="48" fillId="20" borderId="149" xfId="0" applyNumberFormat="1" applyFont="1" applyFill="1" applyBorder="1" applyAlignment="1">
      <alignment horizontal="center" vertical="center"/>
    </xf>
    <xf numFmtId="0" fontId="48" fillId="12" borderId="149" xfId="0" quotePrefix="1" applyNumberFormat="1" applyFont="1" applyFill="1" applyBorder="1" applyAlignment="1">
      <alignment horizontal="center" vertical="center"/>
    </xf>
    <xf numFmtId="0" fontId="48" fillId="12" borderId="149" xfId="0" applyNumberFormat="1" applyFont="1" applyFill="1" applyBorder="1" applyAlignment="1">
      <alignment horizontal="center" vertical="center"/>
    </xf>
    <xf numFmtId="0" fontId="48" fillId="18" borderId="149" xfId="0" applyNumberFormat="1" applyFont="1" applyFill="1" applyBorder="1" applyAlignment="1">
      <alignment horizontal="center" vertical="center"/>
    </xf>
    <xf numFmtId="0" fontId="48" fillId="32" borderId="226" xfId="0" applyNumberFormat="1" applyFont="1" applyFill="1" applyBorder="1" applyAlignment="1">
      <alignment horizontal="center" vertical="center"/>
    </xf>
    <xf numFmtId="0" fontId="48" fillId="9" borderId="149" xfId="0" applyNumberFormat="1" applyFont="1" applyFill="1" applyBorder="1" applyAlignment="1">
      <alignment horizontal="center" vertical="center"/>
    </xf>
    <xf numFmtId="0" fontId="48" fillId="9" borderId="226" xfId="0" applyNumberFormat="1" applyFont="1" applyFill="1" applyBorder="1" applyAlignment="1">
      <alignment horizontal="left" vertical="center"/>
    </xf>
    <xf numFmtId="0" fontId="48" fillId="9" borderId="226" xfId="0" applyNumberFormat="1" applyFont="1" applyFill="1" applyBorder="1" applyAlignment="1">
      <alignment horizontal="center" vertical="center"/>
    </xf>
    <xf numFmtId="0" fontId="48" fillId="9" borderId="149" xfId="0" quotePrefix="1" applyNumberFormat="1" applyFont="1" applyFill="1" applyBorder="1" applyAlignment="1">
      <alignment horizontal="center" vertical="center"/>
    </xf>
    <xf numFmtId="0" fontId="48" fillId="7" borderId="149" xfId="0" applyNumberFormat="1" applyFont="1" applyFill="1" applyBorder="1" applyAlignment="1">
      <alignment horizontal="center" vertical="center"/>
    </xf>
    <xf numFmtId="0" fontId="48" fillId="16" borderId="149" xfId="0" quotePrefix="1" applyNumberFormat="1" applyFont="1" applyFill="1" applyBorder="1" applyAlignment="1">
      <alignment horizontal="center" vertical="center"/>
    </xf>
    <xf numFmtId="0" fontId="48" fillId="16" borderId="149" xfId="0" applyNumberFormat="1" applyFont="1" applyFill="1" applyBorder="1" applyAlignment="1">
      <alignment horizontal="center" vertical="center"/>
    </xf>
    <xf numFmtId="0" fontId="48" fillId="9" borderId="91" xfId="0" applyNumberFormat="1" applyFont="1" applyFill="1" applyBorder="1" applyAlignment="1">
      <alignment horizontal="center" vertical="center"/>
    </xf>
    <xf numFmtId="0" fontId="48" fillId="15" borderId="149" xfId="0" applyNumberFormat="1" applyFont="1" applyFill="1" applyBorder="1" applyAlignment="1">
      <alignment horizontal="center" vertical="center"/>
    </xf>
    <xf numFmtId="0" fontId="48" fillId="15" borderId="91" xfId="0" applyNumberFormat="1" applyFont="1" applyFill="1" applyBorder="1" applyAlignment="1">
      <alignment horizontal="center" vertical="center"/>
    </xf>
    <xf numFmtId="0" fontId="0" fillId="34" borderId="226" xfId="0" applyNumberFormat="1" applyFill="1" applyBorder="1" applyAlignment="1">
      <alignment horizontal="center" vertical="center"/>
    </xf>
    <xf numFmtId="0" fontId="48" fillId="30" borderId="149" xfId="0" applyNumberFormat="1" applyFont="1" applyFill="1" applyBorder="1" applyAlignment="1">
      <alignment horizontal="center" vertical="center"/>
    </xf>
    <xf numFmtId="0" fontId="48" fillId="4" borderId="149" xfId="0" applyNumberFormat="1" applyFont="1" applyFill="1" applyBorder="1" applyAlignment="1">
      <alignment horizontal="center" vertical="center"/>
    </xf>
    <xf numFmtId="0" fontId="48" fillId="18" borderId="110" xfId="0" applyNumberFormat="1" applyFont="1" applyFill="1" applyBorder="1" applyAlignment="1">
      <alignment horizontal="center" vertical="center"/>
    </xf>
    <xf numFmtId="0" fontId="48" fillId="8" borderId="92" xfId="0" quotePrefix="1" applyNumberFormat="1" applyFont="1" applyFill="1" applyBorder="1" applyAlignment="1">
      <alignment horizontal="center" vertical="center"/>
    </xf>
    <xf numFmtId="0" fontId="48" fillId="8" borderId="146" xfId="0" applyNumberFormat="1" applyFont="1" applyFill="1" applyBorder="1" applyAlignment="1">
      <alignment horizontal="center" vertical="center"/>
    </xf>
    <xf numFmtId="0" fontId="48" fillId="8" borderId="92" xfId="0" applyNumberFormat="1" applyFont="1" applyFill="1" applyBorder="1" applyAlignment="1">
      <alignment horizontal="center" vertical="center"/>
    </xf>
    <xf numFmtId="0" fontId="48" fillId="10" borderId="15" xfId="0" applyNumberFormat="1" applyFont="1" applyFill="1" applyBorder="1" applyAlignment="1">
      <alignment horizontal="center" vertical="center"/>
    </xf>
    <xf numFmtId="0" fontId="48" fillId="10" borderId="149" xfId="0" applyNumberFormat="1" applyFont="1" applyFill="1" applyBorder="1" applyAlignment="1">
      <alignment horizontal="center" vertical="center"/>
    </xf>
    <xf numFmtId="0" fontId="48" fillId="21" borderId="149" xfId="0" quotePrefix="1" applyNumberFormat="1" applyFont="1" applyFill="1" applyBorder="1" applyAlignment="1">
      <alignment horizontal="center" vertical="center"/>
    </xf>
    <xf numFmtId="0" fontId="0" fillId="8" borderId="149" xfId="0" applyNumberFormat="1" applyFill="1" applyBorder="1" applyAlignment="1">
      <alignment horizontal="center" vertical="center"/>
    </xf>
    <xf numFmtId="0" fontId="0" fillId="21" borderId="149" xfId="0" applyNumberFormat="1" applyFill="1" applyBorder="1" applyAlignment="1">
      <alignment horizontal="center" vertical="center"/>
    </xf>
    <xf numFmtId="0" fontId="0" fillId="11" borderId="149" xfId="0" applyNumberFormat="1" applyFill="1" applyBorder="1" applyAlignment="1">
      <alignment horizontal="center" vertical="center"/>
    </xf>
    <xf numFmtId="0" fontId="0" fillId="10" borderId="149" xfId="0" applyNumberFormat="1" applyFill="1" applyBorder="1" applyAlignment="1">
      <alignment horizontal="center" vertical="center"/>
    </xf>
    <xf numFmtId="0" fontId="0" fillId="22" borderId="149" xfId="0" applyNumberFormat="1" applyFill="1" applyBorder="1" applyAlignment="1">
      <alignment horizontal="center" vertical="center"/>
    </xf>
    <xf numFmtId="0" fontId="0" fillId="20" borderId="149" xfId="0" applyNumberFormat="1" applyFill="1" applyBorder="1" applyAlignment="1">
      <alignment horizontal="center" vertical="center"/>
    </xf>
    <xf numFmtId="0" fontId="0" fillId="12" borderId="149" xfId="0" applyNumberFormat="1" applyFill="1" applyBorder="1" applyAlignment="1">
      <alignment horizontal="center" vertical="center"/>
    </xf>
    <xf numFmtId="0" fontId="0" fillId="18" borderId="149" xfId="0" applyNumberFormat="1" applyFill="1" applyBorder="1" applyAlignment="1">
      <alignment horizontal="center" vertical="center"/>
    </xf>
    <xf numFmtId="0" fontId="0" fillId="34" borderId="226" xfId="0" quotePrefix="1" applyNumberFormat="1" applyFill="1" applyBorder="1" applyAlignment="1">
      <alignment horizontal="center" vertical="center"/>
    </xf>
    <xf numFmtId="0" fontId="48" fillId="7" borderId="226" xfId="0" applyNumberFormat="1" applyFont="1" applyFill="1" applyBorder="1" applyAlignment="1">
      <alignment horizontal="center" vertical="center"/>
    </xf>
    <xf numFmtId="0" fontId="48" fillId="16" borderId="226" xfId="0" applyNumberFormat="1" applyFont="1" applyFill="1" applyBorder="1" applyAlignment="1">
      <alignment horizontal="center" vertical="center"/>
    </xf>
    <xf numFmtId="0" fontId="48" fillId="15" borderId="226" xfId="0" applyNumberFormat="1" applyFont="1" applyFill="1" applyBorder="1" applyAlignment="1">
      <alignment horizontal="center" vertical="center"/>
    </xf>
    <xf numFmtId="0" fontId="48" fillId="30" borderId="226" xfId="0" applyNumberFormat="1" applyFont="1" applyFill="1" applyBorder="1" applyAlignment="1">
      <alignment horizontal="center" vertical="center"/>
    </xf>
    <xf numFmtId="0" fontId="48" fillId="4" borderId="226" xfId="0" applyNumberFormat="1" applyFont="1" applyFill="1" applyBorder="1" applyAlignment="1">
      <alignment horizontal="center" vertical="center"/>
    </xf>
    <xf numFmtId="0" fontId="48" fillId="18" borderId="226" xfId="0" applyNumberFormat="1" applyFont="1" applyFill="1" applyBorder="1" applyAlignment="1">
      <alignment horizontal="center" vertical="center"/>
    </xf>
    <xf numFmtId="0" fontId="48" fillId="18" borderId="227" xfId="0" applyNumberFormat="1" applyFont="1" applyFill="1" applyBorder="1" applyAlignment="1">
      <alignment horizontal="center" vertical="center"/>
    </xf>
    <xf numFmtId="0" fontId="48" fillId="11" borderId="15" xfId="0" quotePrefix="1" applyNumberFormat="1" applyFont="1" applyFill="1" applyBorder="1" applyAlignment="1">
      <alignment horizontal="center" vertical="center"/>
    </xf>
    <xf numFmtId="0" fontId="48" fillId="11" borderId="222" xfId="0" quotePrefix="1" applyNumberFormat="1" applyFont="1" applyFill="1" applyBorder="1" applyAlignment="1">
      <alignment horizontal="center" vertical="center"/>
    </xf>
    <xf numFmtId="0" fontId="48" fillId="9" borderId="91" xfId="0" quotePrefix="1" applyNumberFormat="1" applyFont="1" applyFill="1" applyBorder="1" applyAlignment="1">
      <alignment horizontal="center" vertical="center"/>
    </xf>
    <xf numFmtId="0" fontId="48" fillId="9" borderId="232" xfId="0" quotePrefix="1" applyNumberFormat="1" applyFont="1" applyFill="1" applyBorder="1" applyAlignment="1">
      <alignment horizontal="center" vertical="center"/>
    </xf>
    <xf numFmtId="0" fontId="48" fillId="7" borderId="149" xfId="0" quotePrefix="1" applyNumberFormat="1" applyFont="1" applyFill="1" applyBorder="1" applyAlignment="1">
      <alignment horizontal="center" vertical="center"/>
    </xf>
    <xf numFmtId="0" fontId="48" fillId="15" borderId="149" xfId="0" quotePrefix="1" applyNumberFormat="1" applyFont="1" applyFill="1" applyBorder="1" applyAlignment="1">
      <alignment horizontal="center" vertical="center"/>
    </xf>
    <xf numFmtId="0" fontId="48" fillId="15" borderId="91" xfId="0" quotePrefix="1" applyNumberFormat="1" applyFont="1" applyFill="1" applyBorder="1" applyAlignment="1">
      <alignment horizontal="center" vertical="center"/>
    </xf>
    <xf numFmtId="0" fontId="48" fillId="4" borderId="149" xfId="0" quotePrefix="1" applyNumberFormat="1" applyFont="1" applyFill="1" applyBorder="1" applyAlignment="1">
      <alignment horizontal="center" vertical="center"/>
    </xf>
    <xf numFmtId="0" fontId="48" fillId="18" borderId="149" xfId="0" quotePrefix="1" applyNumberFormat="1" applyFont="1" applyFill="1" applyBorder="1" applyAlignment="1">
      <alignment horizontal="center" vertical="center"/>
    </xf>
    <xf numFmtId="0" fontId="48" fillId="18" borderId="110" xfId="0" quotePrefix="1" applyNumberFormat="1" applyFont="1" applyFill="1" applyBorder="1" applyAlignment="1">
      <alignment horizontal="center" vertical="center"/>
    </xf>
    <xf numFmtId="0" fontId="48" fillId="8" borderId="195" xfId="0" applyNumberFormat="1" applyFont="1" applyFill="1" applyBorder="1" applyAlignment="1">
      <alignment horizontal="center" vertical="center"/>
    </xf>
    <xf numFmtId="0" fontId="48" fillId="8" borderId="226" xfId="0" applyNumberFormat="1" applyFont="1" applyFill="1" applyBorder="1" applyAlignment="1">
      <alignment horizontal="center" vertical="center"/>
    </xf>
    <xf numFmtId="0" fontId="48" fillId="26" borderId="226" xfId="0" applyNumberFormat="1" applyFont="1" applyFill="1" applyBorder="1" applyAlignment="1">
      <alignment horizontal="center" vertical="center"/>
    </xf>
    <xf numFmtId="0" fontId="48" fillId="21" borderId="226" xfId="0" applyNumberFormat="1" applyFont="1" applyFill="1" applyBorder="1" applyAlignment="1">
      <alignment horizontal="center" vertical="center"/>
    </xf>
    <xf numFmtId="0" fontId="48" fillId="11" borderId="226" xfId="0" applyNumberFormat="1" applyFont="1" applyFill="1" applyBorder="1" applyAlignment="1">
      <alignment horizontal="center" vertical="center"/>
    </xf>
    <xf numFmtId="0" fontId="48" fillId="11" borderId="92" xfId="0" applyNumberFormat="1" applyFont="1" applyFill="1" applyBorder="1" applyAlignment="1">
      <alignment horizontal="center" vertical="center"/>
    </xf>
    <xf numFmtId="0" fontId="48" fillId="10" borderId="92" xfId="0" applyNumberFormat="1" applyFont="1" applyFill="1" applyBorder="1" applyAlignment="1">
      <alignment horizontal="center" vertical="center"/>
    </xf>
    <xf numFmtId="0" fontId="48" fillId="10" borderId="226" xfId="0" applyNumberFormat="1" applyFont="1" applyFill="1" applyBorder="1" applyAlignment="1">
      <alignment horizontal="center" vertical="center"/>
    </xf>
    <xf numFmtId="0" fontId="48" fillId="22" borderId="226" xfId="0" applyNumberFormat="1" applyFont="1" applyFill="1" applyBorder="1" applyAlignment="1">
      <alignment horizontal="center" vertical="center"/>
    </xf>
    <xf numFmtId="0" fontId="48" fillId="20" borderId="226" xfId="0" quotePrefix="1" applyNumberFormat="1" applyFont="1" applyFill="1" applyBorder="1" applyAlignment="1">
      <alignment horizontal="center" vertical="center"/>
    </xf>
    <xf numFmtId="0" fontId="48" fillId="20" borderId="226" xfId="0" applyNumberFormat="1" applyFont="1" applyFill="1" applyBorder="1" applyAlignment="1">
      <alignment horizontal="center" vertical="center"/>
    </xf>
    <xf numFmtId="0" fontId="48" fillId="12" borderId="226" xfId="0" applyNumberFormat="1" applyFont="1" applyFill="1" applyBorder="1" applyAlignment="1">
      <alignment horizontal="center" vertical="center"/>
    </xf>
    <xf numFmtId="0" fontId="0" fillId="32" borderId="226" xfId="0" quotePrefix="1" applyNumberFormat="1" applyFill="1" applyBorder="1" applyAlignment="1">
      <alignment horizontal="center" vertical="center"/>
    </xf>
    <xf numFmtId="0" fontId="48" fillId="9" borderId="232" xfId="0" applyNumberFormat="1" applyFont="1" applyFill="1" applyBorder="1" applyAlignment="1">
      <alignment horizontal="center" vertical="center"/>
    </xf>
    <xf numFmtId="0" fontId="0" fillId="9" borderId="91" xfId="0" quotePrefix="1" applyNumberFormat="1" applyFill="1" applyBorder="1" applyAlignment="1">
      <alignment horizontal="center" vertical="center"/>
    </xf>
    <xf numFmtId="0" fontId="48" fillId="9" borderId="226" xfId="0" quotePrefix="1" applyNumberFormat="1" applyFont="1" applyFill="1" applyBorder="1" applyAlignment="1">
      <alignment horizontal="center" vertical="center"/>
    </xf>
    <xf numFmtId="0" fontId="51" fillId="16" borderId="149" xfId="3" quotePrefix="1" applyNumberFormat="1" applyFont="1" applyFill="1" applyBorder="1" applyAlignment="1">
      <alignment horizontal="center" vertical="center" wrapText="1"/>
    </xf>
    <xf numFmtId="0" fontId="48" fillId="8" borderId="149" xfId="0" applyNumberFormat="1" applyFont="1" applyFill="1" applyBorder="1" applyAlignment="1">
      <alignment horizontal="center" vertical="center" wrapText="1"/>
    </xf>
    <xf numFmtId="0" fontId="51" fillId="32" borderId="226" xfId="0" quotePrefix="1" applyNumberFormat="1" applyFont="1" applyFill="1" applyBorder="1" applyAlignment="1">
      <alignment horizontal="center" vertical="center"/>
    </xf>
    <xf numFmtId="0" fontId="48" fillId="8" borderId="167" xfId="0" quotePrefix="1" applyNumberFormat="1" applyFont="1" applyFill="1" applyBorder="1" applyAlignment="1">
      <alignment horizontal="center" vertical="center"/>
    </xf>
    <xf numFmtId="0" fontId="48" fillId="32" borderId="226" xfId="0" quotePrefix="1" applyNumberFormat="1" applyFont="1" applyFill="1" applyBorder="1" applyAlignment="1">
      <alignment horizontal="center" vertical="center"/>
    </xf>
    <xf numFmtId="0" fontId="48" fillId="11" borderId="226" xfId="0" quotePrefix="1" applyNumberFormat="1" applyFont="1" applyFill="1" applyBorder="1" applyAlignment="1">
      <alignment horizontal="center" vertical="center"/>
    </xf>
    <xf numFmtId="0" fontId="51" fillId="7" borderId="149" xfId="3" quotePrefix="1" applyNumberFormat="1" applyFont="1" applyFill="1" applyBorder="1" applyAlignment="1">
      <alignment horizontal="center" vertical="center" wrapText="1"/>
    </xf>
    <xf numFmtId="0" fontId="51" fillId="9" borderId="91" xfId="3" quotePrefix="1" applyNumberFormat="1" applyFont="1" applyFill="1" applyBorder="1" applyAlignment="1">
      <alignment horizontal="center" vertical="center" wrapText="1"/>
    </xf>
    <xf numFmtId="0" fontId="0" fillId="9" borderId="91" xfId="0" applyNumberFormat="1" applyFill="1" applyBorder="1" applyAlignment="1">
      <alignment horizontal="center" vertical="center"/>
    </xf>
    <xf numFmtId="0" fontId="48" fillId="8" borderId="195" xfId="0" quotePrefix="1" applyNumberFormat="1" applyFont="1" applyFill="1" applyBorder="1" applyAlignment="1">
      <alignment horizontal="center" vertical="center"/>
    </xf>
    <xf numFmtId="0" fontId="48" fillId="8" borderId="91" xfId="0" quotePrefix="1" applyNumberFormat="1" applyFont="1" applyFill="1" applyBorder="1" applyAlignment="1">
      <alignment horizontal="center" vertical="center"/>
    </xf>
    <xf numFmtId="0" fontId="48" fillId="26" borderId="91" xfId="0" applyNumberFormat="1" applyFont="1" applyFill="1" applyBorder="1" applyAlignment="1">
      <alignment horizontal="center" vertical="center"/>
    </xf>
    <xf numFmtId="0" fontId="48" fillId="21" borderId="91" xfId="0" quotePrefix="1" applyNumberFormat="1" applyFont="1" applyFill="1" applyBorder="1" applyAlignment="1">
      <alignment horizontal="center" vertical="center"/>
    </xf>
    <xf numFmtId="0" fontId="48" fillId="11" borderId="91" xfId="0" quotePrefix="1" applyNumberFormat="1" applyFont="1" applyFill="1" applyBorder="1" applyAlignment="1">
      <alignment horizontal="center" vertical="center"/>
    </xf>
    <xf numFmtId="0" fontId="48" fillId="11" borderId="91" xfId="0" applyNumberFormat="1" applyFont="1" applyFill="1" applyBorder="1" applyAlignment="1">
      <alignment horizontal="center" vertical="center"/>
    </xf>
    <xf numFmtId="0" fontId="48" fillId="10" borderId="91" xfId="0" applyNumberFormat="1" applyFont="1" applyFill="1" applyBorder="1" applyAlignment="1">
      <alignment horizontal="center" vertical="center"/>
    </xf>
    <xf numFmtId="0" fontId="48" fillId="22" borderId="91" xfId="0" applyNumberFormat="1" applyFont="1" applyFill="1" applyBorder="1" applyAlignment="1">
      <alignment horizontal="center" vertical="center"/>
    </xf>
    <xf numFmtId="0" fontId="48" fillId="20" borderId="91" xfId="0" quotePrefix="1" applyNumberFormat="1" applyFont="1" applyFill="1" applyBorder="1" applyAlignment="1">
      <alignment horizontal="center" vertical="center"/>
    </xf>
    <xf numFmtId="0" fontId="48" fillId="20" borderId="91" xfId="0" applyNumberFormat="1" applyFont="1" applyFill="1" applyBorder="1" applyAlignment="1">
      <alignment horizontal="center" vertical="center"/>
    </xf>
    <xf numFmtId="0" fontId="48" fillId="12" borderId="91" xfId="0" quotePrefix="1" applyNumberFormat="1" applyFont="1" applyFill="1" applyBorder="1" applyAlignment="1">
      <alignment horizontal="center" vertical="center"/>
    </xf>
    <xf numFmtId="0" fontId="48" fillId="12" borderId="91" xfId="0" applyNumberFormat="1" applyFont="1" applyFill="1" applyBorder="1" applyAlignment="1">
      <alignment horizontal="center" vertical="center"/>
    </xf>
    <xf numFmtId="0" fontId="48" fillId="18" borderId="91" xfId="0" quotePrefix="1" applyNumberFormat="1" applyFont="1" applyFill="1" applyBorder="1" applyAlignment="1">
      <alignment horizontal="center" vertical="center"/>
    </xf>
    <xf numFmtId="0" fontId="48" fillId="18" borderId="91" xfId="0" applyNumberFormat="1" applyFont="1" applyFill="1" applyBorder="1" applyAlignment="1">
      <alignment horizontal="center" vertical="center"/>
    </xf>
    <xf numFmtId="0" fontId="48" fillId="7" borderId="91" xfId="0" applyNumberFormat="1" applyFont="1" applyFill="1" applyBorder="1" applyAlignment="1">
      <alignment horizontal="center" vertical="center"/>
    </xf>
    <xf numFmtId="0" fontId="51" fillId="7" borderId="91" xfId="3" quotePrefix="1" applyNumberFormat="1" applyFont="1" applyFill="1" applyBorder="1" applyAlignment="1">
      <alignment horizontal="center" vertical="center" wrapText="1"/>
    </xf>
    <xf numFmtId="0" fontId="48" fillId="7" borderId="91" xfId="0" quotePrefix="1" applyNumberFormat="1" applyFont="1" applyFill="1" applyBorder="1" applyAlignment="1">
      <alignment horizontal="center" vertical="center"/>
    </xf>
    <xf numFmtId="0" fontId="51" fillId="16" borderId="91" xfId="3" quotePrefix="1" applyNumberFormat="1" applyFont="1" applyFill="1" applyBorder="1" applyAlignment="1">
      <alignment horizontal="center" vertical="center" wrapText="1"/>
    </xf>
    <xf numFmtId="0" fontId="48" fillId="16" borderId="91" xfId="0" quotePrefix="1" applyNumberFormat="1" applyFont="1" applyFill="1" applyBorder="1" applyAlignment="1">
      <alignment horizontal="center" vertical="center"/>
    </xf>
    <xf numFmtId="0" fontId="51" fillId="9" borderId="91" xfId="3" quotePrefix="1" applyNumberFormat="1" applyFont="1" applyFill="1" applyBorder="1" applyAlignment="1">
      <alignment horizontal="center" vertical="center"/>
    </xf>
    <xf numFmtId="0" fontId="48" fillId="30" borderId="91" xfId="0" applyNumberFormat="1" applyFont="1" applyFill="1" applyBorder="1" applyAlignment="1">
      <alignment horizontal="center" vertical="center"/>
    </xf>
    <xf numFmtId="0" fontId="48" fillId="4" borderId="91" xfId="0" quotePrefix="1" applyNumberFormat="1" applyFont="1" applyFill="1" applyBorder="1" applyAlignment="1">
      <alignment horizontal="center" vertical="center"/>
    </xf>
    <xf numFmtId="0" fontId="48" fillId="18" borderId="170" xfId="0" quotePrefix="1" applyNumberFormat="1" applyFont="1" applyFill="1" applyBorder="1" applyAlignment="1">
      <alignment horizontal="center" vertical="center"/>
    </xf>
    <xf numFmtId="0" fontId="48" fillId="8" borderId="237" xfId="0" quotePrefix="1" applyNumberFormat="1" applyFont="1" applyFill="1" applyBorder="1" applyAlignment="1">
      <alignment horizontal="center" vertical="center"/>
    </xf>
    <xf numFmtId="0" fontId="48" fillId="8" borderId="226" xfId="0" quotePrefix="1" applyNumberFormat="1" applyFont="1" applyFill="1" applyBorder="1" applyAlignment="1">
      <alignment horizontal="center" vertical="center"/>
    </xf>
    <xf numFmtId="0" fontId="48" fillId="21" borderId="226" xfId="0" quotePrefix="1" applyNumberFormat="1" applyFont="1" applyFill="1" applyBorder="1" applyAlignment="1">
      <alignment horizontal="center" vertical="center"/>
    </xf>
    <xf numFmtId="0" fontId="48" fillId="12" borderId="226" xfId="0" quotePrefix="1" applyNumberFormat="1" applyFont="1" applyFill="1" applyBorder="1" applyAlignment="1">
      <alignment horizontal="center" vertical="center"/>
    </xf>
    <xf numFmtId="0" fontId="48" fillId="18" borderId="226" xfId="0" quotePrefix="1" applyNumberFormat="1" applyFont="1" applyFill="1" applyBorder="1" applyAlignment="1">
      <alignment horizontal="center" vertical="center"/>
    </xf>
    <xf numFmtId="0" fontId="48" fillId="7" borderId="226" xfId="0" quotePrefix="1" applyNumberFormat="1" applyFont="1" applyFill="1" applyBorder="1" applyAlignment="1">
      <alignment horizontal="center" vertical="center"/>
    </xf>
    <xf numFmtId="0" fontId="48" fillId="16" borderId="226" xfId="0" quotePrefix="1" applyNumberFormat="1" applyFont="1" applyFill="1" applyBorder="1" applyAlignment="1">
      <alignment horizontal="center" vertical="center"/>
    </xf>
    <xf numFmtId="0" fontId="48" fillId="15" borderId="226" xfId="0" quotePrefix="1" applyNumberFormat="1" applyFont="1" applyFill="1" applyBorder="1" applyAlignment="1">
      <alignment horizontal="center" vertical="center"/>
    </xf>
    <xf numFmtId="0" fontId="48" fillId="4" borderId="226" xfId="0" quotePrefix="1" applyNumberFormat="1" applyFont="1" applyFill="1" applyBorder="1" applyAlignment="1">
      <alignment horizontal="center" vertical="center"/>
    </xf>
    <xf numFmtId="0" fontId="48" fillId="18" borderId="227" xfId="0" quotePrefix="1" applyNumberFormat="1" applyFont="1" applyFill="1" applyBorder="1" applyAlignment="1">
      <alignment horizontal="center" vertical="center"/>
    </xf>
    <xf numFmtId="0" fontId="48" fillId="8" borderId="15" xfId="0" quotePrefix="1" applyNumberFormat="1" applyFont="1" applyFill="1" applyBorder="1" applyAlignment="1">
      <alignment horizontal="center" vertical="center"/>
    </xf>
    <xf numFmtId="0" fontId="48" fillId="8" borderId="222" xfId="0" quotePrefix="1" applyNumberFormat="1" applyFont="1" applyFill="1" applyBorder="1" applyAlignment="1">
      <alignment horizontal="center" vertical="center"/>
    </xf>
    <xf numFmtId="0" fontId="48" fillId="26" borderId="222" xfId="0" applyNumberFormat="1" applyFont="1" applyFill="1" applyBorder="1" applyAlignment="1">
      <alignment horizontal="center" vertical="center"/>
    </xf>
    <xf numFmtId="0" fontId="48" fillId="21" borderId="222" xfId="0" quotePrefix="1" applyNumberFormat="1" applyFont="1" applyFill="1" applyBorder="1" applyAlignment="1">
      <alignment horizontal="center" vertical="center"/>
    </xf>
    <xf numFmtId="0" fontId="48" fillId="10" borderId="222" xfId="0" applyNumberFormat="1" applyFont="1" applyFill="1" applyBorder="1" applyAlignment="1">
      <alignment horizontal="center" vertical="center"/>
    </xf>
    <xf numFmtId="0" fontId="48" fillId="22" borderId="222" xfId="0" applyNumberFormat="1" applyFont="1" applyFill="1" applyBorder="1" applyAlignment="1">
      <alignment horizontal="center" vertical="center"/>
    </xf>
    <xf numFmtId="0" fontId="48" fillId="20" borderId="222" xfId="0" quotePrefix="1" applyNumberFormat="1" applyFont="1" applyFill="1" applyBorder="1" applyAlignment="1">
      <alignment horizontal="center" vertical="center"/>
    </xf>
    <xf numFmtId="0" fontId="48" fillId="20" borderId="222" xfId="0" applyNumberFormat="1" applyFont="1" applyFill="1" applyBorder="1" applyAlignment="1">
      <alignment horizontal="center" vertical="center"/>
    </xf>
    <xf numFmtId="0" fontId="48" fillId="12" borderId="222" xfId="0" quotePrefix="1" applyNumberFormat="1" applyFont="1" applyFill="1" applyBorder="1" applyAlignment="1">
      <alignment horizontal="center" vertical="center"/>
    </xf>
    <xf numFmtId="0" fontId="48" fillId="12" borderId="222" xfId="0" applyNumberFormat="1" applyFont="1" applyFill="1" applyBorder="1" applyAlignment="1">
      <alignment horizontal="center" vertical="center"/>
    </xf>
    <xf numFmtId="0" fontId="48" fillId="18" borderId="222" xfId="0" quotePrefix="1" applyNumberFormat="1" applyFont="1" applyFill="1" applyBorder="1" applyAlignment="1">
      <alignment horizontal="center" vertical="center"/>
    </xf>
    <xf numFmtId="0" fontId="48" fillId="18" borderId="222" xfId="0" applyNumberFormat="1" applyFont="1" applyFill="1" applyBorder="1" applyAlignment="1">
      <alignment horizontal="center" vertical="center"/>
    </xf>
    <xf numFmtId="0" fontId="48" fillId="9" borderId="222" xfId="0" applyNumberFormat="1" applyFont="1" applyFill="1" applyBorder="1" applyAlignment="1">
      <alignment horizontal="center" vertical="center"/>
    </xf>
    <xf numFmtId="0" fontId="48" fillId="7" borderId="222" xfId="0" applyNumberFormat="1" applyFont="1" applyFill="1" applyBorder="1" applyAlignment="1">
      <alignment horizontal="center" vertical="center"/>
    </xf>
    <xf numFmtId="0" fontId="48" fillId="7" borderId="222" xfId="0" quotePrefix="1" applyNumberFormat="1" applyFont="1" applyFill="1" applyBorder="1" applyAlignment="1">
      <alignment horizontal="center" vertical="center"/>
    </xf>
    <xf numFmtId="0" fontId="48" fillId="16" borderId="222" xfId="0" quotePrefix="1" applyNumberFormat="1" applyFont="1" applyFill="1" applyBorder="1" applyAlignment="1">
      <alignment horizontal="center" vertical="center"/>
    </xf>
    <xf numFmtId="0" fontId="48" fillId="9" borderId="222" xfId="0" quotePrefix="1" applyNumberFormat="1" applyFont="1" applyFill="1" applyBorder="1" applyAlignment="1">
      <alignment horizontal="center" vertical="center"/>
    </xf>
    <xf numFmtId="0" fontId="48" fillId="15" borderId="222" xfId="0" quotePrefix="1" applyNumberFormat="1" applyFont="1" applyFill="1" applyBorder="1" applyAlignment="1">
      <alignment horizontal="center" vertical="center"/>
    </xf>
    <xf numFmtId="0" fontId="48" fillId="30" borderId="222" xfId="0" applyNumberFormat="1" applyFont="1" applyFill="1" applyBorder="1" applyAlignment="1">
      <alignment horizontal="center" vertical="center"/>
    </xf>
    <xf numFmtId="0" fontId="48" fillId="4" borderId="222" xfId="0" quotePrefix="1" applyNumberFormat="1" applyFont="1" applyFill="1" applyBorder="1" applyAlignment="1">
      <alignment horizontal="center" vertical="center"/>
    </xf>
    <xf numFmtId="0" fontId="48" fillId="18" borderId="220" xfId="0" quotePrefix="1" applyNumberFormat="1" applyFont="1" applyFill="1" applyBorder="1" applyAlignment="1">
      <alignment horizontal="center" vertical="center"/>
    </xf>
    <xf numFmtId="0" fontId="48" fillId="11" borderId="222" xfId="0" applyNumberFormat="1" applyFont="1" applyFill="1" applyBorder="1" applyAlignment="1">
      <alignment horizontal="left" vertical="center"/>
    </xf>
    <xf numFmtId="0" fontId="0" fillId="34" borderId="226" xfId="0" applyNumberFormat="1" applyFill="1" applyBorder="1" applyAlignment="1">
      <alignment horizontal="left" vertical="center"/>
    </xf>
    <xf numFmtId="0" fontId="0" fillId="11" borderId="222" xfId="0" applyNumberFormat="1" applyFill="1" applyBorder="1" applyAlignment="1">
      <alignment horizontal="center" vertical="center"/>
    </xf>
    <xf numFmtId="0" fontId="48" fillId="38" borderId="222" xfId="0" applyNumberFormat="1" applyFont="1" applyFill="1" applyBorder="1" applyAlignment="1">
      <alignment horizontal="center" vertical="center"/>
    </xf>
    <xf numFmtId="0" fontId="48" fillId="10" borderId="15" xfId="0" quotePrefix="1" applyNumberFormat="1" applyFont="1" applyFill="1" applyBorder="1" applyAlignment="1">
      <alignment horizontal="left" vertical="center"/>
    </xf>
    <xf numFmtId="0" fontId="48" fillId="10" borderId="149" xfId="0" quotePrefix="1" applyNumberFormat="1" applyFont="1" applyFill="1" applyBorder="1" applyAlignment="1">
      <alignment horizontal="left" vertical="center"/>
    </xf>
    <xf numFmtId="0" fontId="48" fillId="22" borderId="149" xfId="0" quotePrefix="1" applyNumberFormat="1" applyFont="1" applyFill="1" applyBorder="1" applyAlignment="1">
      <alignment horizontal="left" vertical="center"/>
    </xf>
    <xf numFmtId="0" fontId="48" fillId="30" borderId="149" xfId="0" quotePrefix="1" applyNumberFormat="1" applyFont="1" applyFill="1" applyBorder="1" applyAlignment="1">
      <alignment horizontal="left" vertical="center"/>
    </xf>
    <xf numFmtId="0" fontId="48" fillId="39" borderId="146" xfId="0" quotePrefix="1" applyNumberFormat="1" applyFont="1" applyFill="1" applyBorder="1" applyAlignment="1">
      <alignment horizontal="left" vertical="center"/>
    </xf>
    <xf numFmtId="0" fontId="48" fillId="39" borderId="149" xfId="0" quotePrefix="1" applyNumberFormat="1" applyFont="1" applyFill="1" applyBorder="1" applyAlignment="1">
      <alignment horizontal="left" vertical="center"/>
    </xf>
    <xf numFmtId="0" fontId="48" fillId="40" borderId="149" xfId="0" quotePrefix="1" applyNumberFormat="1" applyFont="1" applyFill="1" applyBorder="1" applyAlignment="1">
      <alignment horizontal="left"/>
    </xf>
    <xf numFmtId="0" fontId="48" fillId="41" borderId="149" xfId="0" quotePrefix="1" applyNumberFormat="1" applyFont="1" applyFill="1" applyBorder="1" applyAlignment="1">
      <alignment horizontal="left" vertical="center"/>
    </xf>
    <xf numFmtId="0" fontId="48" fillId="42" borderId="149" xfId="0" quotePrefix="1" applyNumberFormat="1" applyFont="1" applyFill="1" applyBorder="1" applyAlignment="1">
      <alignment horizontal="left" vertical="center"/>
    </xf>
    <xf numFmtId="0" fontId="99" fillId="42" borderId="149" xfId="0" quotePrefix="1" applyNumberFormat="1" applyFont="1" applyFill="1" applyBorder="1" applyAlignment="1">
      <alignment horizontal="left" vertical="center"/>
    </xf>
    <xf numFmtId="0" fontId="48" fillId="42" borderId="222" xfId="0" quotePrefix="1" applyNumberFormat="1" applyFont="1" applyFill="1" applyBorder="1" applyAlignment="1">
      <alignment horizontal="left" vertical="center"/>
    </xf>
    <xf numFmtId="0" fontId="48" fillId="42" borderId="15" xfId="0" quotePrefix="1" applyNumberFormat="1" applyFont="1" applyFill="1" applyBorder="1" applyAlignment="1">
      <alignment horizontal="left" vertical="center"/>
    </xf>
    <xf numFmtId="0" fontId="48" fillId="43" borderId="149" xfId="0" quotePrefix="1" applyNumberFormat="1" applyFont="1" applyFill="1" applyBorder="1" applyAlignment="1">
      <alignment horizontal="left" vertical="center"/>
    </xf>
    <xf numFmtId="0" fontId="48" fillId="44" borderId="149" xfId="0" quotePrefix="1" applyNumberFormat="1" applyFont="1" applyFill="1" applyBorder="1" applyAlignment="1">
      <alignment horizontal="left" vertical="center"/>
    </xf>
    <xf numFmtId="0" fontId="48" fillId="45" borderId="149" xfId="0" quotePrefix="1" applyNumberFormat="1" applyFont="1" applyFill="1" applyBorder="1" applyAlignment="1">
      <alignment horizontal="left" vertical="center"/>
    </xf>
    <xf numFmtId="0" fontId="48" fillId="46" borderId="226" xfId="0" quotePrefix="1" applyNumberFormat="1" applyFont="1" applyFill="1" applyBorder="1" applyAlignment="1">
      <alignment horizontal="left"/>
    </xf>
    <xf numFmtId="0" fontId="0" fillId="46" borderId="226" xfId="0" quotePrefix="1" applyNumberFormat="1" applyFill="1" applyBorder="1" applyAlignment="1">
      <alignment horizontal="left"/>
    </xf>
    <xf numFmtId="0" fontId="48" fillId="47" borderId="225" xfId="0" quotePrefix="1" applyNumberFormat="1" applyFont="1" applyFill="1" applyBorder="1" applyAlignment="1">
      <alignment horizontal="left" vertical="center"/>
    </xf>
    <xf numFmtId="0" fontId="48" fillId="47" borderId="149" xfId="0" quotePrefix="1" applyNumberFormat="1" applyFont="1" applyFill="1" applyBorder="1" applyAlignment="1">
      <alignment horizontal="left" vertical="center"/>
    </xf>
    <xf numFmtId="0" fontId="48" fillId="47" borderId="226" xfId="0" quotePrefix="1" applyNumberFormat="1" applyFont="1" applyFill="1" applyBorder="1" applyAlignment="1">
      <alignment horizontal="left" vertical="center"/>
    </xf>
    <xf numFmtId="0" fontId="48" fillId="47" borderId="232" xfId="0" quotePrefix="1" applyNumberFormat="1" applyFont="1" applyFill="1" applyBorder="1" applyAlignment="1">
      <alignment horizontal="left" vertical="center"/>
    </xf>
    <xf numFmtId="0" fontId="48" fillId="48" borderId="149" xfId="0" quotePrefix="1" applyNumberFormat="1" applyFont="1" applyFill="1" applyBorder="1" applyAlignment="1">
      <alignment horizontal="left" vertical="center"/>
    </xf>
    <xf numFmtId="0" fontId="48" fillId="49" borderId="149" xfId="0" quotePrefix="1" applyNumberFormat="1" applyFont="1" applyFill="1" applyBorder="1" applyAlignment="1">
      <alignment horizontal="left" vertical="center"/>
    </xf>
    <xf numFmtId="0" fontId="48" fillId="47" borderId="91" xfId="0" quotePrefix="1" applyNumberFormat="1" applyFont="1" applyFill="1" applyBorder="1" applyAlignment="1">
      <alignment horizontal="left" vertical="center"/>
    </xf>
    <xf numFmtId="0" fontId="48" fillId="50" borderId="149" xfId="0" quotePrefix="1" applyNumberFormat="1" applyFont="1" applyFill="1" applyBorder="1" applyAlignment="1">
      <alignment horizontal="left" vertical="center"/>
    </xf>
    <xf numFmtId="0" fontId="48" fillId="50" borderId="91" xfId="0" quotePrefix="1" applyNumberFormat="1" applyFont="1" applyFill="1" applyBorder="1" applyAlignment="1">
      <alignment horizontal="left" vertical="center"/>
    </xf>
    <xf numFmtId="0" fontId="48" fillId="51" borderId="226" xfId="0" quotePrefix="1" applyNumberFormat="1" applyFont="1" applyFill="1" applyBorder="1" applyAlignment="1">
      <alignment horizontal="left" vertical="center"/>
    </xf>
    <xf numFmtId="0" fontId="48" fillId="52" borderId="149" xfId="0" quotePrefix="1" applyNumberFormat="1" applyFont="1" applyFill="1" applyBorder="1" applyAlignment="1">
      <alignment horizontal="left" vertical="center"/>
    </xf>
    <xf numFmtId="0" fontId="48" fillId="45" borderId="110" xfId="0" quotePrefix="1" applyNumberFormat="1" applyFont="1" applyFill="1" applyBorder="1" applyAlignment="1">
      <alignment horizontal="left" vertical="center"/>
    </xf>
    <xf numFmtId="0" fontId="50" fillId="5" borderId="0" xfId="0" applyFont="1" applyFill="1" applyBorder="1" applyAlignment="1">
      <alignment horizontal="center" vertical="center"/>
    </xf>
  </cellXfs>
  <cellStyles count="209">
    <cellStyle name="Lien hypertexte" xfId="4" builtinId="8"/>
    <cellStyle name="Neutre" xfId="208" builtinId="28"/>
    <cellStyle name="Normal" xfId="0" builtinId="0"/>
    <cellStyle name="Normal 10" xfId="16" xr:uid="{00000000-0005-0000-0000-000002000000}"/>
    <cellStyle name="Normal 10 2" xfId="28" xr:uid="{00000000-0005-0000-0000-000003000000}"/>
    <cellStyle name="Normal 10 2 2" xfId="60" xr:uid="{00000000-0005-0000-0000-000004000000}"/>
    <cellStyle name="Normal 10 2 3" xfId="149" xr:uid="{00000000-0005-0000-0000-000005000000}"/>
    <cellStyle name="Normal 10 2 4" xfId="187" xr:uid="{00000000-0005-0000-0000-000006000000}"/>
    <cellStyle name="Normal 10 3" xfId="30" xr:uid="{00000000-0005-0000-0000-000007000000}"/>
    <cellStyle name="Normal 10 3 2" xfId="62" xr:uid="{00000000-0005-0000-0000-000008000000}"/>
    <cellStyle name="Normal 10 3 3" xfId="151" xr:uid="{00000000-0005-0000-0000-000009000000}"/>
    <cellStyle name="Normal 10 3 4" xfId="189" xr:uid="{00000000-0005-0000-0000-00000A000000}"/>
    <cellStyle name="Normal 10 4" xfId="49" xr:uid="{00000000-0005-0000-0000-00000B000000}"/>
    <cellStyle name="Normal 10 5" xfId="138" xr:uid="{00000000-0005-0000-0000-00000C000000}"/>
    <cellStyle name="Normal 10 6" xfId="176" xr:uid="{00000000-0005-0000-0000-00000D000000}"/>
    <cellStyle name="Normal 11" xfId="19" xr:uid="{00000000-0005-0000-0000-00000E000000}"/>
    <cellStyle name="Normal 11 2" xfId="24" xr:uid="{00000000-0005-0000-0000-00000F000000}"/>
    <cellStyle name="Normal 11 2 2" xfId="31" xr:uid="{00000000-0005-0000-0000-000010000000}"/>
    <cellStyle name="Normal 11 2 2 2" xfId="63" xr:uid="{00000000-0005-0000-0000-000011000000}"/>
    <cellStyle name="Normal 11 2 2 3" xfId="152" xr:uid="{00000000-0005-0000-0000-000012000000}"/>
    <cellStyle name="Normal 11 2 2 4" xfId="190" xr:uid="{00000000-0005-0000-0000-000013000000}"/>
    <cellStyle name="Normal 11 2 3" xfId="56" xr:uid="{00000000-0005-0000-0000-000014000000}"/>
    <cellStyle name="Normal 11 2 3 2" xfId="206" xr:uid="{00000000-0005-0000-0000-000015000000}"/>
    <cellStyle name="Normal 11 2 4" xfId="145" xr:uid="{00000000-0005-0000-0000-000016000000}"/>
    <cellStyle name="Normal 11 2 5" xfId="183" xr:uid="{00000000-0005-0000-0000-000017000000}"/>
    <cellStyle name="Normal 11 2 7" xfId="204" xr:uid="{00000000-0005-0000-0000-000018000000}"/>
    <cellStyle name="Normal 11 3" xfId="52" xr:uid="{00000000-0005-0000-0000-000019000000}"/>
    <cellStyle name="Normal 11 4" xfId="141" xr:uid="{00000000-0005-0000-0000-00001A000000}"/>
    <cellStyle name="Normal 11 5" xfId="179" xr:uid="{00000000-0005-0000-0000-00001B000000}"/>
    <cellStyle name="Normal 12" xfId="23" xr:uid="{00000000-0005-0000-0000-00001C000000}"/>
    <cellStyle name="Normal 12 2" xfId="55" xr:uid="{00000000-0005-0000-0000-00001D000000}"/>
    <cellStyle name="Normal 12 3" xfId="144" xr:uid="{00000000-0005-0000-0000-00001E000000}"/>
    <cellStyle name="Normal 12 4" xfId="182" xr:uid="{00000000-0005-0000-0000-00001F000000}"/>
    <cellStyle name="Normal 13" xfId="27" xr:uid="{00000000-0005-0000-0000-000020000000}"/>
    <cellStyle name="Normal 13 2" xfId="59" xr:uid="{00000000-0005-0000-0000-000021000000}"/>
    <cellStyle name="Normal 13 3" xfId="148" xr:uid="{00000000-0005-0000-0000-000022000000}"/>
    <cellStyle name="Normal 13 4" xfId="186" xr:uid="{00000000-0005-0000-0000-000023000000}"/>
    <cellStyle name="Normal 14" xfId="29" xr:uid="{00000000-0005-0000-0000-000024000000}"/>
    <cellStyle name="Normal 14 2" xfId="61" xr:uid="{00000000-0005-0000-0000-000025000000}"/>
    <cellStyle name="Normal 14 3" xfId="150" xr:uid="{00000000-0005-0000-0000-000026000000}"/>
    <cellStyle name="Normal 14 4" xfId="188" xr:uid="{00000000-0005-0000-0000-000027000000}"/>
    <cellStyle name="Normal 2" xfId="1" xr:uid="{00000000-0005-0000-0000-000028000000}"/>
    <cellStyle name="Normál 2" xfId="11" xr:uid="{00000000-0005-0000-0000-000029000000}"/>
    <cellStyle name="Normal 2 10" xfId="97" xr:uid="{00000000-0005-0000-0000-00002A000000}"/>
    <cellStyle name="Normál 2 10" xfId="88" xr:uid="{00000000-0005-0000-0000-00002B000000}"/>
    <cellStyle name="Normal 2 11" xfId="98" xr:uid="{00000000-0005-0000-0000-00002C000000}"/>
    <cellStyle name="Normál 2 11" xfId="99" xr:uid="{00000000-0005-0000-0000-00002D000000}"/>
    <cellStyle name="Normal 2 12" xfId="70" xr:uid="{00000000-0005-0000-0000-00002E000000}"/>
    <cellStyle name="Normál 2 12" xfId="86" xr:uid="{00000000-0005-0000-0000-00002F000000}"/>
    <cellStyle name="Normal 2 13" xfId="100" xr:uid="{00000000-0005-0000-0000-000030000000}"/>
    <cellStyle name="Normál 2 13" xfId="91" xr:uid="{00000000-0005-0000-0000-000031000000}"/>
    <cellStyle name="Normal 2 14" xfId="102" xr:uid="{00000000-0005-0000-0000-000032000000}"/>
    <cellStyle name="Normál 2 14" xfId="96" xr:uid="{00000000-0005-0000-0000-000033000000}"/>
    <cellStyle name="Normal 2 15" xfId="103" xr:uid="{00000000-0005-0000-0000-000034000000}"/>
    <cellStyle name="Normál 2 15" xfId="92" xr:uid="{00000000-0005-0000-0000-000035000000}"/>
    <cellStyle name="Normal 2 16" xfId="84" xr:uid="{00000000-0005-0000-0000-000036000000}"/>
    <cellStyle name="Normál 2 16" xfId="108" xr:uid="{00000000-0005-0000-0000-000037000000}"/>
    <cellStyle name="Normal 2 17" xfId="104" xr:uid="{00000000-0005-0000-0000-000038000000}"/>
    <cellStyle name="Normál 2 17" xfId="79" xr:uid="{00000000-0005-0000-0000-000039000000}"/>
    <cellStyle name="Normal 2 18" xfId="110" xr:uid="{00000000-0005-0000-0000-00003A000000}"/>
    <cellStyle name="Normál 2 18" xfId="90" xr:uid="{00000000-0005-0000-0000-00003B000000}"/>
    <cellStyle name="Normal 2 19" xfId="111" xr:uid="{00000000-0005-0000-0000-00003C000000}"/>
    <cellStyle name="Normál 2 19" xfId="89" xr:uid="{00000000-0005-0000-0000-00003D000000}"/>
    <cellStyle name="Normal 2 2" xfId="6" xr:uid="{00000000-0005-0000-0000-00003E000000}"/>
    <cellStyle name="Normál 2 2" xfId="44" xr:uid="{00000000-0005-0000-0000-00003F000000}"/>
    <cellStyle name="Normal 2 20" xfId="112" xr:uid="{00000000-0005-0000-0000-000040000000}"/>
    <cellStyle name="Normál 2 20" xfId="107" xr:uid="{00000000-0005-0000-0000-000041000000}"/>
    <cellStyle name="Normal 2 21" xfId="80" xr:uid="{00000000-0005-0000-0000-000042000000}"/>
    <cellStyle name="Normál 2 21" xfId="113" xr:uid="{00000000-0005-0000-0000-000043000000}"/>
    <cellStyle name="Normal 2 22" xfId="87" xr:uid="{00000000-0005-0000-0000-000044000000}"/>
    <cellStyle name="Normál 2 22" xfId="74" xr:uid="{00000000-0005-0000-0000-000045000000}"/>
    <cellStyle name="Normal 2 23" xfId="114" xr:uid="{00000000-0005-0000-0000-000046000000}"/>
    <cellStyle name="Normál 2 23" xfId="101" xr:uid="{00000000-0005-0000-0000-000047000000}"/>
    <cellStyle name="Normal 2 24" xfId="115" xr:uid="{00000000-0005-0000-0000-000048000000}"/>
    <cellStyle name="Normál 2 24" xfId="36" xr:uid="{00000000-0005-0000-0000-000049000000}"/>
    <cellStyle name="Normal 2 25" xfId="116" xr:uid="{00000000-0005-0000-0000-00004A000000}"/>
    <cellStyle name="Normál 2 25" xfId="106" xr:uid="{00000000-0005-0000-0000-00004B000000}"/>
    <cellStyle name="Normal 2 26" xfId="117" xr:uid="{00000000-0005-0000-0000-00004C000000}"/>
    <cellStyle name="Normál 2 26" xfId="105" xr:uid="{00000000-0005-0000-0000-00004D000000}"/>
    <cellStyle name="Normal 2 27" xfId="118" xr:uid="{00000000-0005-0000-0000-00004E000000}"/>
    <cellStyle name="Normál 2 27" xfId="109" xr:uid="{00000000-0005-0000-0000-00004F000000}"/>
    <cellStyle name="Normal 2 28" xfId="119" xr:uid="{00000000-0005-0000-0000-000050000000}"/>
    <cellStyle name="Normál 2 28" xfId="72" xr:uid="{00000000-0005-0000-0000-000051000000}"/>
    <cellStyle name="Normal 2 29" xfId="120" xr:uid="{00000000-0005-0000-0000-000052000000}"/>
    <cellStyle name="Normál 2 29" xfId="67" xr:uid="{00000000-0005-0000-0000-000053000000}"/>
    <cellStyle name="Normal 2 3" xfId="22" xr:uid="{00000000-0005-0000-0000-000054000000}"/>
    <cellStyle name="Normál 2 3" xfId="71" xr:uid="{00000000-0005-0000-0000-000055000000}"/>
    <cellStyle name="Normal 2 30" xfId="122" xr:uid="{00000000-0005-0000-0000-000056000000}"/>
    <cellStyle name="Normál 2 30" xfId="83" xr:uid="{00000000-0005-0000-0000-000057000000}"/>
    <cellStyle name="Normal 2 31" xfId="123" xr:uid="{00000000-0005-0000-0000-000058000000}"/>
    <cellStyle name="Normál 2 31" xfId="95" xr:uid="{00000000-0005-0000-0000-000059000000}"/>
    <cellStyle name="Normal 2 32" xfId="124" xr:uid="{00000000-0005-0000-0000-00005A000000}"/>
    <cellStyle name="Normál 2 32" xfId="121" xr:uid="{00000000-0005-0000-0000-00005B000000}"/>
    <cellStyle name="Normal 2 33" xfId="125" xr:uid="{00000000-0005-0000-0000-00005C000000}"/>
    <cellStyle name="Normál 2 33" xfId="78" xr:uid="{00000000-0005-0000-0000-00005D000000}"/>
    <cellStyle name="Normal 2 34" xfId="81" xr:uid="{00000000-0005-0000-0000-00005E000000}"/>
    <cellStyle name="Normál 2 34" xfId="133" xr:uid="{00000000-0005-0000-0000-00005F000000}"/>
    <cellStyle name="Normal 2 35" xfId="68" xr:uid="{00000000-0005-0000-0000-000060000000}"/>
    <cellStyle name="Normál 2 35" xfId="171" xr:uid="{00000000-0005-0000-0000-000061000000}"/>
    <cellStyle name="Normal 2 36" xfId="126" xr:uid="{00000000-0005-0000-0000-000062000000}"/>
    <cellStyle name="Normal 2 37" xfId="164" xr:uid="{00000000-0005-0000-0000-000063000000}"/>
    <cellStyle name="Normal 2 4" xfId="35" xr:uid="{00000000-0005-0000-0000-000064000000}"/>
    <cellStyle name="Normál 2 4" xfId="75" xr:uid="{00000000-0005-0000-0000-000065000000}"/>
    <cellStyle name="Normal 2 5" xfId="66" xr:uid="{00000000-0005-0000-0000-000066000000}"/>
    <cellStyle name="Normál 2 5" xfId="76" xr:uid="{00000000-0005-0000-0000-000067000000}"/>
    <cellStyle name="Normal 2 6" xfId="69" xr:uid="{00000000-0005-0000-0000-000068000000}"/>
    <cellStyle name="Normál 2 6" xfId="85" xr:uid="{00000000-0005-0000-0000-000069000000}"/>
    <cellStyle name="Normal 2 7" xfId="77" xr:uid="{00000000-0005-0000-0000-00006A000000}"/>
    <cellStyle name="Normál 2 7" xfId="93" xr:uid="{00000000-0005-0000-0000-00006B000000}"/>
    <cellStyle name="Normal 2 8" xfId="73" xr:uid="{00000000-0005-0000-0000-00006C000000}"/>
    <cellStyle name="Normál 2 8" xfId="82" xr:uid="{00000000-0005-0000-0000-00006D000000}"/>
    <cellStyle name="Normal 2 9" xfId="94" xr:uid="{00000000-0005-0000-0000-00006E000000}"/>
    <cellStyle name="Normál 2 9" xfId="39" xr:uid="{00000000-0005-0000-0000-00006F000000}"/>
    <cellStyle name="Normál 24" xfId="156" xr:uid="{00000000-0005-0000-0000-000070000000}"/>
    <cellStyle name="Normál 24 2" xfId="197" xr:uid="{00000000-0005-0000-0000-000071000000}"/>
    <cellStyle name="Normál 25" xfId="157" xr:uid="{00000000-0005-0000-0000-000072000000}"/>
    <cellStyle name="Normál 25 2" xfId="198" xr:uid="{00000000-0005-0000-0000-000073000000}"/>
    <cellStyle name="Normál 26" xfId="155" xr:uid="{00000000-0005-0000-0000-000074000000}"/>
    <cellStyle name="Normál 26 2" xfId="196" xr:uid="{00000000-0005-0000-0000-000075000000}"/>
    <cellStyle name="Normál 27" xfId="163" xr:uid="{00000000-0005-0000-0000-000076000000}"/>
    <cellStyle name="Normál 27 2" xfId="200" xr:uid="{00000000-0005-0000-0000-000077000000}"/>
    <cellStyle name="Normál 28" xfId="158" xr:uid="{00000000-0005-0000-0000-000078000000}"/>
    <cellStyle name="Normál 28 2" xfId="199" xr:uid="{00000000-0005-0000-0000-000079000000}"/>
    <cellStyle name="Normal 3" xfId="3" xr:uid="{00000000-0005-0000-0000-00007A000000}"/>
    <cellStyle name="Normál 3" xfId="205" xr:uid="{00000000-0005-0000-0000-00007B000000}"/>
    <cellStyle name="Normal 3 2" xfId="13" xr:uid="{00000000-0005-0000-0000-00007C000000}"/>
    <cellStyle name="Normal 3 2 2" xfId="46" xr:uid="{00000000-0005-0000-0000-00007D000000}"/>
    <cellStyle name="Normal 3 2 3" xfId="135" xr:uid="{00000000-0005-0000-0000-00007E000000}"/>
    <cellStyle name="Normal 3 2 4" xfId="173" xr:uid="{00000000-0005-0000-0000-00007F000000}"/>
    <cellStyle name="Normal 3 3" xfId="17" xr:uid="{00000000-0005-0000-0000-000080000000}"/>
    <cellStyle name="Normal 3 3 2" xfId="50" xr:uid="{00000000-0005-0000-0000-000081000000}"/>
    <cellStyle name="Normal 3 3 3" xfId="139" xr:uid="{00000000-0005-0000-0000-000082000000}"/>
    <cellStyle name="Normal 3 3 4" xfId="177" xr:uid="{00000000-0005-0000-0000-000083000000}"/>
    <cellStyle name="Normal 3 4" xfId="20" xr:uid="{00000000-0005-0000-0000-000084000000}"/>
    <cellStyle name="Normal 3 4 2" xfId="53" xr:uid="{00000000-0005-0000-0000-000085000000}"/>
    <cellStyle name="Normal 3 4 3" xfId="142" xr:uid="{00000000-0005-0000-0000-000086000000}"/>
    <cellStyle name="Normal 3 4 4" xfId="180" xr:uid="{00000000-0005-0000-0000-000087000000}"/>
    <cellStyle name="Normal 3 5" xfId="25" xr:uid="{00000000-0005-0000-0000-000088000000}"/>
    <cellStyle name="Normal 3 5 2" xfId="32" xr:uid="{00000000-0005-0000-0000-000089000000}"/>
    <cellStyle name="Normal 3 5 2 2" xfId="64" xr:uid="{00000000-0005-0000-0000-00008A000000}"/>
    <cellStyle name="Normal 3 5 2 3" xfId="153" xr:uid="{00000000-0005-0000-0000-00008B000000}"/>
    <cellStyle name="Normal 3 5 2 4" xfId="191" xr:uid="{00000000-0005-0000-0000-00008C000000}"/>
    <cellStyle name="Normal 3 5 3" xfId="57" xr:uid="{00000000-0005-0000-0000-00008D000000}"/>
    <cellStyle name="Normal 3 5 4" xfId="146" xr:uid="{00000000-0005-0000-0000-00008E000000}"/>
    <cellStyle name="Normal 3 5 5" xfId="184" xr:uid="{00000000-0005-0000-0000-00008F000000}"/>
    <cellStyle name="Normal 3 6" xfId="37" xr:uid="{00000000-0005-0000-0000-000090000000}"/>
    <cellStyle name="Normal 3 7" xfId="127" xr:uid="{00000000-0005-0000-0000-000091000000}"/>
    <cellStyle name="Normal 3 8" xfId="165" xr:uid="{00000000-0005-0000-0000-000092000000}"/>
    <cellStyle name="Normál 35" xfId="159" xr:uid="{00000000-0005-0000-0000-000093000000}"/>
    <cellStyle name="Normál 35 2" xfId="201" xr:uid="{00000000-0005-0000-0000-000094000000}"/>
    <cellStyle name="Normal 4" xfId="5" xr:uid="{00000000-0005-0000-0000-000095000000}"/>
    <cellStyle name="Normal 4 2" xfId="8" xr:uid="{00000000-0005-0000-0000-000096000000}"/>
    <cellStyle name="Normal 4 2 2" xfId="41" xr:uid="{00000000-0005-0000-0000-000097000000}"/>
    <cellStyle name="Normal 4 2 3" xfId="130" xr:uid="{00000000-0005-0000-0000-000098000000}"/>
    <cellStyle name="Normal 4 2 4" xfId="168" xr:uid="{00000000-0005-0000-0000-000099000000}"/>
    <cellStyle name="Normal 4 3" xfId="14" xr:uid="{00000000-0005-0000-0000-00009A000000}"/>
    <cellStyle name="Normal 4 3 2" xfId="47" xr:uid="{00000000-0005-0000-0000-00009B000000}"/>
    <cellStyle name="Normal 4 3 3" xfId="136" xr:uid="{00000000-0005-0000-0000-00009C000000}"/>
    <cellStyle name="Normal 4 3 4" xfId="174" xr:uid="{00000000-0005-0000-0000-00009D000000}"/>
    <cellStyle name="Normal 4 4" xfId="18" xr:uid="{00000000-0005-0000-0000-00009E000000}"/>
    <cellStyle name="Normal 4 4 2" xfId="51" xr:uid="{00000000-0005-0000-0000-00009F000000}"/>
    <cellStyle name="Normal 4 4 3" xfId="140" xr:uid="{00000000-0005-0000-0000-0000A0000000}"/>
    <cellStyle name="Normal 4 4 4" xfId="178" xr:uid="{00000000-0005-0000-0000-0000A1000000}"/>
    <cellStyle name="Normal 4 5" xfId="21" xr:uid="{00000000-0005-0000-0000-0000A2000000}"/>
    <cellStyle name="Normal 4 5 2" xfId="54" xr:uid="{00000000-0005-0000-0000-0000A3000000}"/>
    <cellStyle name="Normal 4 5 3" xfId="143" xr:uid="{00000000-0005-0000-0000-0000A4000000}"/>
    <cellStyle name="Normal 4 5 4" xfId="181" xr:uid="{00000000-0005-0000-0000-0000A5000000}"/>
    <cellStyle name="Normal 4 6" xfId="26" xr:uid="{00000000-0005-0000-0000-0000A6000000}"/>
    <cellStyle name="Normal 4 6 2" xfId="33" xr:uid="{00000000-0005-0000-0000-0000A7000000}"/>
    <cellStyle name="Normal 4 6 2 2" xfId="65" xr:uid="{00000000-0005-0000-0000-0000A8000000}"/>
    <cellStyle name="Normal 4 6 2 3" xfId="154" xr:uid="{00000000-0005-0000-0000-0000A9000000}"/>
    <cellStyle name="Normal 4 6 2 4" xfId="192" xr:uid="{00000000-0005-0000-0000-0000AA000000}"/>
    <cellStyle name="Normal 4 6 3" xfId="58" xr:uid="{00000000-0005-0000-0000-0000AB000000}"/>
    <cellStyle name="Normal 4 6 4" xfId="147" xr:uid="{00000000-0005-0000-0000-0000AC000000}"/>
    <cellStyle name="Normal 4 6 5" xfId="185" xr:uid="{00000000-0005-0000-0000-0000AD000000}"/>
    <cellStyle name="Normal 4 7" xfId="38" xr:uid="{00000000-0005-0000-0000-0000AE000000}"/>
    <cellStyle name="Normal 4 8" xfId="128" xr:uid="{00000000-0005-0000-0000-0000AF000000}"/>
    <cellStyle name="Normal 4 9" xfId="166" xr:uid="{00000000-0005-0000-0000-0000B0000000}"/>
    <cellStyle name="Normál 40" xfId="160" xr:uid="{00000000-0005-0000-0000-0000B1000000}"/>
    <cellStyle name="Normál 40 2" xfId="193" xr:uid="{00000000-0005-0000-0000-0000B2000000}"/>
    <cellStyle name="Normál 40 4" xfId="202" xr:uid="{00000000-0005-0000-0000-0000B3000000}"/>
    <cellStyle name="Normál 42" xfId="161" xr:uid="{00000000-0005-0000-0000-0000B4000000}"/>
    <cellStyle name="Normál 42 2" xfId="194" xr:uid="{00000000-0005-0000-0000-0000B5000000}"/>
    <cellStyle name="Normál 46" xfId="162" xr:uid="{00000000-0005-0000-0000-0000B6000000}"/>
    <cellStyle name="Normál 46 2" xfId="195" xr:uid="{00000000-0005-0000-0000-0000B7000000}"/>
    <cellStyle name="Normál 46 4" xfId="203" xr:uid="{00000000-0005-0000-0000-0000B8000000}"/>
    <cellStyle name="Normal 5" xfId="7" xr:uid="{00000000-0005-0000-0000-0000B9000000}"/>
    <cellStyle name="Normal 5 2" xfId="40" xr:uid="{00000000-0005-0000-0000-0000BA000000}"/>
    <cellStyle name="Normal 5 3" xfId="129" xr:uid="{00000000-0005-0000-0000-0000BB000000}"/>
    <cellStyle name="Normal 5 4" xfId="167" xr:uid="{00000000-0005-0000-0000-0000BC000000}"/>
    <cellStyle name="Normal 6" xfId="9" xr:uid="{00000000-0005-0000-0000-0000BD000000}"/>
    <cellStyle name="Normal 6 2" xfId="42" xr:uid="{00000000-0005-0000-0000-0000BE000000}"/>
    <cellStyle name="Normal 6 3" xfId="131" xr:uid="{00000000-0005-0000-0000-0000BF000000}"/>
    <cellStyle name="Normal 6 4" xfId="169" xr:uid="{00000000-0005-0000-0000-0000C0000000}"/>
    <cellStyle name="Normal 7" xfId="10" xr:uid="{00000000-0005-0000-0000-0000C1000000}"/>
    <cellStyle name="Normal 7 2" xfId="43" xr:uid="{00000000-0005-0000-0000-0000C2000000}"/>
    <cellStyle name="Normal 7 3" xfId="132" xr:uid="{00000000-0005-0000-0000-0000C3000000}"/>
    <cellStyle name="Normal 7 4" xfId="170" xr:uid="{00000000-0005-0000-0000-0000C4000000}"/>
    <cellStyle name="Normal 8" xfId="12" xr:uid="{00000000-0005-0000-0000-0000C5000000}"/>
    <cellStyle name="Normal 8 2" xfId="45" xr:uid="{00000000-0005-0000-0000-0000C6000000}"/>
    <cellStyle name="Normal 8 3" xfId="134" xr:uid="{00000000-0005-0000-0000-0000C7000000}"/>
    <cellStyle name="Normal 8 4" xfId="172" xr:uid="{00000000-0005-0000-0000-0000C8000000}"/>
    <cellStyle name="Normal 9" xfId="15" xr:uid="{00000000-0005-0000-0000-0000C9000000}"/>
    <cellStyle name="Normal 9 2" xfId="48" xr:uid="{00000000-0005-0000-0000-0000CA000000}"/>
    <cellStyle name="Normal 9 3" xfId="137" xr:uid="{00000000-0005-0000-0000-0000CB000000}"/>
    <cellStyle name="Normal 9 4" xfId="175" xr:uid="{00000000-0005-0000-0000-0000CC000000}"/>
    <cellStyle name="Normal 9 6" xfId="207" xr:uid="{00000000-0005-0000-0000-0000CD000000}"/>
    <cellStyle name="Normal_ASM1" xfId="34" xr:uid="{00000000-0005-0000-0000-0000CE000000}"/>
    <cellStyle name="Normal_Kinetic matrix" xfId="2" xr:uid="{00000000-0005-0000-0000-0000CF000000}"/>
  </cellStyles>
  <dxfs count="156">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border>
        <left style="thin">
          <color rgb="FF9C0006"/>
        </left>
        <right style="thin">
          <color rgb="FF9C0006"/>
        </right>
        <top style="thin">
          <color rgb="FF9C0006"/>
        </top>
        <bottom style="thin">
          <color rgb="FF9C0006"/>
        </bottom>
      </border>
    </dxf>
    <dxf>
      <font>
        <color rgb="FF006100"/>
      </font>
      <fill>
        <patternFill>
          <bgColor rgb="FFC6EFCE"/>
        </patternFill>
      </fill>
    </dxf>
    <dxf>
      <font>
        <color rgb="FF9C0006"/>
      </font>
      <fill>
        <patternFill>
          <bgColor rgb="FFFFC7CE"/>
        </patternFill>
      </fill>
    </dxf>
    <dxf>
      <font>
        <color rgb="FF9C0006"/>
      </font>
      <fill>
        <patternFill>
          <bgColor rgb="FFFFC7CE"/>
        </patternFill>
      </fill>
    </dxf>
    <dxf>
      <border>
        <left style="thin">
          <color rgb="FF9C0006"/>
        </left>
        <right style="thin">
          <color rgb="FF9C0006"/>
        </right>
        <top style="thin">
          <color rgb="FF9C0006"/>
        </top>
        <bottom style="thin">
          <color rgb="FF9C0006"/>
        </bottom>
      </border>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s>
  <tableStyles count="0" defaultTableStyle="TableStyleMedium9" defaultPivotStyle="PivotStyleLight16"/>
  <colors>
    <mruColors>
      <color rgb="FFC0C0C0"/>
      <color rgb="FFFFFFCC"/>
      <color rgb="FFFFFFFF"/>
      <color rgb="FF333333"/>
      <color rgb="FF498787"/>
      <color rgb="FF499687"/>
      <color rgb="FF498F87"/>
      <color rgb="FF00FF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4.png"/></Relationships>
</file>

<file path=xl/drawings/_rels/drawing3.xml.rels><?xml version="1.0" encoding="UTF-8" standalone="yes"?>
<Relationships xmlns="http://schemas.openxmlformats.org/package/2006/relationships"><Relationship Id="rId1" Type="http://schemas.openxmlformats.org/officeDocument/2006/relationships/image" Target="../media/image5.png"/></Relationships>
</file>

<file path=xl/drawings/drawing1.xml><?xml version="1.0" encoding="utf-8"?>
<xdr:wsDr xmlns:xdr="http://schemas.openxmlformats.org/drawingml/2006/spreadsheetDrawing" xmlns:a="http://schemas.openxmlformats.org/drawingml/2006/main">
  <xdr:twoCellAnchor editAs="absolute">
    <xdr:from>
      <xdr:col>1</xdr:col>
      <xdr:colOff>142875</xdr:colOff>
      <xdr:row>0</xdr:row>
      <xdr:rowOff>104775</xdr:rowOff>
    </xdr:from>
    <xdr:to>
      <xdr:col>2</xdr:col>
      <xdr:colOff>752475</xdr:colOff>
      <xdr:row>0</xdr:row>
      <xdr:rowOff>476250</xdr:rowOff>
    </xdr:to>
    <xdr:sp macro="[0]!Versions" textlink="">
      <xdr:nvSpPr>
        <xdr:cNvPr id="2" name="bt_showver">
          <a:extLst>
            <a:ext uri="{FF2B5EF4-FFF2-40B4-BE49-F238E27FC236}">
              <a16:creationId xmlns:a16="http://schemas.microsoft.com/office/drawing/2014/main" id="{00000000-0008-0000-0000-000002000000}"/>
            </a:ext>
          </a:extLst>
        </xdr:cNvPr>
        <xdr:cNvSpPr/>
      </xdr:nvSpPr>
      <xdr:spPr>
        <a:xfrm>
          <a:off x="400050" y="104775"/>
          <a:ext cx="1485900" cy="371475"/>
        </a:xfrm>
        <a:prstGeom prst="roundRect">
          <a:avLst/>
        </a:prstGeom>
        <a:solidFill>
          <a:schemeClr val="bg1">
            <a:lumMod val="65000"/>
          </a:schemeClr>
        </a:solidFill>
        <a:ln>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0"/>
        <a:lstStyle/>
        <a:p>
          <a:pPr algn="ctr"/>
          <a:r>
            <a:rPr lang="hu-HU" sz="1100">
              <a:solidFill>
                <a:schemeClr val="tx1"/>
              </a:solidFill>
            </a:rPr>
            <a:t>Show Macro Versions</a:t>
          </a:r>
        </a:p>
      </xdr:txBody>
    </xdr:sp>
    <xdr:clientData/>
  </xdr:twoCellAnchor>
  <xdr:twoCellAnchor editAs="absolute">
    <xdr:from>
      <xdr:col>3</xdr:col>
      <xdr:colOff>38100</xdr:colOff>
      <xdr:row>0</xdr:row>
      <xdr:rowOff>104775</xdr:rowOff>
    </xdr:from>
    <xdr:to>
      <xdr:col>4</xdr:col>
      <xdr:colOff>1038225</xdr:colOff>
      <xdr:row>0</xdr:row>
      <xdr:rowOff>504825</xdr:rowOff>
    </xdr:to>
    <xdr:sp macro="[0]!GlobalCheck" textlink="">
      <xdr:nvSpPr>
        <xdr:cNvPr id="7" name="bt_globalcheck">
          <a:extLst>
            <a:ext uri="{FF2B5EF4-FFF2-40B4-BE49-F238E27FC236}">
              <a16:creationId xmlns:a16="http://schemas.microsoft.com/office/drawing/2014/main" id="{00000000-0008-0000-0000-000007000000}"/>
            </a:ext>
          </a:extLst>
        </xdr:cNvPr>
        <xdr:cNvSpPr/>
      </xdr:nvSpPr>
      <xdr:spPr>
        <a:xfrm>
          <a:off x="1990725" y="104775"/>
          <a:ext cx="1609725" cy="400050"/>
        </a:xfrm>
        <a:prstGeom prst="roundRect">
          <a:avLst/>
        </a:prstGeom>
        <a:solidFill>
          <a:srgbClr val="FFFF00"/>
        </a:solidFill>
        <a:ln w="25400" cap="flat" cmpd="sng" algn="ctr">
          <a:solidFill>
            <a:sysClr val="windowText" lastClr="000000"/>
          </a:solidFill>
          <a:prstDash val="solid"/>
        </a:ln>
        <a:effectLst>
          <a:outerShdw blurRad="50800" dist="38100" dir="2700000" algn="tl" rotWithShape="0">
            <a:prstClr val="black">
              <a:alpha val="40000"/>
            </a:prstClr>
          </a:outerShdw>
        </a:effectLst>
      </xdr:spPr>
      <xdr:txBody>
        <a:bodyPr vertOverflow="clip" horzOverflow="clip" rtlCol="0" anchor="ctr" anchorCtr="0"/>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hu-HU" sz="1100" b="0" i="0" u="none" strike="noStrike" kern="0" cap="none" spc="0" normalizeH="0" baseline="0" noProof="0">
              <a:ln>
                <a:noFill/>
              </a:ln>
              <a:solidFill>
                <a:sysClr val="windowText" lastClr="000000"/>
              </a:solidFill>
              <a:effectLst/>
              <a:uLnTx/>
              <a:uFillTx/>
              <a:latin typeface="Calibri" panose="020F0502020204030204"/>
            </a:rPr>
            <a:t>Global Check</a:t>
          </a:r>
        </a:p>
      </xdr:txBody>
    </xdr:sp>
    <xdr:clientData/>
  </xdr:twoCellAnchor>
  <xdr:oneCellAnchor>
    <xdr:from>
      <xdr:col>4</xdr:col>
      <xdr:colOff>986872</xdr:colOff>
      <xdr:row>240</xdr:row>
      <xdr:rowOff>58232</xdr:rowOff>
    </xdr:from>
    <xdr:ext cx="5000625" cy="833438"/>
    <xdr:pic>
      <xdr:nvPicPr>
        <xdr:cNvPr id="8" name="Picture 1">
          <a:extLst>
            <a:ext uri="{FF2B5EF4-FFF2-40B4-BE49-F238E27FC236}">
              <a16:creationId xmlns:a16="http://schemas.microsoft.com/office/drawing/2014/main" id="{00000000-0008-0000-0000-000008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3558622" y="46340207"/>
          <a:ext cx="5000625" cy="833438"/>
        </a:xfrm>
        <a:prstGeom prst="rect">
          <a:avLst/>
        </a:prstGeom>
        <a:noFill/>
        <a:ln w="1">
          <a:noFill/>
          <a:miter lim="800000"/>
          <a:headEnd/>
          <a:tailEnd type="none" w="med" len="med"/>
        </a:ln>
        <a:effectLst/>
      </xdr:spPr>
    </xdr:pic>
    <xdr:clientData/>
  </xdr:oneCellAnchor>
  <xdr:oneCellAnchor>
    <xdr:from>
      <xdr:col>4</xdr:col>
      <xdr:colOff>826190</xdr:colOff>
      <xdr:row>236</xdr:row>
      <xdr:rowOff>80341</xdr:rowOff>
    </xdr:from>
    <xdr:ext cx="3455193" cy="622300"/>
    <xdr:pic>
      <xdr:nvPicPr>
        <xdr:cNvPr id="10" name="Picture 2">
          <a:extLst>
            <a:ext uri="{FF2B5EF4-FFF2-40B4-BE49-F238E27FC236}">
              <a16:creationId xmlns:a16="http://schemas.microsoft.com/office/drawing/2014/main" id="{00000000-0008-0000-0000-00000A000000}"/>
            </a:ext>
          </a:extLst>
        </xdr:cNvPr>
        <xdr:cNvPicPr>
          <a:picLocks noChangeAspect="1" noChangeArrowheads="1"/>
        </xdr:cNvPicPr>
      </xdr:nvPicPr>
      <xdr:blipFill>
        <a:blip xmlns:r="http://schemas.openxmlformats.org/officeDocument/2006/relationships" r:embed="rId2" cstate="print"/>
        <a:srcRect/>
        <a:stretch>
          <a:fillRect/>
        </a:stretch>
      </xdr:blipFill>
      <xdr:spPr bwMode="auto">
        <a:xfrm>
          <a:off x="3397940" y="45600316"/>
          <a:ext cx="3455193" cy="622300"/>
        </a:xfrm>
        <a:prstGeom prst="rect">
          <a:avLst/>
        </a:prstGeom>
        <a:noFill/>
        <a:ln w="1">
          <a:noFill/>
          <a:miter lim="800000"/>
          <a:headEnd/>
          <a:tailEnd type="none" w="med" len="med"/>
        </a:ln>
        <a:effectLst/>
      </xdr:spPr>
    </xdr:pic>
    <xdr:clientData/>
  </xdr:oneCellAnchor>
  <xdr:twoCellAnchor>
    <xdr:from>
      <xdr:col>3</xdr:col>
      <xdr:colOff>152401</xdr:colOff>
      <xdr:row>148</xdr:row>
      <xdr:rowOff>114300</xdr:rowOff>
    </xdr:from>
    <xdr:to>
      <xdr:col>5</xdr:col>
      <xdr:colOff>476251</xdr:colOff>
      <xdr:row>151</xdr:row>
      <xdr:rowOff>133350</xdr:rowOff>
    </xdr:to>
    <xdr:sp macro="" textlink="">
      <xdr:nvSpPr>
        <xdr:cNvPr id="11" name="Curved Up Arrow 3">
          <a:extLst>
            <a:ext uri="{FF2B5EF4-FFF2-40B4-BE49-F238E27FC236}">
              <a16:creationId xmlns:a16="http://schemas.microsoft.com/office/drawing/2014/main" id="{00000000-0008-0000-0000-00000B000000}"/>
            </a:ext>
          </a:extLst>
        </xdr:cNvPr>
        <xdr:cNvSpPr/>
      </xdr:nvSpPr>
      <xdr:spPr>
        <a:xfrm>
          <a:off x="2114551" y="28736925"/>
          <a:ext cx="2428875" cy="590550"/>
        </a:xfrm>
        <a:prstGeom prst="curvedUpArrow">
          <a:avLst>
            <a:gd name="adj1" fmla="val 22228"/>
            <a:gd name="adj2" fmla="val 50000"/>
            <a:gd name="adj3" fmla="val 25000"/>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solidFill>
                <a:schemeClr val="tx1"/>
              </a:solidFill>
            </a:rPr>
            <a:t>Names</a:t>
          </a:r>
          <a:r>
            <a:rPr lang="en-US" sz="1100" baseline="0">
              <a:solidFill>
                <a:schemeClr val="tx1"/>
              </a:solidFill>
            </a:rPr>
            <a:t> assigned</a:t>
          </a:r>
          <a:endParaRPr lang="en-US" sz="1100">
            <a:solidFill>
              <a:schemeClr val="tx1"/>
            </a:solidFill>
          </a:endParaRPr>
        </a:p>
      </xdr:txBody>
    </xdr:sp>
    <xdr:clientData/>
  </xdr:twoCellAnchor>
  <xdr:twoCellAnchor editAs="oneCell">
    <xdr:from>
      <xdr:col>7</xdr:col>
      <xdr:colOff>0</xdr:colOff>
      <xdr:row>5</xdr:row>
      <xdr:rowOff>0</xdr:rowOff>
    </xdr:from>
    <xdr:to>
      <xdr:col>15</xdr:col>
      <xdr:colOff>91450</xdr:colOff>
      <xdr:row>13</xdr:row>
      <xdr:rowOff>91443</xdr:rowOff>
    </xdr:to>
    <xdr:pic>
      <xdr:nvPicPr>
        <xdr:cNvPr id="5" name="Kép 4">
          <a:extLst>
            <a:ext uri="{FF2B5EF4-FFF2-40B4-BE49-F238E27FC236}">
              <a16:creationId xmlns:a16="http://schemas.microsoft.com/office/drawing/2014/main" id="{6F2CD2B4-59A3-9846-8E37-E68F7660D63B}"/>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7132320" y="1325880"/>
          <a:ext cx="4937770" cy="1554483"/>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1</xdr:col>
      <xdr:colOff>95251</xdr:colOff>
      <xdr:row>2</xdr:row>
      <xdr:rowOff>1</xdr:rowOff>
    </xdr:from>
    <xdr:to>
      <xdr:col>6</xdr:col>
      <xdr:colOff>452439</xdr:colOff>
      <xdr:row>18</xdr:row>
      <xdr:rowOff>58653</xdr:rowOff>
    </xdr:to>
    <xdr:pic>
      <xdr:nvPicPr>
        <xdr:cNvPr id="2" name="Picture 4">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04851" y="666751"/>
          <a:ext cx="3405188" cy="3106652"/>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absolute">
    <xdr:from>
      <xdr:col>0</xdr:col>
      <xdr:colOff>610235</xdr:colOff>
      <xdr:row>0</xdr:row>
      <xdr:rowOff>76835</xdr:rowOff>
    </xdr:from>
    <xdr:to>
      <xdr:col>1</xdr:col>
      <xdr:colOff>1360988</xdr:colOff>
      <xdr:row>0</xdr:row>
      <xdr:rowOff>590550</xdr:rowOff>
    </xdr:to>
    <xdr:sp macro="[0]!bt_checkusages" textlink="">
      <xdr:nvSpPr>
        <xdr:cNvPr id="2" name="bt_chkunused">
          <a:extLst>
            <a:ext uri="{FF2B5EF4-FFF2-40B4-BE49-F238E27FC236}">
              <a16:creationId xmlns:a16="http://schemas.microsoft.com/office/drawing/2014/main" id="{00000000-0008-0000-0200-000002000000}"/>
            </a:ext>
          </a:extLst>
        </xdr:cNvPr>
        <xdr:cNvSpPr/>
      </xdr:nvSpPr>
      <xdr:spPr>
        <a:xfrm>
          <a:off x="590550" y="57150"/>
          <a:ext cx="1438275" cy="531813"/>
        </a:xfrm>
        <a:prstGeom prst="roundRect">
          <a:avLst/>
        </a:prstGeom>
        <a:solidFill>
          <a:srgbClr val="FFFF00"/>
        </a:solidFill>
        <a:ln>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0"/>
        <a:lstStyle/>
        <a:p>
          <a:pPr algn="ctr"/>
          <a:r>
            <a:rPr lang="hu-HU" sz="1100">
              <a:solidFill>
                <a:schemeClr val="tx1"/>
              </a:solidFill>
            </a:rPr>
            <a:t>Check parameters</a:t>
          </a:r>
        </a:p>
      </xdr:txBody>
    </xdr:sp>
    <xdr:clientData/>
  </xdr:twoCellAnchor>
  <xdr:twoCellAnchor editAs="oneCell">
    <xdr:from>
      <xdr:col>10</xdr:col>
      <xdr:colOff>573665</xdr:colOff>
      <xdr:row>391</xdr:row>
      <xdr:rowOff>0</xdr:rowOff>
    </xdr:from>
    <xdr:to>
      <xdr:col>15</xdr:col>
      <xdr:colOff>1544542</xdr:colOff>
      <xdr:row>414</xdr:row>
      <xdr:rowOff>178828</xdr:rowOff>
    </xdr:to>
    <xdr:pic>
      <xdr:nvPicPr>
        <xdr:cNvPr id="3" name="Picture 2">
          <a:extLst>
            <a:ext uri="{FF2B5EF4-FFF2-40B4-BE49-F238E27FC236}">
              <a16:creationId xmlns:a16="http://schemas.microsoft.com/office/drawing/2014/main" id="{00000000-0008-0000-0200-000003000000}"/>
            </a:ext>
          </a:extLst>
        </xdr:cNvPr>
        <xdr:cNvPicPr>
          <a:picLocks noChangeAspect="1"/>
        </xdr:cNvPicPr>
      </xdr:nvPicPr>
      <xdr:blipFill>
        <a:blip xmlns:r="http://schemas.openxmlformats.org/officeDocument/2006/relationships" r:embed="rId1"/>
        <a:stretch>
          <a:fillRect/>
        </a:stretch>
      </xdr:blipFill>
      <xdr:spPr>
        <a:xfrm>
          <a:off x="21319489" y="76963599"/>
          <a:ext cx="7507641" cy="4940413"/>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absolute">
    <xdr:from>
      <xdr:col>1</xdr:col>
      <xdr:colOff>130439</xdr:colOff>
      <xdr:row>0</xdr:row>
      <xdr:rowOff>63500</xdr:rowOff>
    </xdr:from>
    <xdr:to>
      <xdr:col>3</xdr:col>
      <xdr:colOff>700958</xdr:colOff>
      <xdr:row>0</xdr:row>
      <xdr:rowOff>595313</xdr:rowOff>
    </xdr:to>
    <xdr:sp macro="[0]!bt_chkcont_click" textlink="">
      <xdr:nvSpPr>
        <xdr:cNvPr id="2" name="bt_chkcont">
          <a:extLst>
            <a:ext uri="{FF2B5EF4-FFF2-40B4-BE49-F238E27FC236}">
              <a16:creationId xmlns:a16="http://schemas.microsoft.com/office/drawing/2014/main" id="{00000000-0008-0000-0400-000002000000}"/>
            </a:ext>
          </a:extLst>
        </xdr:cNvPr>
        <xdr:cNvSpPr/>
      </xdr:nvSpPr>
      <xdr:spPr>
        <a:xfrm>
          <a:off x="339989" y="63500"/>
          <a:ext cx="1430338" cy="531813"/>
        </a:xfrm>
        <a:prstGeom prst="roundRect">
          <a:avLst/>
        </a:prstGeom>
        <a:solidFill>
          <a:srgbClr val="FFFF00"/>
        </a:solidFill>
        <a:ln>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0"/>
        <a:lstStyle/>
        <a:p>
          <a:pPr algn="ctr"/>
          <a:r>
            <a:rPr lang="hu-HU" sz="1100">
              <a:solidFill>
                <a:schemeClr val="tx1"/>
              </a:solidFill>
            </a:rPr>
            <a:t>Check Continuity </a:t>
          </a:r>
        </a:p>
        <a:p>
          <a:pPr algn="ctr"/>
          <a:r>
            <a:rPr lang="hu-HU" sz="1100">
              <a:solidFill>
                <a:schemeClr val="tx1"/>
              </a:solidFill>
            </a:rPr>
            <a:t>and Rates</a:t>
          </a:r>
        </a:p>
      </xdr:txBody>
    </xdr:sp>
    <xdr:clientData/>
  </xdr:twoCellAnchor>
  <xdr:twoCellAnchor editAs="absolute">
    <xdr:from>
      <xdr:col>3</xdr:col>
      <xdr:colOff>973804</xdr:colOff>
      <xdr:row>0</xdr:row>
      <xdr:rowOff>76200</xdr:rowOff>
    </xdr:from>
    <xdr:to>
      <xdr:col>3</xdr:col>
      <xdr:colOff>2454931</xdr:colOff>
      <xdr:row>0</xdr:row>
      <xdr:rowOff>608013</xdr:rowOff>
    </xdr:to>
    <xdr:sp macro="[0]!bt_chkcont_norates_click" textlink="">
      <xdr:nvSpPr>
        <xdr:cNvPr id="3" name="bt_chkcont">
          <a:extLst>
            <a:ext uri="{FF2B5EF4-FFF2-40B4-BE49-F238E27FC236}">
              <a16:creationId xmlns:a16="http://schemas.microsoft.com/office/drawing/2014/main" id="{00000000-0008-0000-0400-000003000000}"/>
            </a:ext>
          </a:extLst>
        </xdr:cNvPr>
        <xdr:cNvSpPr/>
      </xdr:nvSpPr>
      <xdr:spPr>
        <a:xfrm>
          <a:off x="2057400" y="76200"/>
          <a:ext cx="1437482" cy="531813"/>
        </a:xfrm>
        <a:prstGeom prst="roundRect">
          <a:avLst/>
        </a:prstGeom>
        <a:solidFill>
          <a:schemeClr val="bg1">
            <a:lumMod val="85000"/>
          </a:schemeClr>
        </a:solidFill>
        <a:ln>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0"/>
        <a:lstStyle/>
        <a:p>
          <a:pPr algn="ctr"/>
          <a:r>
            <a:rPr lang="hu-HU" sz="1100">
              <a:solidFill>
                <a:schemeClr val="tx1"/>
              </a:solidFill>
            </a:rPr>
            <a:t>Check Continuity </a:t>
          </a:r>
        </a:p>
        <a:p>
          <a:pPr algn="ctr"/>
          <a:r>
            <a:rPr lang="hu-HU" sz="1100">
              <a:solidFill>
                <a:schemeClr val="tx1"/>
              </a:solidFill>
            </a:rPr>
            <a:t>without Rates</a:t>
          </a:r>
        </a:p>
      </xdr:txBody>
    </xdr:sp>
    <xdr:clientData/>
  </xdr:twoCellAnchor>
</xdr:wsDr>
</file>

<file path=xl/drawings/drawing5.xml><?xml version="1.0" encoding="utf-8"?>
<xdr:wsDr xmlns:xdr="http://schemas.openxmlformats.org/drawingml/2006/spreadsheetDrawing" xmlns:a="http://schemas.openxmlformats.org/drawingml/2006/main">
  <xdr:twoCellAnchor editAs="absolute">
    <xdr:from>
      <xdr:col>0</xdr:col>
      <xdr:colOff>190500</xdr:colOff>
      <xdr:row>0</xdr:row>
      <xdr:rowOff>95250</xdr:rowOff>
    </xdr:from>
    <xdr:to>
      <xdr:col>2</xdr:col>
      <xdr:colOff>83007</xdr:colOff>
      <xdr:row>0</xdr:row>
      <xdr:rowOff>466725</xdr:rowOff>
    </xdr:to>
    <xdr:sp macro="[0]!bt_pewpph" textlink="">
      <xdr:nvSpPr>
        <xdr:cNvPr id="2" name="bt_prepph">
          <a:extLst>
            <a:ext uri="{FF2B5EF4-FFF2-40B4-BE49-F238E27FC236}">
              <a16:creationId xmlns:a16="http://schemas.microsoft.com/office/drawing/2014/main" id="{00000000-0008-0000-0500-000002000000}"/>
            </a:ext>
          </a:extLst>
        </xdr:cNvPr>
        <xdr:cNvSpPr/>
      </xdr:nvSpPr>
      <xdr:spPr>
        <a:xfrm>
          <a:off x="190500" y="95250"/>
          <a:ext cx="1485900" cy="371475"/>
        </a:xfrm>
        <a:prstGeom prst="roundRect">
          <a:avLst/>
        </a:prstGeom>
        <a:solidFill>
          <a:srgbClr val="00FF00"/>
        </a:solidFill>
        <a:ln>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0"/>
        <a:lstStyle/>
        <a:p>
          <a:pPr algn="ctr"/>
          <a:r>
            <a:rPr lang="hu-HU" sz="1100">
              <a:solidFill>
                <a:schemeClr val="tx1"/>
              </a:solidFill>
            </a:rPr>
            <a:t>Prepare pH Check</a:t>
          </a:r>
        </a:p>
      </xdr:txBody>
    </xdr:sp>
    <xdr:clientData/>
  </xdr:twoCellAnchor>
</xdr:wsDr>
</file>

<file path=xl/drawings/drawing6.xml><?xml version="1.0" encoding="utf-8"?>
<xdr:wsDr xmlns:xdr="http://schemas.openxmlformats.org/drawingml/2006/spreadsheetDrawing" xmlns:a="http://schemas.openxmlformats.org/drawingml/2006/main">
  <xdr:twoCellAnchor editAs="absolute">
    <xdr:from>
      <xdr:col>1</xdr:col>
      <xdr:colOff>0</xdr:colOff>
      <xdr:row>0</xdr:row>
      <xdr:rowOff>0</xdr:rowOff>
    </xdr:from>
    <xdr:to>
      <xdr:col>2</xdr:col>
      <xdr:colOff>1247775</xdr:colOff>
      <xdr:row>0</xdr:row>
      <xdr:rowOff>428625</xdr:rowOff>
    </xdr:to>
    <xdr:sp macro="[0]!bt_creqma_click" textlink="">
      <xdr:nvSpPr>
        <xdr:cNvPr id="2" name="bt_creqma">
          <a:extLst>
            <a:ext uri="{FF2B5EF4-FFF2-40B4-BE49-F238E27FC236}">
              <a16:creationId xmlns:a16="http://schemas.microsoft.com/office/drawing/2014/main" id="{00000000-0008-0000-0600-000002000000}"/>
            </a:ext>
          </a:extLst>
        </xdr:cNvPr>
        <xdr:cNvSpPr/>
      </xdr:nvSpPr>
      <xdr:spPr>
        <a:xfrm>
          <a:off x="609600" y="0"/>
          <a:ext cx="1857375" cy="428625"/>
        </a:xfrm>
        <a:prstGeom prst="roundRect">
          <a:avLst/>
        </a:prstGeom>
        <a:solidFill>
          <a:schemeClr val="bg1">
            <a:lumMod val="65000"/>
          </a:schemeClr>
        </a:solidFill>
        <a:ln>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0"/>
        <a:lstStyle/>
        <a:p>
          <a:pPr algn="ctr"/>
          <a:r>
            <a:rPr lang="hu-HU" sz="1100">
              <a:solidFill>
                <a:schemeClr val="tx1"/>
              </a:solidFill>
            </a:rPr>
            <a:t>Create Equilibrium Matrix</a:t>
          </a:r>
        </a:p>
      </xdr:txBody>
    </xdr:sp>
    <xdr:clientData/>
  </xdr:twoCellAnchor>
  <xdr:twoCellAnchor editAs="absolute">
    <xdr:from>
      <xdr:col>3</xdr:col>
      <xdr:colOff>0</xdr:colOff>
      <xdr:row>0</xdr:row>
      <xdr:rowOff>0</xdr:rowOff>
    </xdr:from>
    <xdr:to>
      <xdr:col>5</xdr:col>
      <xdr:colOff>200025</xdr:colOff>
      <xdr:row>0</xdr:row>
      <xdr:rowOff>400050</xdr:rowOff>
    </xdr:to>
    <xdr:sp macro="[0]!bt_chksp_click" textlink="">
      <xdr:nvSpPr>
        <xdr:cNvPr id="3" name="bt_chksp">
          <a:extLst>
            <a:ext uri="{FF2B5EF4-FFF2-40B4-BE49-F238E27FC236}">
              <a16:creationId xmlns:a16="http://schemas.microsoft.com/office/drawing/2014/main" id="{00000000-0008-0000-0600-000003000000}"/>
            </a:ext>
          </a:extLst>
        </xdr:cNvPr>
        <xdr:cNvSpPr/>
      </xdr:nvSpPr>
      <xdr:spPr>
        <a:xfrm>
          <a:off x="2876550" y="0"/>
          <a:ext cx="1609725" cy="400050"/>
        </a:xfrm>
        <a:prstGeom prst="roundRect">
          <a:avLst/>
        </a:prstGeom>
        <a:solidFill>
          <a:srgbClr val="00FF00"/>
        </a:solidFill>
        <a:ln>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0"/>
        <a:lstStyle/>
        <a:p>
          <a:pPr algn="ctr"/>
          <a:r>
            <a:rPr lang="hu-HU" sz="1100">
              <a:solidFill>
                <a:schemeClr val="tx1"/>
              </a:solidFill>
            </a:rPr>
            <a:t>Check Species</a:t>
          </a:r>
        </a:p>
      </xdr:txBody>
    </xdr:sp>
    <xdr:clientData/>
  </xdr:twoCellAnchor>
</xdr:wsDr>
</file>

<file path=xl/drawings/drawing7.xml><?xml version="1.0" encoding="utf-8"?>
<xdr:wsDr xmlns:xdr="http://schemas.openxmlformats.org/drawingml/2006/spreadsheetDrawing" xmlns:a="http://schemas.openxmlformats.org/drawingml/2006/main">
  <xdr:twoCellAnchor editAs="absolute">
    <xdr:from>
      <xdr:col>0</xdr:col>
      <xdr:colOff>152400</xdr:colOff>
      <xdr:row>0</xdr:row>
      <xdr:rowOff>85725</xdr:rowOff>
    </xdr:from>
    <xdr:to>
      <xdr:col>1</xdr:col>
      <xdr:colOff>1092993</xdr:colOff>
      <xdr:row>0</xdr:row>
      <xdr:rowOff>523875</xdr:rowOff>
    </xdr:to>
    <xdr:sp macro="[0]!bt_crkinma_click" textlink="">
      <xdr:nvSpPr>
        <xdr:cNvPr id="2" name="bt_crkinma">
          <a:extLst>
            <a:ext uri="{FF2B5EF4-FFF2-40B4-BE49-F238E27FC236}">
              <a16:creationId xmlns:a16="http://schemas.microsoft.com/office/drawing/2014/main" id="{00000000-0008-0000-0800-000002000000}"/>
            </a:ext>
          </a:extLst>
        </xdr:cNvPr>
        <xdr:cNvSpPr/>
      </xdr:nvSpPr>
      <xdr:spPr>
        <a:xfrm>
          <a:off x="152400" y="85725"/>
          <a:ext cx="1485900" cy="438150"/>
        </a:xfrm>
        <a:prstGeom prst="roundRect">
          <a:avLst/>
        </a:prstGeom>
        <a:solidFill>
          <a:schemeClr val="bg1">
            <a:lumMod val="65000"/>
          </a:schemeClr>
        </a:solidFill>
        <a:ln>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0"/>
        <a:lstStyle/>
        <a:p>
          <a:pPr algn="ctr"/>
          <a:r>
            <a:rPr lang="hu-HU" sz="1100">
              <a:solidFill>
                <a:schemeClr val="tx1"/>
              </a:solidFill>
            </a:rPr>
            <a:t>Create Kinetic Matrix</a:t>
          </a:r>
        </a:p>
      </xdr:txBody>
    </xdr:sp>
    <xdr:clientData/>
  </xdr:twoCellAnchor>
  <xdr:twoCellAnchor editAs="absolute">
    <xdr:from>
      <xdr:col>2</xdr:col>
      <xdr:colOff>79863</xdr:colOff>
      <xdr:row>0</xdr:row>
      <xdr:rowOff>95250</xdr:rowOff>
    </xdr:from>
    <xdr:to>
      <xdr:col>2</xdr:col>
      <xdr:colOff>1657350</xdr:colOff>
      <xdr:row>0</xdr:row>
      <xdr:rowOff>523875</xdr:rowOff>
    </xdr:to>
    <xdr:sp macro="[0]!bt_chkst_click" textlink="">
      <xdr:nvSpPr>
        <xdr:cNvPr id="3" name="bt_chkst">
          <a:extLst>
            <a:ext uri="{FF2B5EF4-FFF2-40B4-BE49-F238E27FC236}">
              <a16:creationId xmlns:a16="http://schemas.microsoft.com/office/drawing/2014/main" id="{00000000-0008-0000-0800-000003000000}"/>
            </a:ext>
          </a:extLst>
        </xdr:cNvPr>
        <xdr:cNvSpPr/>
      </xdr:nvSpPr>
      <xdr:spPr>
        <a:xfrm>
          <a:off x="1771650" y="95250"/>
          <a:ext cx="1581150" cy="428625"/>
        </a:xfrm>
        <a:prstGeom prst="roundRect">
          <a:avLst/>
        </a:prstGeom>
        <a:solidFill>
          <a:srgbClr val="00FF00"/>
        </a:solidFill>
        <a:ln>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0"/>
        <a:lstStyle/>
        <a:p>
          <a:pPr algn="ctr"/>
          <a:r>
            <a:rPr lang="hu-HU" sz="1100">
              <a:solidFill>
                <a:schemeClr val="tx1"/>
              </a:solidFill>
            </a:rPr>
            <a:t>Check Components</a:t>
          </a:r>
        </a:p>
      </xdr:txBody>
    </xdr:sp>
    <xdr:clientData/>
  </xdr:twoCellAnchor>
</xdr:wsDr>
</file>

<file path=xl/drawings/drawing8.xml><?xml version="1.0" encoding="utf-8"?>
<xdr:wsDr xmlns:xdr="http://schemas.openxmlformats.org/drawingml/2006/spreadsheetDrawing" xmlns:a="http://schemas.openxmlformats.org/drawingml/2006/main">
  <xdr:twoCellAnchor editAs="absolute">
    <xdr:from>
      <xdr:col>0</xdr:col>
      <xdr:colOff>104776</xdr:colOff>
      <xdr:row>0</xdr:row>
      <xdr:rowOff>142875</xdr:rowOff>
    </xdr:from>
    <xdr:to>
      <xdr:col>1</xdr:col>
      <xdr:colOff>428626</xdr:colOff>
      <xdr:row>0</xdr:row>
      <xdr:rowOff>600075</xdr:rowOff>
    </xdr:to>
    <xdr:sp macro="[0]!bt_chkalg_click" textlink="">
      <xdr:nvSpPr>
        <xdr:cNvPr id="3" name="bt_chkalg">
          <a:extLst>
            <a:ext uri="{FF2B5EF4-FFF2-40B4-BE49-F238E27FC236}">
              <a16:creationId xmlns:a16="http://schemas.microsoft.com/office/drawing/2014/main" id="{00000000-0008-0000-0900-000003000000}"/>
            </a:ext>
          </a:extLst>
        </xdr:cNvPr>
        <xdr:cNvSpPr/>
      </xdr:nvSpPr>
      <xdr:spPr>
        <a:xfrm>
          <a:off x="104776" y="142875"/>
          <a:ext cx="1447800" cy="457200"/>
        </a:xfrm>
        <a:prstGeom prst="roundRect">
          <a:avLst/>
        </a:prstGeom>
        <a:solidFill>
          <a:srgbClr val="C0C0C0"/>
        </a:solidFill>
        <a:ln>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0"/>
        <a:lstStyle/>
        <a:p>
          <a:pPr algn="ctr"/>
          <a:r>
            <a:rPr lang="hu-HU" sz="1100">
              <a:solidFill>
                <a:schemeClr val="tx1"/>
              </a:solidFill>
            </a:rPr>
            <a:t>Check Expressions</a:t>
          </a:r>
        </a:p>
      </xdr:txBody>
    </xdr:sp>
    <xdr:clientData/>
  </xdr:twoCellAnchor>
</xdr:wsDr>
</file>

<file path=xl/drawings/drawing9.xml><?xml version="1.0" encoding="utf-8"?>
<xdr:wsDr xmlns:xdr="http://schemas.openxmlformats.org/drawingml/2006/spreadsheetDrawing" xmlns:a="http://schemas.openxmlformats.org/drawingml/2006/main">
  <xdr:twoCellAnchor editAs="absolute">
    <xdr:from>
      <xdr:col>0</xdr:col>
      <xdr:colOff>228600</xdr:colOff>
      <xdr:row>0</xdr:row>
      <xdr:rowOff>191452</xdr:rowOff>
    </xdr:from>
    <xdr:to>
      <xdr:col>1</xdr:col>
      <xdr:colOff>1487679</xdr:colOff>
      <xdr:row>0</xdr:row>
      <xdr:rowOff>572452</xdr:rowOff>
    </xdr:to>
    <xdr:sp macro="[0]!bt_calcvar" textlink="">
      <xdr:nvSpPr>
        <xdr:cNvPr id="2" name="bt_calc">
          <a:extLst>
            <a:ext uri="{FF2B5EF4-FFF2-40B4-BE49-F238E27FC236}">
              <a16:creationId xmlns:a16="http://schemas.microsoft.com/office/drawing/2014/main" id="{00000000-0008-0000-0B00-000002000000}"/>
            </a:ext>
          </a:extLst>
        </xdr:cNvPr>
        <xdr:cNvSpPr/>
      </xdr:nvSpPr>
      <xdr:spPr>
        <a:xfrm>
          <a:off x="228600" y="180975"/>
          <a:ext cx="1485900" cy="371475"/>
        </a:xfrm>
        <a:prstGeom prst="roundRect">
          <a:avLst/>
        </a:prstGeom>
        <a:solidFill>
          <a:srgbClr val="00FF00"/>
        </a:solidFill>
        <a:ln>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0"/>
        <a:lstStyle/>
        <a:p>
          <a:pPr algn="ctr"/>
          <a:r>
            <a:rPr lang="hu-HU" sz="1100">
              <a:solidFill>
                <a:schemeClr val="tx1"/>
              </a:solidFill>
            </a:rPr>
            <a:t>Calculate</a:t>
          </a:r>
        </a:p>
      </xdr:txBody>
    </xdr:sp>
    <xdr:clientData/>
  </xdr:twoCellAnchor>
</xdr:wsDr>
</file>

<file path=xl/drawings/drawing10.xml><?xml version="1.0" encoding="utf-8"?>
<xdr:wsDr xmlns:xdr="http://schemas.openxmlformats.org/drawingml/2006/spreadsheetDrawing" xmlns:a="http://schemas.openxmlformats.org/drawingml/2006/main">
  <xdr:twoCellAnchor editAs="absolute">
    <xdr:from>
      <xdr:col>0</xdr:col>
      <xdr:colOff>152400</xdr:colOff>
      <xdr:row>0</xdr:row>
      <xdr:rowOff>123824</xdr:rowOff>
    </xdr:from>
    <xdr:to>
      <xdr:col>1</xdr:col>
      <xdr:colOff>1028700</xdr:colOff>
      <xdr:row>0</xdr:row>
      <xdr:rowOff>628649</xdr:rowOff>
    </xdr:to>
    <xdr:sp macro="[0]!CreateFunctions" textlink="">
      <xdr:nvSpPr>
        <xdr:cNvPr id="2" name="bt_crfunc">
          <a:extLst>
            <a:ext uri="{FF2B5EF4-FFF2-40B4-BE49-F238E27FC236}">
              <a16:creationId xmlns:a16="http://schemas.microsoft.com/office/drawing/2014/main" id="{00000000-0008-0000-0C00-000002000000}"/>
            </a:ext>
          </a:extLst>
        </xdr:cNvPr>
        <xdr:cNvSpPr/>
      </xdr:nvSpPr>
      <xdr:spPr>
        <a:xfrm>
          <a:off x="152400" y="123824"/>
          <a:ext cx="1485900" cy="504825"/>
        </a:xfrm>
        <a:prstGeom prst="roundRect">
          <a:avLst/>
        </a:prstGeom>
        <a:solidFill>
          <a:srgbClr val="00FF00"/>
        </a:solidFill>
        <a:ln>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0"/>
        <a:lstStyle/>
        <a:p>
          <a:pPr algn="ctr"/>
          <a:r>
            <a:rPr lang="hu-HU" sz="1100">
              <a:solidFill>
                <a:schemeClr val="tx1"/>
              </a:solidFill>
            </a:rPr>
            <a:t>Check Functions</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2</xdr:col>
      <xdr:colOff>647700</xdr:colOff>
      <xdr:row>5</xdr:row>
      <xdr:rowOff>161925</xdr:rowOff>
    </xdr:from>
    <xdr:to>
      <xdr:col>5</xdr:col>
      <xdr:colOff>304800</xdr:colOff>
      <xdr:row>7</xdr:row>
      <xdr:rowOff>142875</xdr:rowOff>
    </xdr:to>
    <xdr:sp macro="[0]!ThisWorkbook.ShowAllSheets" textlink="">
      <xdr:nvSpPr>
        <xdr:cNvPr id="2" name="bt_colchange">
          <a:extLst>
            <a:ext uri="{FF2B5EF4-FFF2-40B4-BE49-F238E27FC236}">
              <a16:creationId xmlns:a16="http://schemas.microsoft.com/office/drawing/2014/main" id="{00000000-0008-0000-0E00-000002000000}"/>
            </a:ext>
          </a:extLst>
        </xdr:cNvPr>
        <xdr:cNvSpPr/>
      </xdr:nvSpPr>
      <xdr:spPr>
        <a:xfrm>
          <a:off x="2352675" y="1123950"/>
          <a:ext cx="2943225" cy="361950"/>
        </a:xfrm>
        <a:prstGeom prst="roundRect">
          <a:avLst/>
        </a:prstGeom>
        <a:gradFill flip="none" rotWithShape="1">
          <a:gsLst>
            <a:gs pos="0">
              <a:srgbClr val="498787"/>
            </a:gs>
            <a:gs pos="100000">
              <a:srgbClr val="499687"/>
            </a:gs>
          </a:gsLst>
          <a:lin ang="0" scaled="1"/>
          <a:tileRect/>
        </a:gradFill>
        <a:ln>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hu-HU" sz="1100" baseline="0">
              <a:solidFill>
                <a:sysClr val="windowText" lastClr="000000"/>
              </a:solidFill>
            </a:rPr>
            <a:t>Continue</a:t>
          </a:r>
        </a:p>
      </xdr:txBody>
    </xdr:sp>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www.dynamita.com/" TargetMode="Externa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8.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9.bin"/></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7.xml.rels><?xml version="1.0" encoding="UTF-8" standalone="yes"?>
<Relationships xmlns="http://schemas.openxmlformats.org/package/2006/relationships"><Relationship Id="rId13" Type="http://schemas.openxmlformats.org/officeDocument/2006/relationships/hyperlink" Target="http://www.cplusplus.com/reference/cmath/log/" TargetMode="External"/><Relationship Id="rId18" Type="http://schemas.openxmlformats.org/officeDocument/2006/relationships/hyperlink" Target="http://www.cplusplus.com/reference/cmath/floor/" TargetMode="External"/><Relationship Id="rId26" Type="http://schemas.openxmlformats.org/officeDocument/2006/relationships/hyperlink" Target="http://www.cplusplus.com/reference/cmath/atan2/" TargetMode="External"/><Relationship Id="rId39" Type="http://schemas.openxmlformats.org/officeDocument/2006/relationships/printerSettings" Target="../printerSettings/printerSettings10.bin"/><Relationship Id="rId21" Type="http://schemas.openxmlformats.org/officeDocument/2006/relationships/hyperlink" Target="http://www.cplusplus.com/reference/cmath/sin/" TargetMode="External"/><Relationship Id="rId34" Type="http://schemas.openxmlformats.org/officeDocument/2006/relationships/hyperlink" Target="http://www.cplusplus.com/reference/cmath/sqrt/" TargetMode="External"/><Relationship Id="rId7" Type="http://schemas.openxmlformats.org/officeDocument/2006/relationships/hyperlink" Target="http://www.cplusplus.com/reference/cmath/atan2/" TargetMode="External"/><Relationship Id="rId12" Type="http://schemas.openxmlformats.org/officeDocument/2006/relationships/hyperlink" Target="http://www.cplusplus.com/reference/cmath/ldexp/" TargetMode="External"/><Relationship Id="rId17" Type="http://schemas.openxmlformats.org/officeDocument/2006/relationships/hyperlink" Target="http://www.cplusplus.com/reference/cmath/fabs/" TargetMode="External"/><Relationship Id="rId25" Type="http://schemas.openxmlformats.org/officeDocument/2006/relationships/hyperlink" Target="http://www.cplusplus.com/reference/cmath/atan/" TargetMode="External"/><Relationship Id="rId33" Type="http://schemas.openxmlformats.org/officeDocument/2006/relationships/hyperlink" Target="http://www.cplusplus.com/reference/cmath/log10/" TargetMode="External"/><Relationship Id="rId38" Type="http://schemas.openxmlformats.org/officeDocument/2006/relationships/hyperlink" Target="http://www.cplusplus.com/reference/cmath/fmod/" TargetMode="External"/><Relationship Id="rId2" Type="http://schemas.openxmlformats.org/officeDocument/2006/relationships/hyperlink" Target="http://www.cplusplus.com/reference/cmath/sin/" TargetMode="External"/><Relationship Id="rId16" Type="http://schemas.openxmlformats.org/officeDocument/2006/relationships/hyperlink" Target="http://www.cplusplus.com/reference/cmath/ceil/" TargetMode="External"/><Relationship Id="rId20" Type="http://schemas.openxmlformats.org/officeDocument/2006/relationships/hyperlink" Target="http://www.cplusplus.com/reference/cmath/cos/" TargetMode="External"/><Relationship Id="rId29" Type="http://schemas.openxmlformats.org/officeDocument/2006/relationships/hyperlink" Target="http://www.cplusplus.com/reference/cmath/tanh/" TargetMode="External"/><Relationship Id="rId1" Type="http://schemas.openxmlformats.org/officeDocument/2006/relationships/hyperlink" Target="http://www.cplusplus.com/reference/cmath/cos/" TargetMode="External"/><Relationship Id="rId6" Type="http://schemas.openxmlformats.org/officeDocument/2006/relationships/hyperlink" Target="http://www.cplusplus.com/reference/cmath/atan/" TargetMode="External"/><Relationship Id="rId11" Type="http://schemas.openxmlformats.org/officeDocument/2006/relationships/hyperlink" Target="http://www.cplusplus.com/reference/cmath/exp/" TargetMode="External"/><Relationship Id="rId24" Type="http://schemas.openxmlformats.org/officeDocument/2006/relationships/hyperlink" Target="http://www.cplusplus.com/reference/cmath/asin/" TargetMode="External"/><Relationship Id="rId32" Type="http://schemas.openxmlformats.org/officeDocument/2006/relationships/hyperlink" Target="http://www.cplusplus.com/reference/cmath/log/" TargetMode="External"/><Relationship Id="rId37" Type="http://schemas.openxmlformats.org/officeDocument/2006/relationships/hyperlink" Target="http://www.cplusplus.com/reference/cmath/floor/" TargetMode="External"/><Relationship Id="rId5" Type="http://schemas.openxmlformats.org/officeDocument/2006/relationships/hyperlink" Target="http://www.cplusplus.com/reference/cmath/asin/" TargetMode="External"/><Relationship Id="rId15" Type="http://schemas.openxmlformats.org/officeDocument/2006/relationships/hyperlink" Target="http://www.cplusplus.com/reference/cmath/sqrt/" TargetMode="External"/><Relationship Id="rId23" Type="http://schemas.openxmlformats.org/officeDocument/2006/relationships/hyperlink" Target="http://www.cplusplus.com/reference/cmath/acos/" TargetMode="External"/><Relationship Id="rId28" Type="http://schemas.openxmlformats.org/officeDocument/2006/relationships/hyperlink" Target="http://www.cplusplus.com/reference/cmath/sinh/" TargetMode="External"/><Relationship Id="rId36" Type="http://schemas.openxmlformats.org/officeDocument/2006/relationships/hyperlink" Target="http://www.cplusplus.com/reference/cmath/fabs/" TargetMode="External"/><Relationship Id="rId10" Type="http://schemas.openxmlformats.org/officeDocument/2006/relationships/hyperlink" Target="http://www.cplusplus.com/reference/cmath/tanh/" TargetMode="External"/><Relationship Id="rId19" Type="http://schemas.openxmlformats.org/officeDocument/2006/relationships/hyperlink" Target="http://www.cplusplus.com/reference/cmath/fmod/" TargetMode="External"/><Relationship Id="rId31" Type="http://schemas.openxmlformats.org/officeDocument/2006/relationships/hyperlink" Target="http://www.cplusplus.com/reference/cmath/ldexp/" TargetMode="External"/><Relationship Id="rId4" Type="http://schemas.openxmlformats.org/officeDocument/2006/relationships/hyperlink" Target="http://www.cplusplus.com/reference/cmath/acos/" TargetMode="External"/><Relationship Id="rId9" Type="http://schemas.openxmlformats.org/officeDocument/2006/relationships/hyperlink" Target="http://www.cplusplus.com/reference/cmath/sinh/" TargetMode="External"/><Relationship Id="rId14" Type="http://schemas.openxmlformats.org/officeDocument/2006/relationships/hyperlink" Target="http://www.cplusplus.com/reference/cmath/log10/" TargetMode="External"/><Relationship Id="rId22" Type="http://schemas.openxmlformats.org/officeDocument/2006/relationships/hyperlink" Target="http://www.cplusplus.com/reference/cmath/tan/" TargetMode="External"/><Relationship Id="rId27" Type="http://schemas.openxmlformats.org/officeDocument/2006/relationships/hyperlink" Target="http://www.cplusplus.com/reference/cmath/cosh/" TargetMode="External"/><Relationship Id="rId30" Type="http://schemas.openxmlformats.org/officeDocument/2006/relationships/hyperlink" Target="http://www.cplusplus.com/reference/cmath/exp/" TargetMode="External"/><Relationship Id="rId35" Type="http://schemas.openxmlformats.org/officeDocument/2006/relationships/hyperlink" Target="http://www.cplusplus.com/reference/cmath/ceil/" TargetMode="External"/><Relationship Id="rId8" Type="http://schemas.openxmlformats.org/officeDocument/2006/relationships/hyperlink" Target="http://www.cplusplus.com/reference/cmath/cosh/" TargetMode="External"/><Relationship Id="rId3" Type="http://schemas.openxmlformats.org/officeDocument/2006/relationships/hyperlink" Target="http://www.cplusplus.com/reference/cmath/tan/" TargetMode="External"/></Relationships>
</file>

<file path=xl/worksheets/_rels/sheet18.xml.rels><?xml version="1.0" encoding="UTF-8" standalone="yes"?>
<Relationships xmlns="http://schemas.openxmlformats.org/package/2006/relationships"><Relationship Id="rId8" Type="http://schemas.openxmlformats.org/officeDocument/2006/relationships/hyperlink" Target="http://webbook.nist.gov/cgi/cbook.cgi?Formula=CH4&amp;NoIon=on&amp;Units=SI&amp;cSO=on" TargetMode="External"/><Relationship Id="rId3" Type="http://schemas.openxmlformats.org/officeDocument/2006/relationships/hyperlink" Target="http://webbook.nist.gov/cgi/cbook.cgi?Formula=H2S&amp;NoIon=on&amp;Units=SI&amp;cSO=on" TargetMode="External"/><Relationship Id="rId7" Type="http://schemas.openxmlformats.org/officeDocument/2006/relationships/hyperlink" Target="http://webbook.nist.gov/cgi/cbook.cgi?Formula=CH4&amp;NoIon=on&amp;Units=SI&amp;cSO=on" TargetMode="External"/><Relationship Id="rId2" Type="http://schemas.openxmlformats.org/officeDocument/2006/relationships/hyperlink" Target="http://webbook.nist.gov/cgi/cbook.cgi?Formula=NH3&amp;NoIon=on&amp;Units=SI&amp;cSO=on" TargetMode="External"/><Relationship Id="rId1" Type="http://schemas.openxmlformats.org/officeDocument/2006/relationships/hyperlink" Target="http://webbook.nist.gov/cgi/cbook.cgi?Formula=NH3&amp;NoIon=on&amp;Units=SI&amp;cSO=on" TargetMode="External"/><Relationship Id="rId6" Type="http://schemas.openxmlformats.org/officeDocument/2006/relationships/hyperlink" Target="http://webbook.nist.gov/cgi/cbook.cgi?Formula=H2&amp;NoIon=on&amp;Units=SI&amp;cSO=on" TargetMode="External"/><Relationship Id="rId11" Type="http://schemas.openxmlformats.org/officeDocument/2006/relationships/printerSettings" Target="../printerSettings/printerSettings11.bin"/><Relationship Id="rId5" Type="http://schemas.openxmlformats.org/officeDocument/2006/relationships/hyperlink" Target="http://webbook.nist.gov/cgi/cbook.cgi?Formula=H2&amp;NoIon=on&amp;Units=SI&amp;cSO=on" TargetMode="External"/><Relationship Id="rId10" Type="http://schemas.openxmlformats.org/officeDocument/2006/relationships/hyperlink" Target="http://webbook.nist.gov/cgi/cbook.cgi?ID=C124389&amp;Mask=10" TargetMode="External"/><Relationship Id="rId4" Type="http://schemas.openxmlformats.org/officeDocument/2006/relationships/hyperlink" Target="http://webbook.nist.gov/cgi/cbook.cgi?Formula=H2S&amp;NoIon=on&amp;Units=SI&amp;cSO=on" TargetMode="External"/><Relationship Id="rId9" Type="http://schemas.openxmlformats.org/officeDocument/2006/relationships/hyperlink" Target="http://www.vias.org/genchem/standard_enthalpies_table.html" TargetMode="Externa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Munka22"/>
  <dimension ref="A1:L260"/>
  <sheetViews>
    <sheetView showGridLines="0" tabSelected="1" zoomScaleNormal="100" workbookViewId="0"/>
  </sheetViews>
  <sheetFormatPr baseColWidth="10" defaultColWidth="9.28515625" defaultRowHeight="15" x14ac:dyDescent="0.25"/>
  <cols>
    <col min="1" max="1" width="3.7109375" customWidth="1"/>
    <col min="2" max="2" width="13.28515625" customWidth="1"/>
    <col min="3" max="3" width="12.28515625" customWidth="1"/>
    <col min="5" max="5" width="25.28515625" customWidth="1"/>
    <col min="6" max="6" width="26.28515625" customWidth="1"/>
    <col min="7" max="7" width="13.28515625" customWidth="1"/>
    <col min="14" max="14" width="5.28515625" customWidth="1"/>
  </cols>
  <sheetData>
    <row r="1" spans="1:8" s="47" customFormat="1" ht="47.25" customHeight="1" x14ac:dyDescent="0.25">
      <c r="A1" s="47" t="s">
        <v>1218</v>
      </c>
    </row>
    <row r="3" spans="1:8" x14ac:dyDescent="0.25">
      <c r="B3" s="52" t="s">
        <v>153</v>
      </c>
      <c r="C3" s="1" t="s">
        <v>3042</v>
      </c>
      <c r="D3" t="s">
        <v>3570</v>
      </c>
    </row>
    <row r="4" spans="1:8" x14ac:dyDescent="0.25">
      <c r="B4" s="120"/>
      <c r="C4" s="1"/>
      <c r="D4" s="123" t="s">
        <v>3043</v>
      </c>
    </row>
    <row r="5" spans="1:8" x14ac:dyDescent="0.25">
      <c r="D5" t="s">
        <v>220</v>
      </c>
    </row>
    <row r="6" spans="1:8" x14ac:dyDescent="0.25">
      <c r="D6" t="s">
        <v>221</v>
      </c>
    </row>
    <row r="7" spans="1:8" x14ac:dyDescent="0.25">
      <c r="D7" t="s">
        <v>3189</v>
      </c>
    </row>
    <row r="8" spans="1:8" x14ac:dyDescent="0.25">
      <c r="D8" t="s">
        <v>222</v>
      </c>
    </row>
    <row r="9" spans="1:8" x14ac:dyDescent="0.25">
      <c r="D9" t="s">
        <v>3188</v>
      </c>
    </row>
    <row r="10" spans="1:8" x14ac:dyDescent="0.25">
      <c r="D10" t="s">
        <v>3952</v>
      </c>
    </row>
    <row r="11" spans="1:8" x14ac:dyDescent="0.25">
      <c r="D11" t="s">
        <v>283</v>
      </c>
    </row>
    <row r="12" spans="1:8" x14ac:dyDescent="0.25">
      <c r="D12" t="s">
        <v>1627</v>
      </c>
    </row>
    <row r="13" spans="1:8" x14ac:dyDescent="0.25">
      <c r="D13" t="s">
        <v>285</v>
      </c>
    </row>
    <row r="14" spans="1:8" x14ac:dyDescent="0.25">
      <c r="D14" t="s">
        <v>286</v>
      </c>
    </row>
    <row r="15" spans="1:8" x14ac:dyDescent="0.25">
      <c r="D15" t="s">
        <v>2092</v>
      </c>
      <c r="H15" s="1437" t="s">
        <v>1167</v>
      </c>
    </row>
    <row r="16" spans="1:8" x14ac:dyDescent="0.25">
      <c r="D16" t="s">
        <v>3190</v>
      </c>
    </row>
    <row r="17" spans="1:10" x14ac:dyDescent="0.25">
      <c r="D17" t="s">
        <v>3576</v>
      </c>
    </row>
    <row r="19" spans="1:10" x14ac:dyDescent="0.25">
      <c r="B19" s="52" t="s">
        <v>27</v>
      </c>
      <c r="C19" s="53"/>
      <c r="H19" s="52" t="s">
        <v>212</v>
      </c>
      <c r="I19" s="53"/>
      <c r="J19" s="53"/>
    </row>
    <row r="20" spans="1:10" x14ac:dyDescent="0.25">
      <c r="A20" s="120" t="s">
        <v>1898</v>
      </c>
      <c r="H20">
        <v>1</v>
      </c>
      <c r="I20" t="s">
        <v>213</v>
      </c>
    </row>
    <row r="21" spans="1:10" x14ac:dyDescent="0.25">
      <c r="A21">
        <v>1</v>
      </c>
      <c r="B21" t="s">
        <v>1899</v>
      </c>
      <c r="H21">
        <v>2</v>
      </c>
      <c r="I21" t="s">
        <v>3793</v>
      </c>
    </row>
    <row r="22" spans="1:10" x14ac:dyDescent="0.25">
      <c r="A22">
        <v>2</v>
      </c>
      <c r="B22" t="s">
        <v>1900</v>
      </c>
    </row>
    <row r="23" spans="1:10" x14ac:dyDescent="0.25">
      <c r="B23">
        <v>1</v>
      </c>
      <c r="C23" t="s">
        <v>1901</v>
      </c>
    </row>
    <row r="24" spans="1:10" x14ac:dyDescent="0.25">
      <c r="B24">
        <v>2</v>
      </c>
      <c r="C24" t="s">
        <v>1902</v>
      </c>
    </row>
    <row r="25" spans="1:10" x14ac:dyDescent="0.25">
      <c r="B25">
        <v>3</v>
      </c>
      <c r="C25" t="s">
        <v>1903</v>
      </c>
    </row>
    <row r="26" spans="1:10" x14ac:dyDescent="0.25">
      <c r="B26">
        <v>4</v>
      </c>
      <c r="C26" t="s">
        <v>1904</v>
      </c>
    </row>
    <row r="27" spans="1:10" x14ac:dyDescent="0.25">
      <c r="B27">
        <v>5</v>
      </c>
      <c r="C27" t="s">
        <v>1905</v>
      </c>
    </row>
    <row r="28" spans="1:10" x14ac:dyDescent="0.25">
      <c r="A28">
        <v>3</v>
      </c>
      <c r="B28" t="s">
        <v>1906</v>
      </c>
    </row>
    <row r="29" spans="1:10" x14ac:dyDescent="0.25">
      <c r="C29" t="s">
        <v>1907</v>
      </c>
    </row>
    <row r="31" spans="1:10" x14ac:dyDescent="0.25">
      <c r="A31" s="1" t="s">
        <v>28</v>
      </c>
      <c r="B31" s="1" t="s">
        <v>29</v>
      </c>
    </row>
    <row r="32" spans="1:10" x14ac:dyDescent="0.25">
      <c r="B32">
        <v>1</v>
      </c>
      <c r="C32" t="s">
        <v>796</v>
      </c>
    </row>
    <row r="33" spans="2:5" x14ac:dyDescent="0.25">
      <c r="D33" t="s">
        <v>30</v>
      </c>
    </row>
    <row r="34" spans="2:5" x14ac:dyDescent="0.25">
      <c r="D34">
        <v>1</v>
      </c>
      <c r="E34" t="s">
        <v>31</v>
      </c>
    </row>
    <row r="35" spans="2:5" x14ac:dyDescent="0.25">
      <c r="D35">
        <v>2</v>
      </c>
      <c r="E35" t="s">
        <v>101</v>
      </c>
    </row>
    <row r="36" spans="2:5" x14ac:dyDescent="0.25">
      <c r="D36">
        <v>3</v>
      </c>
      <c r="E36" t="s">
        <v>154</v>
      </c>
    </row>
    <row r="37" spans="2:5" x14ac:dyDescent="0.25">
      <c r="D37">
        <v>4</v>
      </c>
      <c r="E37" t="s">
        <v>33</v>
      </c>
    </row>
    <row r="38" spans="2:5" x14ac:dyDescent="0.25">
      <c r="B38">
        <v>2</v>
      </c>
      <c r="C38" t="s">
        <v>797</v>
      </c>
    </row>
    <row r="39" spans="2:5" x14ac:dyDescent="0.25">
      <c r="D39">
        <v>1</v>
      </c>
      <c r="E39" t="s">
        <v>34</v>
      </c>
    </row>
    <row r="40" spans="2:5" x14ac:dyDescent="0.25">
      <c r="D40">
        <v>2</v>
      </c>
      <c r="E40" t="s">
        <v>155</v>
      </c>
    </row>
    <row r="41" spans="2:5" x14ac:dyDescent="0.25">
      <c r="D41">
        <v>3</v>
      </c>
      <c r="E41" t="s">
        <v>156</v>
      </c>
    </row>
    <row r="42" spans="2:5" x14ac:dyDescent="0.25">
      <c r="D42">
        <v>3</v>
      </c>
      <c r="E42" t="s">
        <v>157</v>
      </c>
    </row>
    <row r="43" spans="2:5" x14ac:dyDescent="0.25">
      <c r="D43">
        <v>4</v>
      </c>
      <c r="E43" t="s">
        <v>158</v>
      </c>
    </row>
    <row r="44" spans="2:5" x14ac:dyDescent="0.25">
      <c r="D44" s="121" t="s">
        <v>159</v>
      </c>
      <c r="E44" t="s">
        <v>36</v>
      </c>
    </row>
    <row r="45" spans="2:5" x14ac:dyDescent="0.25">
      <c r="D45">
        <v>6</v>
      </c>
      <c r="E45" t="s">
        <v>37</v>
      </c>
    </row>
    <row r="46" spans="2:5" x14ac:dyDescent="0.25">
      <c r="B46">
        <v>3</v>
      </c>
      <c r="C46" t="s">
        <v>38</v>
      </c>
    </row>
    <row r="47" spans="2:5" x14ac:dyDescent="0.25">
      <c r="D47">
        <v>1</v>
      </c>
      <c r="E47" t="s">
        <v>39</v>
      </c>
    </row>
    <row r="48" spans="2:5" x14ac:dyDescent="0.25">
      <c r="D48">
        <v>2</v>
      </c>
      <c r="E48" t="s">
        <v>40</v>
      </c>
    </row>
    <row r="49" spans="2:10" x14ac:dyDescent="0.25">
      <c r="D49">
        <v>3</v>
      </c>
      <c r="E49" t="s">
        <v>41</v>
      </c>
    </row>
    <row r="50" spans="2:10" x14ac:dyDescent="0.25">
      <c r="B50">
        <v>4</v>
      </c>
      <c r="C50" t="s">
        <v>160</v>
      </c>
    </row>
    <row r="51" spans="2:10" x14ac:dyDescent="0.25">
      <c r="D51">
        <v>1</v>
      </c>
      <c r="E51" t="s">
        <v>161</v>
      </c>
    </row>
    <row r="52" spans="2:10" x14ac:dyDescent="0.25">
      <c r="B52">
        <v>5</v>
      </c>
      <c r="C52" t="s">
        <v>797</v>
      </c>
    </row>
    <row r="53" spans="2:10" x14ac:dyDescent="0.25">
      <c r="D53">
        <v>1</v>
      </c>
      <c r="E53" t="s">
        <v>42</v>
      </c>
    </row>
    <row r="54" spans="2:10" x14ac:dyDescent="0.25">
      <c r="D54">
        <v>2</v>
      </c>
      <c r="E54" t="s">
        <v>99</v>
      </c>
    </row>
    <row r="55" spans="2:10" x14ac:dyDescent="0.25">
      <c r="D55">
        <v>3</v>
      </c>
      <c r="E55" t="s">
        <v>43</v>
      </c>
    </row>
    <row r="56" spans="2:10" x14ac:dyDescent="0.25">
      <c r="B56">
        <v>6</v>
      </c>
      <c r="C56" t="s">
        <v>1894</v>
      </c>
      <c r="J56" s="122"/>
    </row>
    <row r="57" spans="2:10" x14ac:dyDescent="0.25">
      <c r="D57">
        <v>1</v>
      </c>
      <c r="E57" t="s">
        <v>1893</v>
      </c>
    </row>
    <row r="58" spans="2:10" x14ac:dyDescent="0.25">
      <c r="D58">
        <v>2</v>
      </c>
      <c r="E58" t="s">
        <v>1895</v>
      </c>
    </row>
    <row r="59" spans="2:10" x14ac:dyDescent="0.25">
      <c r="D59">
        <v>3</v>
      </c>
      <c r="E59" t="s">
        <v>1896</v>
      </c>
    </row>
    <row r="60" spans="2:10" x14ac:dyDescent="0.25">
      <c r="D60">
        <v>4</v>
      </c>
      <c r="E60" t="s">
        <v>1897</v>
      </c>
    </row>
    <row r="62" spans="2:10" x14ac:dyDescent="0.25">
      <c r="B62" s="1" t="s">
        <v>798</v>
      </c>
    </row>
    <row r="63" spans="2:10" x14ac:dyDescent="0.25">
      <c r="B63">
        <v>1</v>
      </c>
      <c r="C63" t="s">
        <v>799</v>
      </c>
    </row>
    <row r="64" spans="2:10" x14ac:dyDescent="0.25">
      <c r="D64" t="s">
        <v>44</v>
      </c>
    </row>
    <row r="65" spans="2:5" x14ac:dyDescent="0.25">
      <c r="D65">
        <v>1</v>
      </c>
      <c r="E65" t="s">
        <v>45</v>
      </c>
    </row>
    <row r="66" spans="2:5" x14ac:dyDescent="0.25">
      <c r="D66">
        <v>2</v>
      </c>
      <c r="E66" t="s">
        <v>46</v>
      </c>
    </row>
    <row r="67" spans="2:5" x14ac:dyDescent="0.25">
      <c r="D67">
        <v>3</v>
      </c>
      <c r="E67" t="s">
        <v>119</v>
      </c>
    </row>
    <row r="68" spans="2:5" x14ac:dyDescent="0.25">
      <c r="D68">
        <v>4</v>
      </c>
      <c r="E68" t="s">
        <v>1892</v>
      </c>
    </row>
    <row r="69" spans="2:5" x14ac:dyDescent="0.25">
      <c r="B69">
        <v>2</v>
      </c>
      <c r="C69" t="s">
        <v>800</v>
      </c>
    </row>
    <row r="70" spans="2:5" x14ac:dyDescent="0.25">
      <c r="D70">
        <v>1</v>
      </c>
      <c r="E70" t="s">
        <v>162</v>
      </c>
    </row>
    <row r="71" spans="2:5" x14ac:dyDescent="0.25">
      <c r="D71">
        <v>2</v>
      </c>
      <c r="E71" t="s">
        <v>163</v>
      </c>
    </row>
    <row r="72" spans="2:5" x14ac:dyDescent="0.25">
      <c r="B72">
        <v>3</v>
      </c>
      <c r="C72" t="s">
        <v>3794</v>
      </c>
    </row>
    <row r="73" spans="2:5" x14ac:dyDescent="0.25">
      <c r="D73">
        <v>1</v>
      </c>
      <c r="E73" t="s">
        <v>3795</v>
      </c>
    </row>
    <row r="74" spans="2:5" x14ac:dyDescent="0.25">
      <c r="B74">
        <v>4</v>
      </c>
      <c r="C74" t="s">
        <v>3796</v>
      </c>
    </row>
    <row r="75" spans="2:5" x14ac:dyDescent="0.25">
      <c r="D75">
        <v>1</v>
      </c>
      <c r="E75" t="s">
        <v>3797</v>
      </c>
    </row>
    <row r="76" spans="2:5" x14ac:dyDescent="0.25">
      <c r="D76">
        <v>2</v>
      </c>
      <c r="E76" t="s">
        <v>3798</v>
      </c>
    </row>
    <row r="77" spans="2:5" x14ac:dyDescent="0.25">
      <c r="D77">
        <v>3</v>
      </c>
      <c r="E77" t="s">
        <v>3799</v>
      </c>
    </row>
    <row r="79" spans="2:5" x14ac:dyDescent="0.25">
      <c r="B79">
        <v>5</v>
      </c>
      <c r="C79" t="s">
        <v>800</v>
      </c>
    </row>
    <row r="80" spans="2:5" x14ac:dyDescent="0.25">
      <c r="D80">
        <v>1</v>
      </c>
      <c r="E80" t="s">
        <v>47</v>
      </c>
    </row>
    <row r="81" spans="1:6" x14ac:dyDescent="0.25">
      <c r="D81">
        <v>2</v>
      </c>
      <c r="E81" t="s">
        <v>164</v>
      </c>
    </row>
    <row r="83" spans="1:6" x14ac:dyDescent="0.25">
      <c r="A83" s="1" t="s">
        <v>48</v>
      </c>
      <c r="B83" s="1" t="s">
        <v>49</v>
      </c>
    </row>
    <row r="84" spans="1:6" x14ac:dyDescent="0.25">
      <c r="B84">
        <v>1</v>
      </c>
      <c r="C84" t="s">
        <v>796</v>
      </c>
    </row>
    <row r="85" spans="1:6" x14ac:dyDescent="0.25">
      <c r="D85" t="s">
        <v>30</v>
      </c>
    </row>
    <row r="86" spans="1:6" x14ac:dyDescent="0.25">
      <c r="D86">
        <v>1</v>
      </c>
      <c r="E86" t="s">
        <v>50</v>
      </c>
    </row>
    <row r="87" spans="1:6" x14ac:dyDescent="0.25">
      <c r="D87">
        <v>2</v>
      </c>
      <c r="E87" t="s">
        <v>102</v>
      </c>
    </row>
    <row r="88" spans="1:6" x14ac:dyDescent="0.25">
      <c r="D88">
        <v>3</v>
      </c>
      <c r="E88" t="s">
        <v>32</v>
      </c>
    </row>
    <row r="89" spans="1:6" x14ac:dyDescent="0.25">
      <c r="E89" s="1173" t="s">
        <v>51</v>
      </c>
      <c r="F89" t="s">
        <v>52</v>
      </c>
    </row>
    <row r="90" spans="1:6" x14ac:dyDescent="0.25">
      <c r="E90" s="1173" t="s">
        <v>53</v>
      </c>
      <c r="F90" t="s">
        <v>3800</v>
      </c>
    </row>
    <row r="91" spans="1:6" x14ac:dyDescent="0.25">
      <c r="F91" t="s">
        <v>54</v>
      </c>
    </row>
    <row r="92" spans="1:6" x14ac:dyDescent="0.25">
      <c r="B92">
        <v>2</v>
      </c>
      <c r="C92" t="s">
        <v>797</v>
      </c>
    </row>
    <row r="93" spans="1:6" x14ac:dyDescent="0.25">
      <c r="D93">
        <v>1</v>
      </c>
      <c r="E93" t="s">
        <v>55</v>
      </c>
    </row>
    <row r="94" spans="1:6" x14ac:dyDescent="0.25">
      <c r="D94">
        <v>2</v>
      </c>
      <c r="E94" t="s">
        <v>155</v>
      </c>
    </row>
    <row r="95" spans="1:6" x14ac:dyDescent="0.25">
      <c r="D95" s="121" t="s">
        <v>35</v>
      </c>
      <c r="E95" t="s">
        <v>36</v>
      </c>
    </row>
    <row r="96" spans="1:6" x14ac:dyDescent="0.25">
      <c r="D96">
        <v>4</v>
      </c>
      <c r="E96" t="s">
        <v>56</v>
      </c>
    </row>
    <row r="97" spans="2:10" x14ac:dyDescent="0.25">
      <c r="B97">
        <v>3</v>
      </c>
      <c r="C97" t="s">
        <v>38</v>
      </c>
    </row>
    <row r="98" spans="2:10" x14ac:dyDescent="0.25">
      <c r="D98">
        <v>1</v>
      </c>
      <c r="E98" t="s">
        <v>57</v>
      </c>
    </row>
    <row r="99" spans="2:10" x14ac:dyDescent="0.25">
      <c r="D99">
        <v>2</v>
      </c>
      <c r="E99" t="s">
        <v>40</v>
      </c>
    </row>
    <row r="100" spans="2:10" x14ac:dyDescent="0.25">
      <c r="D100">
        <v>3</v>
      </c>
      <c r="E100" t="s">
        <v>41</v>
      </c>
    </row>
    <row r="101" spans="2:10" x14ac:dyDescent="0.25">
      <c r="B101">
        <v>4</v>
      </c>
      <c r="C101" t="s">
        <v>160</v>
      </c>
    </row>
    <row r="102" spans="2:10" x14ac:dyDescent="0.25">
      <c r="D102">
        <v>1</v>
      </c>
      <c r="E102" t="s">
        <v>161</v>
      </c>
    </row>
    <row r="103" spans="2:10" x14ac:dyDescent="0.25">
      <c r="B103">
        <v>5</v>
      </c>
      <c r="C103" t="s">
        <v>797</v>
      </c>
    </row>
    <row r="104" spans="2:10" x14ac:dyDescent="0.25">
      <c r="D104">
        <v>1</v>
      </c>
      <c r="E104" t="s">
        <v>42</v>
      </c>
    </row>
    <row r="105" spans="2:10" x14ac:dyDescent="0.25">
      <c r="D105">
        <v>2</v>
      </c>
      <c r="E105" t="s">
        <v>99</v>
      </c>
    </row>
    <row r="106" spans="2:10" x14ac:dyDescent="0.25">
      <c r="D106">
        <v>3</v>
      </c>
      <c r="E106" t="s">
        <v>43</v>
      </c>
      <c r="J106" s="122"/>
    </row>
    <row r="107" spans="2:10" x14ac:dyDescent="0.25">
      <c r="B107">
        <v>6</v>
      </c>
      <c r="C107" t="s">
        <v>1894</v>
      </c>
    </row>
    <row r="108" spans="2:10" x14ac:dyDescent="0.25">
      <c r="D108">
        <v>1</v>
      </c>
      <c r="E108" t="s">
        <v>1893</v>
      </c>
    </row>
    <row r="109" spans="2:10" x14ac:dyDescent="0.25">
      <c r="D109">
        <v>2</v>
      </c>
      <c r="E109" t="s">
        <v>1895</v>
      </c>
    </row>
    <row r="110" spans="2:10" x14ac:dyDescent="0.25">
      <c r="D110">
        <v>3</v>
      </c>
      <c r="E110" t="s">
        <v>1896</v>
      </c>
    </row>
    <row r="111" spans="2:10" x14ac:dyDescent="0.25">
      <c r="D111">
        <v>4</v>
      </c>
      <c r="E111" t="s">
        <v>1897</v>
      </c>
    </row>
    <row r="112" spans="2:10" x14ac:dyDescent="0.25">
      <c r="B112" s="1" t="s">
        <v>58</v>
      </c>
    </row>
    <row r="113" spans="2:6" x14ac:dyDescent="0.25">
      <c r="B113">
        <v>1</v>
      </c>
      <c r="C113" t="s">
        <v>799</v>
      </c>
    </row>
    <row r="114" spans="2:6" x14ac:dyDescent="0.25">
      <c r="D114" t="s">
        <v>44</v>
      </c>
    </row>
    <row r="115" spans="2:6" x14ac:dyDescent="0.25">
      <c r="D115">
        <v>1</v>
      </c>
      <c r="E115" t="s">
        <v>59</v>
      </c>
    </row>
    <row r="116" spans="2:6" x14ac:dyDescent="0.25">
      <c r="D116">
        <v>2</v>
      </c>
      <c r="E116" t="s">
        <v>46</v>
      </c>
    </row>
    <row r="117" spans="2:6" x14ac:dyDescent="0.25">
      <c r="E117" s="1173" t="s">
        <v>51</v>
      </c>
      <c r="F117" t="s">
        <v>60</v>
      </c>
    </row>
    <row r="118" spans="2:6" x14ac:dyDescent="0.25">
      <c r="E118" s="1173" t="s">
        <v>53</v>
      </c>
      <c r="F118" t="s">
        <v>61</v>
      </c>
    </row>
    <row r="119" spans="2:6" x14ac:dyDescent="0.25">
      <c r="F119" t="s">
        <v>62</v>
      </c>
    </row>
    <row r="120" spans="2:6" x14ac:dyDescent="0.25">
      <c r="D120">
        <v>3</v>
      </c>
      <c r="E120" t="s">
        <v>1892</v>
      </c>
    </row>
    <row r="121" spans="2:6" x14ac:dyDescent="0.25">
      <c r="B121">
        <v>2</v>
      </c>
      <c r="C121" t="s">
        <v>800</v>
      </c>
    </row>
    <row r="122" spans="2:6" x14ac:dyDescent="0.25">
      <c r="D122">
        <v>1</v>
      </c>
      <c r="E122" t="s">
        <v>63</v>
      </c>
    </row>
    <row r="123" spans="2:6" x14ac:dyDescent="0.25">
      <c r="D123">
        <v>2</v>
      </c>
      <c r="E123" t="s">
        <v>163</v>
      </c>
    </row>
    <row r="124" spans="2:6" x14ac:dyDescent="0.25">
      <c r="E124" t="s">
        <v>3801</v>
      </c>
    </row>
    <row r="125" spans="2:6" x14ac:dyDescent="0.25">
      <c r="B125">
        <v>3</v>
      </c>
      <c r="C125" t="s">
        <v>3794</v>
      </c>
    </row>
    <row r="126" spans="2:6" x14ac:dyDescent="0.25">
      <c r="D126">
        <v>1</v>
      </c>
      <c r="E126" t="s">
        <v>3795</v>
      </c>
    </row>
    <row r="127" spans="2:6" x14ac:dyDescent="0.25">
      <c r="B127">
        <v>4</v>
      </c>
      <c r="C127" t="s">
        <v>3796</v>
      </c>
    </row>
    <row r="128" spans="2:6" x14ac:dyDescent="0.25">
      <c r="D128">
        <v>1</v>
      </c>
      <c r="E128" t="s">
        <v>3797</v>
      </c>
    </row>
    <row r="129" spans="2:7" x14ac:dyDescent="0.25">
      <c r="D129">
        <v>2</v>
      </c>
      <c r="E129" t="s">
        <v>3798</v>
      </c>
    </row>
    <row r="130" spans="2:7" x14ac:dyDescent="0.25">
      <c r="D130">
        <v>3</v>
      </c>
      <c r="E130" t="s">
        <v>3802</v>
      </c>
    </row>
    <row r="131" spans="2:7" x14ac:dyDescent="0.25">
      <c r="D131">
        <v>4</v>
      </c>
      <c r="E131" t="s">
        <v>3799</v>
      </c>
    </row>
    <row r="132" spans="2:7" x14ac:dyDescent="0.25">
      <c r="B132">
        <v>5</v>
      </c>
      <c r="C132" t="s">
        <v>800</v>
      </c>
    </row>
    <row r="133" spans="2:7" x14ac:dyDescent="0.25">
      <c r="D133">
        <v>1</v>
      </c>
      <c r="E133" t="s">
        <v>47</v>
      </c>
    </row>
    <row r="138" spans="2:7" x14ac:dyDescent="0.25">
      <c r="B138" s="52" t="s">
        <v>64</v>
      </c>
      <c r="C138" s="52"/>
      <c r="D138" s="52"/>
    </row>
    <row r="140" spans="2:7" x14ac:dyDescent="0.25">
      <c r="B140" s="1" t="s">
        <v>65</v>
      </c>
      <c r="C140" t="s">
        <v>66</v>
      </c>
    </row>
    <row r="141" spans="2:7" x14ac:dyDescent="0.25">
      <c r="C141" t="s">
        <v>67</v>
      </c>
    </row>
    <row r="142" spans="2:7" x14ac:dyDescent="0.25">
      <c r="C142" t="s">
        <v>125</v>
      </c>
    </row>
    <row r="143" spans="2:7" ht="15.75" thickBot="1" x14ac:dyDescent="0.3">
      <c r="C143" s="1174"/>
      <c r="D143" s="1175"/>
      <c r="E143" s="1175"/>
      <c r="F143" s="1175"/>
      <c r="G143" s="1174"/>
    </row>
    <row r="144" spans="2:7" x14ac:dyDescent="0.25">
      <c r="C144" s="1176"/>
      <c r="D144" s="1177" t="s">
        <v>26</v>
      </c>
      <c r="E144" s="1178"/>
      <c r="F144" s="1179">
        <v>3.52</v>
      </c>
      <c r="G144" s="1180"/>
    </row>
    <row r="145" spans="2:7" x14ac:dyDescent="0.25">
      <c r="C145" s="1176"/>
      <c r="D145" s="1181" t="s">
        <v>68</v>
      </c>
      <c r="E145" s="1182"/>
      <c r="F145" s="1183">
        <v>1.23</v>
      </c>
      <c r="G145" s="1180"/>
    </row>
    <row r="146" spans="2:7" x14ac:dyDescent="0.25">
      <c r="C146" s="1176"/>
      <c r="D146" s="1181" t="s">
        <v>69</v>
      </c>
      <c r="E146" s="1182"/>
      <c r="F146" s="1183">
        <v>0.02</v>
      </c>
      <c r="G146" s="1180"/>
    </row>
    <row r="147" spans="2:7" ht="15.75" thickBot="1" x14ac:dyDescent="0.3">
      <c r="C147" s="1176"/>
      <c r="D147" s="1184" t="s">
        <v>70</v>
      </c>
      <c r="E147" s="1185"/>
      <c r="F147" s="1186">
        <v>4.21</v>
      </c>
      <c r="G147" s="1180"/>
    </row>
    <row r="148" spans="2:7" x14ac:dyDescent="0.25">
      <c r="C148" s="1174"/>
      <c r="D148" s="1187"/>
      <c r="E148" s="1187"/>
      <c r="F148" s="1187"/>
      <c r="G148" s="1174"/>
    </row>
    <row r="156" spans="2:7" x14ac:dyDescent="0.25">
      <c r="B156" s="1" t="s">
        <v>796</v>
      </c>
    </row>
    <row r="157" spans="2:7" x14ac:dyDescent="0.25">
      <c r="C157" s="8" t="s">
        <v>71</v>
      </c>
    </row>
    <row r="158" spans="2:7" x14ac:dyDescent="0.25">
      <c r="C158" t="s">
        <v>72</v>
      </c>
    </row>
    <row r="159" spans="2:7" x14ac:dyDescent="0.25">
      <c r="C159" t="s">
        <v>73</v>
      </c>
    </row>
    <row r="160" spans="2:7" x14ac:dyDescent="0.25">
      <c r="C160" t="s">
        <v>74</v>
      </c>
    </row>
    <row r="162" spans="2:4" x14ac:dyDescent="0.25">
      <c r="C162" s="8" t="s">
        <v>75</v>
      </c>
    </row>
    <row r="163" spans="2:4" x14ac:dyDescent="0.25">
      <c r="C163" t="s">
        <v>76</v>
      </c>
    </row>
    <row r="164" spans="2:4" x14ac:dyDescent="0.25">
      <c r="D164" t="s">
        <v>16</v>
      </c>
    </row>
    <row r="165" spans="2:4" x14ac:dyDescent="0.25">
      <c r="C165" t="s">
        <v>103</v>
      </c>
    </row>
    <row r="167" spans="2:4" x14ac:dyDescent="0.25">
      <c r="B167" s="1" t="s">
        <v>799</v>
      </c>
    </row>
    <row r="168" spans="2:4" x14ac:dyDescent="0.25">
      <c r="C168" s="8" t="s">
        <v>77</v>
      </c>
    </row>
    <row r="169" spans="2:4" x14ac:dyDescent="0.25">
      <c r="C169" t="s">
        <v>78</v>
      </c>
    </row>
    <row r="170" spans="2:4" x14ac:dyDescent="0.25">
      <c r="C170" t="s">
        <v>73</v>
      </c>
    </row>
    <row r="172" spans="2:4" x14ac:dyDescent="0.25">
      <c r="C172" s="8" t="s">
        <v>79</v>
      </c>
    </row>
    <row r="173" spans="2:4" x14ac:dyDescent="0.25">
      <c r="C173" s="125" t="s">
        <v>17</v>
      </c>
    </row>
    <row r="174" spans="2:4" x14ac:dyDescent="0.25">
      <c r="C174" s="125"/>
      <c r="D174" t="s">
        <v>16</v>
      </c>
    </row>
    <row r="175" spans="2:4" x14ac:dyDescent="0.25">
      <c r="C175" s="125"/>
    </row>
    <row r="176" spans="2:4" x14ac:dyDescent="0.25">
      <c r="B176" s="1" t="s">
        <v>797</v>
      </c>
      <c r="C176" s="125"/>
    </row>
    <row r="177" spans="3:5" x14ac:dyDescent="0.25">
      <c r="C177" s="8" t="s">
        <v>104</v>
      </c>
    </row>
    <row r="178" spans="3:5" x14ac:dyDescent="0.25">
      <c r="C178" t="s">
        <v>105</v>
      </c>
    </row>
    <row r="179" spans="3:5" x14ac:dyDescent="0.25">
      <c r="D179" t="s">
        <v>80</v>
      </c>
    </row>
    <row r="180" spans="3:5" x14ac:dyDescent="0.25">
      <c r="E180" t="s">
        <v>81</v>
      </c>
    </row>
    <row r="181" spans="3:5" x14ac:dyDescent="0.25">
      <c r="E181" t="s">
        <v>82</v>
      </c>
    </row>
    <row r="182" spans="3:5" x14ac:dyDescent="0.25">
      <c r="D182" t="s">
        <v>18</v>
      </c>
    </row>
    <row r="183" spans="3:5" x14ac:dyDescent="0.25">
      <c r="E183" t="s">
        <v>19</v>
      </c>
    </row>
    <row r="184" spans="3:5" x14ac:dyDescent="0.25">
      <c r="E184" t="s">
        <v>10</v>
      </c>
    </row>
    <row r="185" spans="3:5" x14ac:dyDescent="0.25">
      <c r="E185" t="s">
        <v>83</v>
      </c>
    </row>
    <row r="186" spans="3:5" x14ac:dyDescent="0.25">
      <c r="D186" t="s">
        <v>84</v>
      </c>
    </row>
    <row r="187" spans="3:5" x14ac:dyDescent="0.25">
      <c r="D187" t="s">
        <v>100</v>
      </c>
    </row>
    <row r="188" spans="3:5" x14ac:dyDescent="0.25">
      <c r="D188" t="s">
        <v>20</v>
      </c>
    </row>
    <row r="189" spans="3:5" x14ac:dyDescent="0.25">
      <c r="C189" t="s">
        <v>106</v>
      </c>
    </row>
    <row r="191" spans="3:5" x14ac:dyDescent="0.25">
      <c r="D191" t="s">
        <v>801</v>
      </c>
    </row>
    <row r="192" spans="3:5" ht="15.75" thickBot="1" x14ac:dyDescent="0.3"/>
    <row r="193" spans="4:12" ht="15.75" thickBot="1" x14ac:dyDescent="0.3">
      <c r="E193" s="1188" t="s">
        <v>0</v>
      </c>
      <c r="F193" s="1189" t="s">
        <v>1</v>
      </c>
      <c r="G193" s="2659" t="s">
        <v>5</v>
      </c>
      <c r="H193" s="2660"/>
      <c r="I193" s="2660"/>
      <c r="J193" s="2660"/>
      <c r="K193" s="2660"/>
      <c r="L193" s="2661"/>
    </row>
    <row r="194" spans="4:12" x14ac:dyDescent="0.25">
      <c r="E194" s="611" t="s">
        <v>165</v>
      </c>
      <c r="F194" s="702" t="s">
        <v>166</v>
      </c>
      <c r="G194" s="2662" t="s">
        <v>167</v>
      </c>
      <c r="H194" s="2663"/>
      <c r="I194" s="2663"/>
      <c r="J194" s="2663"/>
      <c r="K194" s="2663"/>
      <c r="L194" s="2664"/>
    </row>
    <row r="195" spans="4:12" x14ac:dyDescent="0.25">
      <c r="E195" s="555" t="s">
        <v>168</v>
      </c>
      <c r="F195" s="1143" t="s">
        <v>169</v>
      </c>
      <c r="G195" s="2653" t="s">
        <v>170</v>
      </c>
      <c r="H195" s="2654"/>
      <c r="I195" s="2654"/>
      <c r="J195" s="2654"/>
      <c r="K195" s="2654"/>
      <c r="L195" s="2655"/>
    </row>
    <row r="196" spans="4:12" x14ac:dyDescent="0.25">
      <c r="E196" s="555" t="s">
        <v>171</v>
      </c>
      <c r="F196" s="1143" t="s">
        <v>172</v>
      </c>
      <c r="G196" s="2653" t="s">
        <v>173</v>
      </c>
      <c r="H196" s="2654"/>
      <c r="I196" s="2654"/>
      <c r="J196" s="2654"/>
      <c r="K196" s="2654"/>
      <c r="L196" s="2655"/>
    </row>
    <row r="197" spans="4:12" x14ac:dyDescent="0.25">
      <c r="E197" s="555" t="s">
        <v>174</v>
      </c>
      <c r="F197" s="1143" t="s">
        <v>175</v>
      </c>
      <c r="G197" s="2653" t="s">
        <v>176</v>
      </c>
      <c r="H197" s="2654"/>
      <c r="I197" s="2654"/>
      <c r="J197" s="2654"/>
      <c r="K197" s="2654"/>
      <c r="L197" s="2655"/>
    </row>
    <row r="198" spans="4:12" x14ac:dyDescent="0.25">
      <c r="E198" s="555" t="s">
        <v>177</v>
      </c>
      <c r="F198" s="1143" t="s">
        <v>178</v>
      </c>
      <c r="G198" s="2653" t="s">
        <v>179</v>
      </c>
      <c r="H198" s="2654"/>
      <c r="I198" s="2654"/>
      <c r="J198" s="2654"/>
      <c r="K198" s="2654"/>
      <c r="L198" s="2655"/>
    </row>
    <row r="199" spans="4:12" x14ac:dyDescent="0.25">
      <c r="E199" s="555" t="s">
        <v>180</v>
      </c>
      <c r="F199" s="1143" t="s">
        <v>181</v>
      </c>
      <c r="G199" s="2653" t="s">
        <v>182</v>
      </c>
      <c r="H199" s="2654"/>
      <c r="I199" s="2654"/>
      <c r="J199" s="2654"/>
      <c r="K199" s="2654"/>
      <c r="L199" s="2655"/>
    </row>
    <row r="200" spans="4:12" x14ac:dyDescent="0.25">
      <c r="E200" s="555" t="s">
        <v>183</v>
      </c>
      <c r="F200" s="1143" t="s">
        <v>184</v>
      </c>
      <c r="G200" s="2653" t="s">
        <v>185</v>
      </c>
      <c r="H200" s="2654"/>
      <c r="I200" s="2654"/>
      <c r="J200" s="2654"/>
      <c r="K200" s="2654"/>
      <c r="L200" s="2655"/>
    </row>
    <row r="201" spans="4:12" x14ac:dyDescent="0.25">
      <c r="E201" s="555" t="s">
        <v>151</v>
      </c>
      <c r="F201" s="1143" t="s">
        <v>149</v>
      </c>
      <c r="G201" s="2653" t="s">
        <v>150</v>
      </c>
      <c r="H201" s="2654"/>
      <c r="I201" s="2654"/>
      <c r="J201" s="2654"/>
      <c r="K201" s="2654"/>
      <c r="L201" s="2655"/>
    </row>
    <row r="202" spans="4:12" ht="15.75" thickBot="1" x14ac:dyDescent="0.3">
      <c r="E202" s="1190" t="s">
        <v>186</v>
      </c>
      <c r="F202" s="1191" t="s">
        <v>187</v>
      </c>
      <c r="G202" s="2656" t="s">
        <v>188</v>
      </c>
      <c r="H202" s="2657"/>
      <c r="I202" s="2657"/>
      <c r="J202" s="2657"/>
      <c r="K202" s="2657"/>
      <c r="L202" s="2658"/>
    </row>
    <row r="203" spans="4:12" x14ac:dyDescent="0.25">
      <c r="E203" s="45"/>
      <c r="F203" s="46"/>
      <c r="G203" s="46"/>
    </row>
    <row r="204" spans="4:12" ht="15.75" thickBot="1" x14ac:dyDescent="0.3">
      <c r="D204" t="s">
        <v>189</v>
      </c>
    </row>
    <row r="205" spans="4:12" ht="15.75" thickBot="1" x14ac:dyDescent="0.3">
      <c r="E205" s="1096" t="s">
        <v>0</v>
      </c>
      <c r="F205" s="1113" t="s">
        <v>1</v>
      </c>
      <c r="G205" s="1192" t="s">
        <v>5</v>
      </c>
    </row>
    <row r="206" spans="4:12" x14ac:dyDescent="0.25">
      <c r="E206" s="1193" t="s">
        <v>190</v>
      </c>
      <c r="F206" s="1194" t="s">
        <v>191</v>
      </c>
      <c r="G206" s="1195" t="s">
        <v>192</v>
      </c>
    </row>
    <row r="207" spans="4:12" x14ac:dyDescent="0.25">
      <c r="E207" s="772" t="s">
        <v>193</v>
      </c>
      <c r="F207" s="1196" t="s">
        <v>194</v>
      </c>
      <c r="G207" s="1197" t="s">
        <v>195</v>
      </c>
    </row>
    <row r="208" spans="4:12" x14ac:dyDescent="0.25">
      <c r="E208" s="772" t="s">
        <v>196</v>
      </c>
      <c r="F208" s="918" t="s">
        <v>197</v>
      </c>
      <c r="G208" s="1198" t="s">
        <v>198</v>
      </c>
    </row>
    <row r="209" spans="2:7" x14ac:dyDescent="0.25">
      <c r="E209" s="772" t="s">
        <v>199</v>
      </c>
      <c r="F209" s="918" t="s">
        <v>200</v>
      </c>
      <c r="G209" s="1198" t="s">
        <v>201</v>
      </c>
    </row>
    <row r="210" spans="2:7" x14ac:dyDescent="0.25">
      <c r="E210" s="772" t="s">
        <v>202</v>
      </c>
      <c r="F210" s="918" t="s">
        <v>203</v>
      </c>
      <c r="G210" s="1198" t="s">
        <v>204</v>
      </c>
    </row>
    <row r="211" spans="2:7" ht="15.75" thickBot="1" x14ac:dyDescent="0.3">
      <c r="E211" s="1199" t="s">
        <v>205</v>
      </c>
      <c r="F211" s="1200" t="s">
        <v>206</v>
      </c>
      <c r="G211" s="1201" t="s">
        <v>207</v>
      </c>
    </row>
    <row r="213" spans="2:7" x14ac:dyDescent="0.25">
      <c r="D213" t="s">
        <v>208</v>
      </c>
    </row>
    <row r="215" spans="2:7" x14ac:dyDescent="0.25">
      <c r="C215" t="s">
        <v>3803</v>
      </c>
    </row>
    <row r="216" spans="2:7" x14ac:dyDescent="0.25">
      <c r="C216" t="s">
        <v>111</v>
      </c>
    </row>
    <row r="217" spans="2:7" x14ac:dyDescent="0.25">
      <c r="D217" t="s">
        <v>114</v>
      </c>
    </row>
    <row r="218" spans="2:7" x14ac:dyDescent="0.25">
      <c r="C218" t="s">
        <v>112</v>
      </c>
    </row>
    <row r="219" spans="2:7" x14ac:dyDescent="0.25">
      <c r="C219" t="s">
        <v>209</v>
      </c>
    </row>
    <row r="222" spans="2:7" x14ac:dyDescent="0.25">
      <c r="B222" s="1" t="s">
        <v>800</v>
      </c>
    </row>
    <row r="223" spans="2:7" x14ac:dyDescent="0.25">
      <c r="C223" s="8" t="s">
        <v>85</v>
      </c>
    </row>
    <row r="224" spans="2:7" x14ac:dyDescent="0.25">
      <c r="C224" t="s">
        <v>86</v>
      </c>
    </row>
    <row r="225" spans="3:7" x14ac:dyDescent="0.25">
      <c r="D225" t="s">
        <v>87</v>
      </c>
      <c r="F225" s="124"/>
      <c r="G225" s="124"/>
    </row>
    <row r="226" spans="3:7" x14ac:dyDescent="0.25">
      <c r="E226" t="s">
        <v>21</v>
      </c>
    </row>
    <row r="227" spans="3:7" x14ac:dyDescent="0.25">
      <c r="E227" t="s">
        <v>22</v>
      </c>
    </row>
    <row r="228" spans="3:7" x14ac:dyDescent="0.25">
      <c r="D228" t="s">
        <v>88</v>
      </c>
    </row>
    <row r="229" spans="3:7" ht="18" x14ac:dyDescent="0.35">
      <c r="E229" t="s">
        <v>23</v>
      </c>
    </row>
    <row r="230" spans="3:7" ht="18" x14ac:dyDescent="0.35">
      <c r="E230" t="s">
        <v>89</v>
      </c>
    </row>
    <row r="231" spans="3:7" x14ac:dyDescent="0.25">
      <c r="D231" t="s">
        <v>25</v>
      </c>
    </row>
    <row r="232" spans="3:7" x14ac:dyDescent="0.25">
      <c r="D232" t="s">
        <v>24</v>
      </c>
    </row>
    <row r="233" spans="3:7" x14ac:dyDescent="0.25">
      <c r="D233" t="s">
        <v>90</v>
      </c>
    </row>
    <row r="235" spans="3:7" x14ac:dyDescent="0.25">
      <c r="C235" s="8"/>
    </row>
    <row r="239" spans="3:7" x14ac:dyDescent="0.25">
      <c r="D239" t="s">
        <v>91</v>
      </c>
    </row>
    <row r="243" spans="2:4" x14ac:dyDescent="0.25">
      <c r="D243" t="s">
        <v>92</v>
      </c>
    </row>
    <row r="246" spans="2:4" x14ac:dyDescent="0.25">
      <c r="B246" s="8" t="s">
        <v>121</v>
      </c>
    </row>
    <row r="247" spans="2:4" x14ac:dyDescent="0.25">
      <c r="B247" s="8"/>
      <c r="C247" s="8" t="s">
        <v>122</v>
      </c>
    </row>
    <row r="248" spans="2:4" x14ac:dyDescent="0.25">
      <c r="B248" s="8"/>
      <c r="C248" t="s">
        <v>123</v>
      </c>
    </row>
    <row r="249" spans="2:4" x14ac:dyDescent="0.25">
      <c r="B249" s="8"/>
      <c r="D249" t="s">
        <v>124</v>
      </c>
    </row>
    <row r="250" spans="2:4" x14ac:dyDescent="0.25">
      <c r="B250" s="8"/>
    </row>
    <row r="251" spans="2:4" x14ac:dyDescent="0.25">
      <c r="B251" s="8" t="s">
        <v>160</v>
      </c>
    </row>
    <row r="252" spans="2:4" x14ac:dyDescent="0.25">
      <c r="B252" s="8"/>
      <c r="C252" s="8" t="s">
        <v>210</v>
      </c>
    </row>
    <row r="253" spans="2:4" x14ac:dyDescent="0.25">
      <c r="B253" s="8"/>
      <c r="C253" t="s">
        <v>211</v>
      </c>
    </row>
    <row r="254" spans="2:4" x14ac:dyDescent="0.25">
      <c r="B254" s="8"/>
    </row>
    <row r="255" spans="2:4" x14ac:dyDescent="0.25">
      <c r="B255" s="8" t="s">
        <v>94</v>
      </c>
    </row>
    <row r="256" spans="2:4" x14ac:dyDescent="0.25">
      <c r="C256" t="s">
        <v>802</v>
      </c>
    </row>
    <row r="257" spans="3:4" x14ac:dyDescent="0.25">
      <c r="C257" s="8" t="s">
        <v>98</v>
      </c>
    </row>
    <row r="258" spans="3:4" x14ac:dyDescent="0.25">
      <c r="D258" t="s">
        <v>95</v>
      </c>
    </row>
    <row r="259" spans="3:4" x14ac:dyDescent="0.25">
      <c r="D259" t="s">
        <v>96</v>
      </c>
    </row>
    <row r="260" spans="3:4" x14ac:dyDescent="0.25">
      <c r="D260" t="s">
        <v>97</v>
      </c>
    </row>
  </sheetData>
  <mergeCells count="10">
    <mergeCell ref="G199:L199"/>
    <mergeCell ref="G200:L200"/>
    <mergeCell ref="G201:L201"/>
    <mergeCell ref="G202:L202"/>
    <mergeCell ref="G193:L193"/>
    <mergeCell ref="G194:L194"/>
    <mergeCell ref="G195:L195"/>
    <mergeCell ref="G196:L196"/>
    <mergeCell ref="G197:L197"/>
    <mergeCell ref="G198:L198"/>
  </mergeCells>
  <hyperlinks>
    <hyperlink ref="H15" r:id="rId1" xr:uid="{00000000-0004-0000-0000-000000000000}"/>
  </hyperlinks>
  <pageMargins left="0.7" right="0.7" top="0.75" bottom="0.75" header="0.3" footer="0.3"/>
  <pageSetup paperSize="9" orientation="portrait" r:id="rId2"/>
  <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B27"/>
  <sheetViews>
    <sheetView showGridLines="0" workbookViewId="0"/>
  </sheetViews>
  <sheetFormatPr baseColWidth="10" defaultColWidth="9.28515625" defaultRowHeight="15" x14ac:dyDescent="0.25"/>
  <sheetData>
    <row r="1" spans="1:1" ht="26.25" x14ac:dyDescent="0.4">
      <c r="A1" s="922" t="s">
        <v>3286</v>
      </c>
    </row>
    <row r="2" spans="1:1" ht="26.25" x14ac:dyDescent="0.4">
      <c r="A2" s="922"/>
    </row>
    <row r="21" spans="2:2" x14ac:dyDescent="0.25">
      <c r="B21" t="s">
        <v>3287</v>
      </c>
    </row>
    <row r="22" spans="2:2" ht="18" x14ac:dyDescent="0.35">
      <c r="B22" t="s">
        <v>3288</v>
      </c>
    </row>
    <row r="23" spans="2:2" x14ac:dyDescent="0.25">
      <c r="B23" t="s">
        <v>3289</v>
      </c>
    </row>
    <row r="24" spans="2:2" x14ac:dyDescent="0.25">
      <c r="B24" t="s">
        <v>3290</v>
      </c>
    </row>
    <row r="26" spans="2:2" ht="18" x14ac:dyDescent="0.35">
      <c r="B26" t="s">
        <v>3291</v>
      </c>
    </row>
    <row r="27" spans="2:2" ht="18" x14ac:dyDescent="0.35">
      <c r="B27" t="s">
        <v>3292</v>
      </c>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Munka2"/>
  <dimension ref="A1:R516"/>
  <sheetViews>
    <sheetView showGridLines="0" zoomScaleNormal="100" workbookViewId="0">
      <pane ySplit="1" topLeftCell="A40" activePane="bottomLeft" state="frozen"/>
      <selection activeCell="E8" sqref="E8"/>
      <selection pane="bottomLeft" activeCell="B516" sqref="B516:D516"/>
    </sheetView>
  </sheetViews>
  <sheetFormatPr baseColWidth="10" defaultColWidth="9.28515625" defaultRowHeight="15" outlineLevelRow="1" x14ac:dyDescent="0.25"/>
  <cols>
    <col min="1" max="1" width="9.7109375" style="103" customWidth="1"/>
    <col min="2" max="2" width="23.5703125" style="131" bestFit="1" customWidth="1"/>
    <col min="3" max="3" width="104.28515625" style="131" bestFit="1" customWidth="1"/>
    <col min="4" max="4" width="21.28515625" style="103" customWidth="1"/>
    <col min="5" max="6" width="14.28515625" style="103" customWidth="1"/>
    <col min="7" max="7" width="16.28515625" style="103" customWidth="1"/>
    <col min="8" max="8" width="11.28515625" style="103" customWidth="1"/>
    <col min="9" max="9" width="18.5703125" style="131" customWidth="1"/>
    <col min="10" max="10" width="96.28515625" style="131" bestFit="1" customWidth="1"/>
    <col min="11" max="11" width="8.7109375" style="103" customWidth="1"/>
    <col min="12" max="12" width="19.5703125" style="103" customWidth="1"/>
    <col min="13" max="13" width="7.7109375" style="103" customWidth="1"/>
    <col min="14" max="14" width="9.28515625" style="103" customWidth="1"/>
    <col min="15" max="15" width="48.28515625" style="103" bestFit="1" customWidth="1"/>
    <col min="16" max="16" width="53.7109375" style="103" bestFit="1" customWidth="1"/>
    <col min="17" max="16384" width="9.28515625" style="103"/>
  </cols>
  <sheetData>
    <row r="1" spans="1:16" s="101" customFormat="1" ht="57.6" customHeight="1" x14ac:dyDescent="0.25">
      <c r="A1" s="100"/>
      <c r="B1" s="288"/>
      <c r="C1" s="288"/>
      <c r="I1" s="288"/>
      <c r="J1" s="288"/>
    </row>
    <row r="2" spans="1:16" s="102" customFormat="1" ht="15.75" thickBot="1" x14ac:dyDescent="0.3">
      <c r="B2" s="139"/>
      <c r="C2" s="1441"/>
      <c r="D2" s="140"/>
      <c r="E2" s="141"/>
      <c r="F2" s="141"/>
      <c r="G2" s="141"/>
      <c r="H2" s="141"/>
      <c r="I2" s="1441"/>
      <c r="J2" s="1441"/>
    </row>
    <row r="3" spans="1:16" s="336" customFormat="1" ht="15.75" thickBot="1" x14ac:dyDescent="0.3">
      <c r="A3" s="1323" t="s">
        <v>4166</v>
      </c>
      <c r="B3" s="1442"/>
      <c r="C3" s="1443"/>
      <c r="D3" s="346"/>
      <c r="E3" s="347"/>
      <c r="F3" s="347"/>
      <c r="G3" s="347"/>
      <c r="H3" s="347"/>
      <c r="I3" s="1443"/>
      <c r="J3" s="1443"/>
      <c r="K3" s="342"/>
      <c r="L3" s="342"/>
      <c r="M3" s="342"/>
      <c r="N3" s="342"/>
      <c r="O3" s="342"/>
      <c r="P3" s="342"/>
    </row>
    <row r="4" spans="1:16" s="102" customFormat="1" ht="15.75" thickBot="1" x14ac:dyDescent="0.3">
      <c r="B4" s="131"/>
      <c r="C4" s="1111"/>
      <c r="D4" s="678"/>
      <c r="E4" s="695"/>
      <c r="F4" s="695"/>
      <c r="G4" s="695"/>
      <c r="H4" s="695"/>
      <c r="I4" s="1111"/>
      <c r="J4" s="142"/>
    </row>
    <row r="5" spans="1:16" ht="15.75" thickBot="1" x14ac:dyDescent="0.3">
      <c r="A5" s="102"/>
      <c r="C5" s="1444" t="s">
        <v>2148</v>
      </c>
      <c r="D5" s="103" t="s">
        <v>303</v>
      </c>
    </row>
    <row r="6" spans="1:16" s="102" customFormat="1" ht="15.75" thickBot="1" x14ac:dyDescent="0.3">
      <c r="B6" s="343" t="s">
        <v>0</v>
      </c>
      <c r="C6" s="1445" t="s">
        <v>1</v>
      </c>
      <c r="D6" s="344" t="s">
        <v>842</v>
      </c>
      <c r="E6" s="344" t="s">
        <v>473</v>
      </c>
      <c r="F6" s="344" t="s">
        <v>474</v>
      </c>
      <c r="G6" s="344" t="s">
        <v>2</v>
      </c>
      <c r="H6" s="344" t="s">
        <v>302</v>
      </c>
      <c r="I6" s="1445" t="s">
        <v>116</v>
      </c>
      <c r="J6" s="348" t="s">
        <v>117</v>
      </c>
    </row>
    <row r="7" spans="1:16" s="102" customFormat="1" ht="18" outlineLevel="1" x14ac:dyDescent="0.25">
      <c r="B7" s="169" t="s">
        <v>1185</v>
      </c>
      <c r="C7" s="570" t="s">
        <v>274</v>
      </c>
      <c r="D7" s="170">
        <v>2</v>
      </c>
      <c r="E7" s="171">
        <v>0</v>
      </c>
      <c r="F7" s="171" t="s">
        <v>1254</v>
      </c>
      <c r="G7" s="171" t="s">
        <v>446</v>
      </c>
      <c r="H7" s="171">
        <v>1</v>
      </c>
      <c r="I7" s="1569" t="s">
        <v>1982</v>
      </c>
      <c r="J7" s="1570"/>
    </row>
    <row r="8" spans="1:16" s="102" customFormat="1" ht="18" outlineLevel="1" x14ac:dyDescent="0.25">
      <c r="B8" s="169" t="s">
        <v>1187</v>
      </c>
      <c r="C8" s="570" t="s">
        <v>2427</v>
      </c>
      <c r="D8" s="170">
        <v>0.4</v>
      </c>
      <c r="E8" s="171">
        <v>0</v>
      </c>
      <c r="F8" s="171" t="s">
        <v>1254</v>
      </c>
      <c r="G8" s="171" t="s">
        <v>446</v>
      </c>
      <c r="H8" s="171">
        <v>1</v>
      </c>
      <c r="I8" s="1569"/>
      <c r="J8" s="1571"/>
    </row>
    <row r="9" spans="1:16" s="102" customFormat="1" ht="18" outlineLevel="1" x14ac:dyDescent="0.25">
      <c r="B9" s="169" t="s">
        <v>1186</v>
      </c>
      <c r="C9" s="570" t="s">
        <v>2428</v>
      </c>
      <c r="D9" s="172">
        <v>0.2</v>
      </c>
      <c r="E9" s="171">
        <v>0</v>
      </c>
      <c r="F9" s="171" t="s">
        <v>1254</v>
      </c>
      <c r="G9" s="171" t="s">
        <v>446</v>
      </c>
      <c r="H9" s="171">
        <v>2</v>
      </c>
      <c r="I9" s="1569"/>
      <c r="J9" s="1571"/>
    </row>
    <row r="10" spans="1:16" s="102" customFormat="1" ht="18" outlineLevel="1" x14ac:dyDescent="0.25">
      <c r="B10" s="169" t="s">
        <v>1727</v>
      </c>
      <c r="C10" s="570" t="s">
        <v>2429</v>
      </c>
      <c r="D10" s="172">
        <v>0.6</v>
      </c>
      <c r="E10" s="171">
        <v>0</v>
      </c>
      <c r="F10" s="171" t="s">
        <v>1254</v>
      </c>
      <c r="G10" s="466" t="s">
        <v>1976</v>
      </c>
      <c r="H10" s="171">
        <v>2</v>
      </c>
      <c r="I10" s="1569"/>
      <c r="J10" s="2535" t="s">
        <v>5188</v>
      </c>
    </row>
    <row r="11" spans="1:16" s="102" customFormat="1" ht="18" outlineLevel="1" x14ac:dyDescent="0.25">
      <c r="B11" s="2536" t="s">
        <v>5164</v>
      </c>
      <c r="C11" s="2537" t="s">
        <v>5165</v>
      </c>
      <c r="D11" s="2142">
        <v>0.6</v>
      </c>
      <c r="E11" s="2141">
        <v>0</v>
      </c>
      <c r="F11" s="2141" t="s">
        <v>1254</v>
      </c>
      <c r="G11" s="2538" t="s">
        <v>1976</v>
      </c>
      <c r="H11" s="2141">
        <v>2</v>
      </c>
      <c r="I11" s="2537"/>
      <c r="J11" s="2535"/>
    </row>
    <row r="12" spans="1:16" s="102" customFormat="1" ht="18" outlineLevel="1" x14ac:dyDescent="0.25">
      <c r="B12" s="722" t="s">
        <v>3094</v>
      </c>
      <c r="C12" s="570" t="s">
        <v>3181</v>
      </c>
      <c r="D12" s="170">
        <v>5</v>
      </c>
      <c r="E12" s="171">
        <v>0</v>
      </c>
      <c r="F12" s="171" t="s">
        <v>1254</v>
      </c>
      <c r="G12" s="171" t="s">
        <v>1181</v>
      </c>
      <c r="H12" s="171">
        <v>1</v>
      </c>
      <c r="I12" s="1569" t="s">
        <v>5161</v>
      </c>
      <c r="J12" s="1570"/>
    </row>
    <row r="13" spans="1:16" s="102" customFormat="1" ht="18.75" outlineLevel="1" x14ac:dyDescent="0.25">
      <c r="B13" s="169" t="s">
        <v>1910</v>
      </c>
      <c r="C13" s="570" t="s">
        <v>2430</v>
      </c>
      <c r="D13" s="1204">
        <v>0.15</v>
      </c>
      <c r="E13" s="171">
        <v>0</v>
      </c>
      <c r="F13" s="171" t="s">
        <v>1254</v>
      </c>
      <c r="G13" s="171" t="s">
        <v>1180</v>
      </c>
      <c r="H13" s="171">
        <v>2</v>
      </c>
      <c r="I13" s="1569" t="s">
        <v>5161</v>
      </c>
      <c r="J13" s="1570"/>
    </row>
    <row r="14" spans="1:16" s="102" customFormat="1" ht="18" outlineLevel="1" x14ac:dyDescent="0.25">
      <c r="B14" s="169" t="s">
        <v>1908</v>
      </c>
      <c r="C14" s="570" t="s">
        <v>2431</v>
      </c>
      <c r="D14" s="170">
        <v>0.5</v>
      </c>
      <c r="E14" s="171">
        <v>0</v>
      </c>
      <c r="F14" s="171" t="s">
        <v>1254</v>
      </c>
      <c r="G14" s="171" t="s">
        <v>1181</v>
      </c>
      <c r="H14" s="171">
        <v>1</v>
      </c>
      <c r="I14" s="1569"/>
      <c r="J14" s="1570"/>
    </row>
    <row r="15" spans="1:16" s="102" customFormat="1" ht="18" outlineLevel="1" x14ac:dyDescent="0.25">
      <c r="B15" s="169" t="s">
        <v>1909</v>
      </c>
      <c r="C15" s="570" t="s">
        <v>2432</v>
      </c>
      <c r="D15" s="170">
        <v>0.1</v>
      </c>
      <c r="E15" s="171">
        <v>0</v>
      </c>
      <c r="F15" s="171" t="s">
        <v>1254</v>
      </c>
      <c r="G15" s="171" t="s">
        <v>1181</v>
      </c>
      <c r="H15" s="171">
        <v>1</v>
      </c>
      <c r="I15" s="1569"/>
      <c r="J15" s="1570"/>
      <c r="L15" s="167"/>
    </row>
    <row r="16" spans="1:16" s="102" customFormat="1" ht="18" outlineLevel="1" x14ac:dyDescent="0.25">
      <c r="B16" s="169" t="s">
        <v>1911</v>
      </c>
      <c r="C16" s="570" t="s">
        <v>2433</v>
      </c>
      <c r="D16" s="2142">
        <v>1.25</v>
      </c>
      <c r="E16" s="171">
        <v>0</v>
      </c>
      <c r="F16" s="171" t="s">
        <v>1254</v>
      </c>
      <c r="G16" s="171" t="s">
        <v>886</v>
      </c>
      <c r="H16" s="171">
        <v>2</v>
      </c>
      <c r="I16" s="1569"/>
      <c r="J16" s="1570"/>
    </row>
    <row r="17" spans="2:16" s="102" customFormat="1" ht="18" outlineLevel="1" x14ac:dyDescent="0.25">
      <c r="B17" s="2536" t="s">
        <v>5189</v>
      </c>
      <c r="C17" s="2537" t="s">
        <v>5190</v>
      </c>
      <c r="D17" s="2142">
        <v>0.23</v>
      </c>
      <c r="E17" s="2141">
        <v>0</v>
      </c>
      <c r="F17" s="2141">
        <v>2</v>
      </c>
      <c r="G17" s="2141" t="s">
        <v>282</v>
      </c>
      <c r="H17" s="2141">
        <v>3</v>
      </c>
      <c r="I17" s="2537"/>
      <c r="J17" s="2539" t="s">
        <v>4450</v>
      </c>
    </row>
    <row r="18" spans="2:16" s="102" customFormat="1" ht="18" outlineLevel="1" x14ac:dyDescent="0.25">
      <c r="B18" s="2536" t="s">
        <v>5191</v>
      </c>
      <c r="C18" s="2537" t="s">
        <v>5192</v>
      </c>
      <c r="D18" s="2142">
        <v>1.5</v>
      </c>
      <c r="E18" s="2141">
        <v>0</v>
      </c>
      <c r="F18" s="2141">
        <v>2</v>
      </c>
      <c r="G18" s="2141" t="s">
        <v>282</v>
      </c>
      <c r="H18" s="2141">
        <v>3</v>
      </c>
      <c r="I18" s="2537"/>
      <c r="J18" s="2539" t="s">
        <v>4450</v>
      </c>
    </row>
    <row r="19" spans="2:16" s="102" customFormat="1" ht="18" outlineLevel="1" x14ac:dyDescent="0.25">
      <c r="B19" s="169" t="s">
        <v>2212</v>
      </c>
      <c r="C19" s="570" t="s">
        <v>2434</v>
      </c>
      <c r="D19" s="172">
        <v>0.05</v>
      </c>
      <c r="E19" s="171">
        <v>0</v>
      </c>
      <c r="F19" s="171" t="s">
        <v>1254</v>
      </c>
      <c r="G19" s="171" t="s">
        <v>886</v>
      </c>
      <c r="H19" s="171">
        <v>2</v>
      </c>
      <c r="I19" s="1569"/>
      <c r="J19" s="1570"/>
    </row>
    <row r="20" spans="2:16" s="102" customFormat="1" ht="18" outlineLevel="1" x14ac:dyDescent="0.25">
      <c r="B20" s="2536" t="s">
        <v>5166</v>
      </c>
      <c r="C20" s="2537" t="s">
        <v>5167</v>
      </c>
      <c r="D20" s="2142">
        <v>150</v>
      </c>
      <c r="E20" s="2141">
        <v>0</v>
      </c>
      <c r="F20" s="2141" t="s">
        <v>1254</v>
      </c>
      <c r="G20" s="2141" t="s">
        <v>1181</v>
      </c>
      <c r="H20" s="2141">
        <v>2</v>
      </c>
      <c r="I20" s="2141"/>
      <c r="J20" s="2540"/>
    </row>
    <row r="21" spans="2:16" s="102" customFormat="1" ht="18" outlineLevel="1" x14ac:dyDescent="0.25">
      <c r="B21" s="2536" t="s">
        <v>5193</v>
      </c>
      <c r="C21" s="2537" t="s">
        <v>5194</v>
      </c>
      <c r="D21" s="2142">
        <v>0.03</v>
      </c>
      <c r="E21" s="2141">
        <v>0</v>
      </c>
      <c r="F21" s="2141">
        <v>2</v>
      </c>
      <c r="G21" s="2141" t="s">
        <v>282</v>
      </c>
      <c r="H21" s="2141">
        <v>3</v>
      </c>
      <c r="I21" s="2537"/>
      <c r="J21" s="2539" t="s">
        <v>4450</v>
      </c>
    </row>
    <row r="22" spans="2:16" s="102" customFormat="1" ht="18" outlineLevel="1" x14ac:dyDescent="0.25">
      <c r="B22" s="169" t="s">
        <v>2136</v>
      </c>
      <c r="C22" s="570" t="s">
        <v>2646</v>
      </c>
      <c r="D22" s="170">
        <v>50</v>
      </c>
      <c r="E22" s="171">
        <v>0</v>
      </c>
      <c r="F22" s="171" t="s">
        <v>1254</v>
      </c>
      <c r="G22" s="171" t="s">
        <v>1181</v>
      </c>
      <c r="H22" s="171">
        <v>1</v>
      </c>
      <c r="I22" s="1569"/>
      <c r="J22" s="1570"/>
    </row>
    <row r="23" spans="2:16" s="102" customFormat="1" ht="18" outlineLevel="1" x14ac:dyDescent="0.25">
      <c r="B23" s="722" t="s">
        <v>4448</v>
      </c>
      <c r="C23" s="1738" t="s">
        <v>4449</v>
      </c>
      <c r="D23" s="1791">
        <v>1.2E-2</v>
      </c>
      <c r="E23" s="1739">
        <v>0</v>
      </c>
      <c r="F23" s="1739">
        <v>2</v>
      </c>
      <c r="G23" s="1739" t="s">
        <v>282</v>
      </c>
      <c r="H23" s="1739">
        <v>3</v>
      </c>
      <c r="I23" s="1738"/>
      <c r="J23" s="1740" t="s">
        <v>4450</v>
      </c>
    </row>
    <row r="24" spans="2:16" s="102" customFormat="1" ht="18" outlineLevel="1" x14ac:dyDescent="0.25">
      <c r="B24" s="169" t="s">
        <v>3095</v>
      </c>
      <c r="C24" s="570" t="s">
        <v>4156</v>
      </c>
      <c r="D24" s="171">
        <v>5</v>
      </c>
      <c r="E24" s="171">
        <v>0</v>
      </c>
      <c r="F24" s="171" t="s">
        <v>1254</v>
      </c>
      <c r="G24" s="171" t="s">
        <v>1181</v>
      </c>
      <c r="H24" s="171">
        <v>1</v>
      </c>
      <c r="I24" s="1569"/>
      <c r="J24" s="1570"/>
    </row>
    <row r="25" spans="2:16" s="102" customFormat="1" ht="18.75" outlineLevel="1" thickBot="1" x14ac:dyDescent="0.3">
      <c r="B25" s="1446" t="s">
        <v>4155</v>
      </c>
      <c r="C25" s="1447" t="s">
        <v>4431</v>
      </c>
      <c r="D25" s="467">
        <v>350</v>
      </c>
      <c r="E25" s="467">
        <v>0</v>
      </c>
      <c r="F25" s="168" t="s">
        <v>1254</v>
      </c>
      <c r="G25" s="168" t="s">
        <v>1181</v>
      </c>
      <c r="H25" s="168">
        <v>1</v>
      </c>
      <c r="I25" s="1572"/>
      <c r="J25" s="1573"/>
    </row>
    <row r="26" spans="2:16" s="102" customFormat="1" ht="15.75" thickBot="1" x14ac:dyDescent="0.3">
      <c r="B26" s="131"/>
      <c r="C26" s="1111"/>
      <c r="D26" s="678"/>
      <c r="E26" s="695"/>
      <c r="F26" s="695"/>
      <c r="G26" s="695"/>
      <c r="H26" s="695"/>
      <c r="I26" s="1111"/>
      <c r="J26" s="142"/>
    </row>
    <row r="27" spans="2:16" s="102" customFormat="1" ht="15.75" thickBot="1" x14ac:dyDescent="0.3">
      <c r="B27" s="131"/>
      <c r="C27" s="1097" t="s">
        <v>3629</v>
      </c>
      <c r="D27" s="103" t="s">
        <v>303</v>
      </c>
      <c r="E27" s="103"/>
      <c r="F27" s="103"/>
      <c r="G27" s="103"/>
      <c r="H27" s="103"/>
      <c r="I27" s="131"/>
      <c r="J27" s="131"/>
      <c r="K27" s="103"/>
      <c r="L27" s="103"/>
      <c r="M27" s="103"/>
      <c r="N27" s="103"/>
      <c r="O27" s="103"/>
      <c r="P27" s="103"/>
    </row>
    <row r="28" spans="2:16" s="102" customFormat="1" ht="15.75" thickBot="1" x14ac:dyDescent="0.3">
      <c r="B28" s="883" t="s">
        <v>0</v>
      </c>
      <c r="C28" s="1448" t="s">
        <v>1</v>
      </c>
      <c r="D28" s="679" t="s">
        <v>842</v>
      </c>
      <c r="E28" s="679" t="s">
        <v>473</v>
      </c>
      <c r="F28" s="679" t="s">
        <v>474</v>
      </c>
      <c r="G28" s="679" t="s">
        <v>2</v>
      </c>
      <c r="H28" s="679" t="s">
        <v>302</v>
      </c>
      <c r="I28" s="1448" t="s">
        <v>116</v>
      </c>
      <c r="J28" s="952" t="s">
        <v>117</v>
      </c>
    </row>
    <row r="29" spans="2:16" s="102" customFormat="1" ht="18" outlineLevel="1" x14ac:dyDescent="0.25">
      <c r="B29" s="1449" t="s">
        <v>3096</v>
      </c>
      <c r="C29" s="1450" t="s">
        <v>3097</v>
      </c>
      <c r="D29" s="680">
        <v>6</v>
      </c>
      <c r="E29" s="681">
        <v>0</v>
      </c>
      <c r="F29" s="681" t="s">
        <v>1254</v>
      </c>
      <c r="G29" s="681" t="s">
        <v>3098</v>
      </c>
      <c r="H29" s="681">
        <v>1</v>
      </c>
      <c r="I29" s="1450" t="s">
        <v>1981</v>
      </c>
      <c r="J29" s="1574"/>
    </row>
    <row r="30" spans="2:16" s="102" customFormat="1" ht="18" outlineLevel="1" x14ac:dyDescent="0.25">
      <c r="B30" s="1451" t="s">
        <v>3100</v>
      </c>
      <c r="C30" s="1452" t="s">
        <v>3101</v>
      </c>
      <c r="D30" s="682">
        <v>0.5</v>
      </c>
      <c r="E30" s="683">
        <v>0</v>
      </c>
      <c r="F30" s="683" t="s">
        <v>1254</v>
      </c>
      <c r="G30" s="683" t="s">
        <v>3102</v>
      </c>
      <c r="H30" s="683">
        <v>1</v>
      </c>
      <c r="I30" s="1452" t="s">
        <v>3099</v>
      </c>
      <c r="J30" s="1575"/>
    </row>
    <row r="31" spans="2:16" s="102" customFormat="1" ht="18" outlineLevel="1" x14ac:dyDescent="0.25">
      <c r="B31" s="1451" t="s">
        <v>3103</v>
      </c>
      <c r="C31" s="1452" t="s">
        <v>3104</v>
      </c>
      <c r="D31" s="682">
        <v>6</v>
      </c>
      <c r="E31" s="683">
        <v>0</v>
      </c>
      <c r="F31" s="683" t="s">
        <v>1254</v>
      </c>
      <c r="G31" s="683" t="s">
        <v>3098</v>
      </c>
      <c r="H31" s="683">
        <v>1</v>
      </c>
      <c r="I31" s="1452"/>
      <c r="J31" s="1575"/>
    </row>
    <row r="32" spans="2:16" s="102" customFormat="1" ht="18" outlineLevel="1" x14ac:dyDescent="0.25">
      <c r="B32" s="1451" t="s">
        <v>3105</v>
      </c>
      <c r="C32" s="1452" t="s">
        <v>3106</v>
      </c>
      <c r="D32" s="682">
        <v>0.05</v>
      </c>
      <c r="E32" s="683">
        <v>0</v>
      </c>
      <c r="F32" s="683" t="s">
        <v>1254</v>
      </c>
      <c r="G32" s="683" t="s">
        <v>3102</v>
      </c>
      <c r="H32" s="683">
        <v>2</v>
      </c>
      <c r="I32" s="1452"/>
      <c r="J32" s="1575"/>
    </row>
    <row r="33" spans="2:10" s="102" customFormat="1" ht="18" outlineLevel="1" x14ac:dyDescent="0.25">
      <c r="B33" s="1451" t="s">
        <v>3205</v>
      </c>
      <c r="C33" s="1452" t="s">
        <v>3206</v>
      </c>
      <c r="D33" s="682">
        <v>0.6</v>
      </c>
      <c r="E33" s="683">
        <v>0</v>
      </c>
      <c r="F33" s="683" t="s">
        <v>1254</v>
      </c>
      <c r="G33" s="683" t="s">
        <v>2111</v>
      </c>
      <c r="H33" s="683">
        <v>2</v>
      </c>
      <c r="I33" s="1452"/>
      <c r="J33" s="1575"/>
    </row>
    <row r="34" spans="2:10" s="102" customFormat="1" ht="18.75" outlineLevel="1" thickBot="1" x14ac:dyDescent="0.3">
      <c r="B34" s="1451" t="s">
        <v>4514</v>
      </c>
      <c r="C34" s="1018" t="s">
        <v>4513</v>
      </c>
      <c r="D34" s="1777">
        <v>0.02</v>
      </c>
      <c r="E34" s="1017">
        <v>0</v>
      </c>
      <c r="F34" s="1017">
        <v>2</v>
      </c>
      <c r="G34" s="1017" t="s">
        <v>282</v>
      </c>
      <c r="H34" s="1017">
        <v>2</v>
      </c>
      <c r="I34" s="1018"/>
      <c r="J34" s="1576" t="s">
        <v>4450</v>
      </c>
    </row>
    <row r="35" spans="2:10" s="102" customFormat="1" ht="19.5" outlineLevel="1" thickBot="1" x14ac:dyDescent="0.3">
      <c r="B35" s="1451" t="s">
        <v>3545</v>
      </c>
      <c r="C35" s="1018" t="s">
        <v>3546</v>
      </c>
      <c r="D35" s="1030">
        <v>1E-3</v>
      </c>
      <c r="E35" s="1017">
        <v>0</v>
      </c>
      <c r="F35" s="1017" t="s">
        <v>1254</v>
      </c>
      <c r="G35" s="1017" t="s">
        <v>1180</v>
      </c>
      <c r="H35" s="1017">
        <v>2</v>
      </c>
      <c r="I35" s="1450"/>
      <c r="J35" s="1576"/>
    </row>
    <row r="36" spans="2:10" s="102" customFormat="1" ht="18.75" outlineLevel="1" x14ac:dyDescent="0.25">
      <c r="B36" s="1451" t="s">
        <v>3209</v>
      </c>
      <c r="C36" s="1452" t="s">
        <v>3212</v>
      </c>
      <c r="D36" s="682">
        <v>0.5</v>
      </c>
      <c r="E36" s="683">
        <v>0</v>
      </c>
      <c r="F36" s="683" t="s">
        <v>1254</v>
      </c>
      <c r="G36" s="683" t="s">
        <v>1180</v>
      </c>
      <c r="H36" s="683">
        <v>2</v>
      </c>
      <c r="I36" s="1450" t="s">
        <v>3099</v>
      </c>
      <c r="J36" s="1575"/>
    </row>
    <row r="37" spans="2:10" s="102" customFormat="1" ht="18" outlineLevel="1" x14ac:dyDescent="0.25">
      <c r="B37" s="1451" t="s">
        <v>3210</v>
      </c>
      <c r="C37" s="1452" t="s">
        <v>3213</v>
      </c>
      <c r="D37" s="682">
        <v>0.1</v>
      </c>
      <c r="E37" s="683">
        <v>0</v>
      </c>
      <c r="F37" s="683" t="s">
        <v>1254</v>
      </c>
      <c r="G37" s="683" t="s">
        <v>886</v>
      </c>
      <c r="H37" s="683">
        <v>2</v>
      </c>
      <c r="I37" s="1452"/>
      <c r="J37" s="1575"/>
    </row>
    <row r="38" spans="2:10" s="102" customFormat="1" ht="18" outlineLevel="1" x14ac:dyDescent="0.25">
      <c r="B38" s="1451" t="s">
        <v>3211</v>
      </c>
      <c r="C38" s="1452" t="s">
        <v>3214</v>
      </c>
      <c r="D38" s="682">
        <v>0.05</v>
      </c>
      <c r="E38" s="683">
        <v>0</v>
      </c>
      <c r="F38" s="683" t="s">
        <v>1254</v>
      </c>
      <c r="G38" s="683" t="s">
        <v>886</v>
      </c>
      <c r="H38" s="683">
        <v>2</v>
      </c>
      <c r="I38" s="1452"/>
      <c r="J38" s="1575"/>
    </row>
    <row r="39" spans="2:10" s="102" customFormat="1" ht="18" outlineLevel="1" x14ac:dyDescent="0.25">
      <c r="B39" s="1451" t="s">
        <v>3107</v>
      </c>
      <c r="C39" s="1452" t="s">
        <v>3108</v>
      </c>
      <c r="D39" s="682">
        <v>0.6</v>
      </c>
      <c r="E39" s="683">
        <v>0</v>
      </c>
      <c r="F39" s="683" t="s">
        <v>1254</v>
      </c>
      <c r="G39" s="683" t="s">
        <v>1976</v>
      </c>
      <c r="H39" s="683">
        <v>2</v>
      </c>
      <c r="I39" s="1452"/>
      <c r="J39" s="1575"/>
    </row>
    <row r="40" spans="2:10" s="102" customFormat="1" ht="18.75" outlineLevel="1" thickBot="1" x14ac:dyDescent="0.3">
      <c r="B40" s="1451" t="s">
        <v>3109</v>
      </c>
      <c r="C40" s="1452" t="s">
        <v>3110</v>
      </c>
      <c r="D40" s="684">
        <v>0.25</v>
      </c>
      <c r="E40" s="683">
        <v>0</v>
      </c>
      <c r="F40" s="683" t="s">
        <v>1254</v>
      </c>
      <c r="G40" s="683" t="s">
        <v>1976</v>
      </c>
      <c r="H40" s="683">
        <v>2</v>
      </c>
      <c r="I40" s="1452"/>
      <c r="J40" s="1575"/>
    </row>
    <row r="41" spans="2:10" s="102" customFormat="1" ht="18.75" outlineLevel="1" thickBot="1" x14ac:dyDescent="0.3">
      <c r="B41" s="1453" t="s">
        <v>3111</v>
      </c>
      <c r="C41" s="1126" t="s">
        <v>3112</v>
      </c>
      <c r="D41" s="685">
        <v>0.6</v>
      </c>
      <c r="E41" s="686">
        <v>0</v>
      </c>
      <c r="F41" s="686" t="s">
        <v>1254</v>
      </c>
      <c r="G41" s="686" t="s">
        <v>3098</v>
      </c>
      <c r="H41" s="686">
        <v>2</v>
      </c>
      <c r="I41" s="1450"/>
      <c r="J41" s="1577"/>
    </row>
    <row r="42" spans="2:10" s="102" customFormat="1" ht="15.75" thickBot="1" x14ac:dyDescent="0.3">
      <c r="B42" s="131"/>
      <c r="C42" s="1111"/>
      <c r="D42" s="678"/>
      <c r="E42" s="695"/>
      <c r="F42" s="695"/>
      <c r="G42" s="695"/>
      <c r="H42" s="695"/>
      <c r="I42" s="1111"/>
      <c r="J42" s="142"/>
    </row>
    <row r="43" spans="2:10" s="102" customFormat="1" ht="15.75" thickBot="1" x14ac:dyDescent="0.3">
      <c r="B43" s="131"/>
      <c r="C43" s="497" t="s">
        <v>2121</v>
      </c>
      <c r="D43" s="103" t="s">
        <v>303</v>
      </c>
      <c r="E43" s="103"/>
      <c r="F43" s="103"/>
      <c r="G43" s="103"/>
      <c r="H43" s="103"/>
      <c r="I43" s="131"/>
      <c r="J43" s="142"/>
    </row>
    <row r="44" spans="2:10" s="102" customFormat="1" ht="15.75" thickBot="1" x14ac:dyDescent="0.3">
      <c r="B44" s="343" t="s">
        <v>0</v>
      </c>
      <c r="C44" s="1445" t="s">
        <v>1</v>
      </c>
      <c r="D44" s="344" t="s">
        <v>842</v>
      </c>
      <c r="E44" s="344" t="s">
        <v>473</v>
      </c>
      <c r="F44" s="344" t="s">
        <v>474</v>
      </c>
      <c r="G44" s="344" t="s">
        <v>2</v>
      </c>
      <c r="H44" s="344" t="s">
        <v>302</v>
      </c>
      <c r="I44" s="1445" t="s">
        <v>116</v>
      </c>
      <c r="J44" s="1578" t="s">
        <v>117</v>
      </c>
    </row>
    <row r="45" spans="2:10" s="102" customFormat="1" ht="18" outlineLevel="1" x14ac:dyDescent="0.25">
      <c r="B45" s="1454" t="s">
        <v>1188</v>
      </c>
      <c r="C45" s="1455" t="s">
        <v>2435</v>
      </c>
      <c r="D45" s="575">
        <v>1.3</v>
      </c>
      <c r="E45" s="576">
        <v>0</v>
      </c>
      <c r="F45" s="576" t="s">
        <v>1254</v>
      </c>
      <c r="G45" s="576" t="s">
        <v>446</v>
      </c>
      <c r="H45" s="576">
        <v>1</v>
      </c>
      <c r="I45" s="1455"/>
      <c r="J45" s="1579"/>
    </row>
    <row r="46" spans="2:10" s="102" customFormat="1" ht="18" outlineLevel="1" x14ac:dyDescent="0.25">
      <c r="B46" s="1456" t="s">
        <v>1189</v>
      </c>
      <c r="C46" s="1457" t="s">
        <v>2436</v>
      </c>
      <c r="D46" s="577">
        <v>0.05</v>
      </c>
      <c r="E46" s="578">
        <v>0</v>
      </c>
      <c r="F46" s="578" t="s">
        <v>1254</v>
      </c>
      <c r="G46" s="578" t="s">
        <v>446</v>
      </c>
      <c r="H46" s="578">
        <v>2</v>
      </c>
      <c r="I46" s="1457"/>
      <c r="J46" s="1580"/>
    </row>
    <row r="47" spans="2:10" s="102" customFormat="1" ht="18" outlineLevel="1" x14ac:dyDescent="0.25">
      <c r="B47" s="1458" t="s">
        <v>1190</v>
      </c>
      <c r="C47" s="1459" t="s">
        <v>2437</v>
      </c>
      <c r="D47" s="573">
        <v>10</v>
      </c>
      <c r="E47" s="574">
        <v>0</v>
      </c>
      <c r="F47" s="574" t="s">
        <v>1254</v>
      </c>
      <c r="G47" s="574" t="s">
        <v>446</v>
      </c>
      <c r="H47" s="574">
        <v>1</v>
      </c>
      <c r="I47" s="1581"/>
      <c r="J47" s="1582" t="s">
        <v>1158</v>
      </c>
    </row>
    <row r="48" spans="2:10" s="102" customFormat="1" ht="18" outlineLevel="1" x14ac:dyDescent="0.25">
      <c r="B48" s="1460" t="s">
        <v>1912</v>
      </c>
      <c r="C48" s="1457" t="s">
        <v>2438</v>
      </c>
      <c r="D48" s="571">
        <v>0.5</v>
      </c>
      <c r="E48" s="572">
        <v>0</v>
      </c>
      <c r="F48" s="572" t="s">
        <v>1254</v>
      </c>
      <c r="G48" s="572" t="s">
        <v>1181</v>
      </c>
      <c r="H48" s="572">
        <v>1</v>
      </c>
      <c r="I48" s="1583"/>
      <c r="J48" s="1584"/>
    </row>
    <row r="49" spans="2:10" s="102" customFormat="1" ht="18.75" outlineLevel="1" x14ac:dyDescent="0.25">
      <c r="B49" s="1456" t="s">
        <v>3713</v>
      </c>
      <c r="C49" s="1457" t="s">
        <v>3714</v>
      </c>
      <c r="D49" s="577">
        <v>0.05</v>
      </c>
      <c r="E49" s="578">
        <v>0</v>
      </c>
      <c r="F49" s="578" t="s">
        <v>1254</v>
      </c>
      <c r="G49" s="578" t="s">
        <v>1180</v>
      </c>
      <c r="H49" s="578">
        <v>2</v>
      </c>
      <c r="I49" s="1457"/>
      <c r="J49" s="1580"/>
    </row>
    <row r="50" spans="2:10" s="102" customFormat="1" ht="18" outlineLevel="1" x14ac:dyDescent="0.25">
      <c r="B50" s="1456" t="s">
        <v>1913</v>
      </c>
      <c r="C50" s="1457" t="s">
        <v>2439</v>
      </c>
      <c r="D50" s="577">
        <v>0.05</v>
      </c>
      <c r="E50" s="578">
        <v>0</v>
      </c>
      <c r="F50" s="578" t="s">
        <v>1254</v>
      </c>
      <c r="G50" s="578" t="s">
        <v>886</v>
      </c>
      <c r="H50" s="578">
        <v>2</v>
      </c>
      <c r="I50" s="1457"/>
      <c r="J50" s="1580"/>
    </row>
    <row r="51" spans="2:10" s="102" customFormat="1" ht="18" outlineLevel="1" x14ac:dyDescent="0.25">
      <c r="B51" s="2530" t="s">
        <v>2213</v>
      </c>
      <c r="C51" s="2531" t="s">
        <v>2440</v>
      </c>
      <c r="D51" s="2532">
        <v>0.02</v>
      </c>
      <c r="E51" s="2533">
        <v>0</v>
      </c>
      <c r="F51" s="2533" t="s">
        <v>1254</v>
      </c>
      <c r="G51" s="2533" t="s">
        <v>886</v>
      </c>
      <c r="H51" s="2533">
        <v>2</v>
      </c>
      <c r="I51" s="2531"/>
      <c r="J51" s="2534"/>
    </row>
    <row r="52" spans="2:10" s="102" customFormat="1" ht="18" outlineLevel="1" x14ac:dyDescent="0.25">
      <c r="B52" s="2541" t="s">
        <v>5168</v>
      </c>
      <c r="C52" s="2542" t="s">
        <v>5422</v>
      </c>
      <c r="D52" s="2532">
        <v>150</v>
      </c>
      <c r="E52" s="2533">
        <v>0</v>
      </c>
      <c r="F52" s="2533" t="s">
        <v>1254</v>
      </c>
      <c r="G52" s="572" t="s">
        <v>1181</v>
      </c>
      <c r="H52" s="2533">
        <v>2</v>
      </c>
      <c r="I52" s="2531"/>
      <c r="J52" s="2534"/>
    </row>
    <row r="53" spans="2:10" s="102" customFormat="1" ht="18.75" outlineLevel="1" thickBot="1" x14ac:dyDescent="0.3">
      <c r="B53" s="2543" t="s">
        <v>5195</v>
      </c>
      <c r="C53" s="2544" t="s">
        <v>5196</v>
      </c>
      <c r="D53" s="2545">
        <v>0.03</v>
      </c>
      <c r="E53" s="2546">
        <v>0</v>
      </c>
      <c r="F53" s="2546">
        <v>2</v>
      </c>
      <c r="G53" s="2546" t="s">
        <v>282</v>
      </c>
      <c r="H53" s="2546">
        <v>3</v>
      </c>
      <c r="I53" s="2544"/>
      <c r="J53" s="2547" t="s">
        <v>4450</v>
      </c>
    </row>
    <row r="54" spans="2:10" s="102" customFormat="1" ht="15.75" thickBot="1" x14ac:dyDescent="0.3">
      <c r="B54" s="142"/>
      <c r="C54" s="142"/>
      <c r="I54" s="142"/>
      <c r="J54" s="142"/>
    </row>
    <row r="55" spans="2:10" s="102" customFormat="1" ht="15.75" thickBot="1" x14ac:dyDescent="0.3">
      <c r="B55" s="131"/>
      <c r="C55" s="1246" t="s">
        <v>3983</v>
      </c>
      <c r="D55" s="103" t="s">
        <v>303</v>
      </c>
      <c r="E55" s="103"/>
      <c r="F55" s="103"/>
      <c r="G55" s="103"/>
      <c r="H55" s="103"/>
      <c r="I55" s="131"/>
      <c r="J55" s="142"/>
    </row>
    <row r="56" spans="2:10" s="102" customFormat="1" ht="15.75" thickBot="1" x14ac:dyDescent="0.3">
      <c r="B56" s="343" t="s">
        <v>0</v>
      </c>
      <c r="C56" s="1445" t="s">
        <v>1</v>
      </c>
      <c r="D56" s="344" t="s">
        <v>842</v>
      </c>
      <c r="E56" s="344" t="s">
        <v>473</v>
      </c>
      <c r="F56" s="344" t="s">
        <v>474</v>
      </c>
      <c r="G56" s="344" t="s">
        <v>2</v>
      </c>
      <c r="H56" s="344" t="s">
        <v>302</v>
      </c>
      <c r="I56" s="1445" t="s">
        <v>116</v>
      </c>
      <c r="J56" s="1578" t="s">
        <v>117</v>
      </c>
    </row>
    <row r="57" spans="2:10" s="102" customFormat="1" ht="18" outlineLevel="1" x14ac:dyDescent="0.25">
      <c r="B57" s="1461" t="s">
        <v>3954</v>
      </c>
      <c r="C57" s="1276" t="s">
        <v>3953</v>
      </c>
      <c r="D57" s="873">
        <v>1</v>
      </c>
      <c r="E57" s="867">
        <v>0</v>
      </c>
      <c r="F57" s="867" t="s">
        <v>1254</v>
      </c>
      <c r="G57" s="868" t="s">
        <v>446</v>
      </c>
      <c r="H57" s="867">
        <v>2</v>
      </c>
      <c r="I57" s="1585" t="s">
        <v>1980</v>
      </c>
      <c r="J57" s="1586"/>
    </row>
    <row r="58" spans="2:10" s="102" customFormat="1" ht="18" outlineLevel="1" x14ac:dyDescent="0.25">
      <c r="B58" s="1277" t="s">
        <v>3955</v>
      </c>
      <c r="C58" s="1276" t="s">
        <v>3956</v>
      </c>
      <c r="D58" s="1278">
        <v>0.1</v>
      </c>
      <c r="E58" s="869">
        <v>0</v>
      </c>
      <c r="F58" s="869" t="s">
        <v>1254</v>
      </c>
      <c r="G58" s="869" t="s">
        <v>446</v>
      </c>
      <c r="H58" s="869">
        <v>1</v>
      </c>
      <c r="I58" s="1276" t="s">
        <v>1980</v>
      </c>
      <c r="J58" s="1587"/>
    </row>
    <row r="59" spans="2:10" s="102" customFormat="1" ht="18" outlineLevel="1" x14ac:dyDescent="0.25">
      <c r="B59" s="579" t="s">
        <v>2449</v>
      </c>
      <c r="C59" s="1202" t="s">
        <v>2441</v>
      </c>
      <c r="D59" s="870">
        <v>0.45</v>
      </c>
      <c r="E59" s="869">
        <v>0</v>
      </c>
      <c r="F59" s="869" t="s">
        <v>1254</v>
      </c>
      <c r="G59" s="869" t="s">
        <v>446</v>
      </c>
      <c r="H59" s="869">
        <v>1</v>
      </c>
      <c r="I59" s="1202"/>
      <c r="J59" s="1588"/>
    </row>
    <row r="60" spans="2:10" s="102" customFormat="1" ht="18" outlineLevel="1" x14ac:dyDescent="0.25">
      <c r="B60" s="579" t="s">
        <v>1711</v>
      </c>
      <c r="C60" s="1462" t="s">
        <v>2442</v>
      </c>
      <c r="D60" s="870">
        <v>0.49</v>
      </c>
      <c r="E60" s="869">
        <v>0</v>
      </c>
      <c r="F60" s="869" t="s">
        <v>1254</v>
      </c>
      <c r="G60" s="871" t="s">
        <v>446</v>
      </c>
      <c r="H60" s="869">
        <v>2</v>
      </c>
      <c r="I60" s="1202"/>
      <c r="J60" s="872"/>
    </row>
    <row r="61" spans="2:10" s="102" customFormat="1" ht="18" outlineLevel="1" x14ac:dyDescent="0.25">
      <c r="B61" s="579" t="s">
        <v>3958</v>
      </c>
      <c r="C61" s="1279" t="s">
        <v>3957</v>
      </c>
      <c r="D61" s="873">
        <v>0.08</v>
      </c>
      <c r="E61" s="869">
        <v>0</v>
      </c>
      <c r="F61" s="869" t="s">
        <v>1254</v>
      </c>
      <c r="G61" s="871" t="s">
        <v>446</v>
      </c>
      <c r="H61" s="869">
        <v>2</v>
      </c>
      <c r="I61" s="1202"/>
      <c r="J61" s="1588" t="s">
        <v>3960</v>
      </c>
    </row>
    <row r="62" spans="2:10" s="102" customFormat="1" ht="18" outlineLevel="1" x14ac:dyDescent="0.25">
      <c r="B62" s="579" t="s">
        <v>3959</v>
      </c>
      <c r="C62" s="2571" t="s">
        <v>5223</v>
      </c>
      <c r="D62" s="873">
        <v>7.0000000000000007E-2</v>
      </c>
      <c r="E62" s="869">
        <v>0</v>
      </c>
      <c r="F62" s="869" t="s">
        <v>1254</v>
      </c>
      <c r="G62" s="871" t="s">
        <v>446</v>
      </c>
      <c r="H62" s="869">
        <v>2</v>
      </c>
      <c r="I62" s="1202"/>
      <c r="J62" s="1588"/>
    </row>
    <row r="63" spans="2:10" s="102" customFormat="1" ht="18" outlineLevel="1" x14ac:dyDescent="0.25">
      <c r="B63" s="579" t="s">
        <v>2093</v>
      </c>
      <c r="C63" s="1202" t="s">
        <v>2443</v>
      </c>
      <c r="D63" s="873">
        <v>5.0000000000000001E-3</v>
      </c>
      <c r="E63" s="869">
        <v>0</v>
      </c>
      <c r="F63" s="869" t="s">
        <v>1254</v>
      </c>
      <c r="G63" s="871" t="s">
        <v>446</v>
      </c>
      <c r="H63" s="869">
        <v>2</v>
      </c>
      <c r="I63" s="1202"/>
      <c r="J63" s="1588"/>
    </row>
    <row r="64" spans="2:10" s="102" customFormat="1" ht="18" outlineLevel="1" x14ac:dyDescent="0.25">
      <c r="B64" s="579" t="s">
        <v>4162</v>
      </c>
      <c r="C64" s="1202" t="s">
        <v>2444</v>
      </c>
      <c r="D64" s="874">
        <v>7</v>
      </c>
      <c r="E64" s="869">
        <v>0</v>
      </c>
      <c r="F64" s="869" t="s">
        <v>1254</v>
      </c>
      <c r="G64" s="871" t="s">
        <v>446</v>
      </c>
      <c r="H64" s="869">
        <v>1</v>
      </c>
      <c r="I64" s="1202"/>
      <c r="J64" s="1588"/>
    </row>
    <row r="65" spans="2:10" s="102" customFormat="1" ht="18" outlineLevel="1" x14ac:dyDescent="0.25">
      <c r="B65" s="2573" t="s">
        <v>5225</v>
      </c>
      <c r="C65" s="2572" t="s">
        <v>5224</v>
      </c>
      <c r="D65" s="874">
        <v>4</v>
      </c>
      <c r="E65" s="869">
        <v>0</v>
      </c>
      <c r="F65" s="869" t="s">
        <v>1254</v>
      </c>
      <c r="G65" s="871" t="s">
        <v>446</v>
      </c>
      <c r="H65" s="869">
        <v>1</v>
      </c>
      <c r="I65" s="1202"/>
      <c r="J65" s="1588"/>
    </row>
    <row r="66" spans="2:10" s="102" customFormat="1" ht="18" outlineLevel="1" x14ac:dyDescent="0.25">
      <c r="B66" s="579" t="s">
        <v>3964</v>
      </c>
      <c r="C66" s="1279" t="s">
        <v>3961</v>
      </c>
      <c r="D66" s="873">
        <v>0.66</v>
      </c>
      <c r="E66" s="869">
        <v>0</v>
      </c>
      <c r="F66" s="869" t="s">
        <v>1254</v>
      </c>
      <c r="G66" s="871" t="s">
        <v>1976</v>
      </c>
      <c r="H66" s="869">
        <v>2</v>
      </c>
      <c r="I66" s="1202"/>
      <c r="J66" s="1588"/>
    </row>
    <row r="67" spans="2:10" s="102" customFormat="1" ht="18" outlineLevel="1" x14ac:dyDescent="0.25">
      <c r="B67" s="579" t="s">
        <v>3965</v>
      </c>
      <c r="C67" s="1463" t="s">
        <v>3962</v>
      </c>
      <c r="D67" s="873">
        <v>0.5</v>
      </c>
      <c r="E67" s="869">
        <v>0</v>
      </c>
      <c r="F67" s="869" t="s">
        <v>1254</v>
      </c>
      <c r="G67" s="875" t="s">
        <v>1976</v>
      </c>
      <c r="H67" s="869">
        <v>2</v>
      </c>
      <c r="I67" s="1202"/>
      <c r="J67" s="1588"/>
    </row>
    <row r="68" spans="2:10" s="102" customFormat="1" ht="18" outlineLevel="1" x14ac:dyDescent="0.25">
      <c r="B68" s="579" t="s">
        <v>3966</v>
      </c>
      <c r="C68" s="1463" t="s">
        <v>3963</v>
      </c>
      <c r="D68" s="873">
        <v>0.25</v>
      </c>
      <c r="E68" s="869">
        <v>0</v>
      </c>
      <c r="F68" s="869" t="s">
        <v>1254</v>
      </c>
      <c r="G68" s="875" t="s">
        <v>1976</v>
      </c>
      <c r="H68" s="869">
        <v>2</v>
      </c>
      <c r="I68" s="1202"/>
      <c r="J68" s="1588"/>
    </row>
    <row r="69" spans="2:10" s="102" customFormat="1" ht="18" outlineLevel="1" x14ac:dyDescent="0.25">
      <c r="B69" s="579" t="s">
        <v>3967</v>
      </c>
      <c r="C69" s="2574" t="s">
        <v>5226</v>
      </c>
      <c r="D69" s="873">
        <v>0.66</v>
      </c>
      <c r="E69" s="869">
        <v>0</v>
      </c>
      <c r="F69" s="869" t="s">
        <v>1254</v>
      </c>
      <c r="G69" s="871" t="s">
        <v>1976</v>
      </c>
      <c r="H69" s="869">
        <v>2</v>
      </c>
      <c r="I69" s="1202"/>
      <c r="J69" s="1588"/>
    </row>
    <row r="70" spans="2:10" s="102" customFormat="1" ht="18" outlineLevel="1" x14ac:dyDescent="0.25">
      <c r="B70" s="579" t="s">
        <v>2164</v>
      </c>
      <c r="C70" s="1202" t="s">
        <v>2445</v>
      </c>
      <c r="D70" s="873">
        <v>0.25</v>
      </c>
      <c r="E70" s="869">
        <v>0</v>
      </c>
      <c r="F70" s="869" t="s">
        <v>1254</v>
      </c>
      <c r="G70" s="875" t="s">
        <v>1976</v>
      </c>
      <c r="H70" s="869">
        <v>2</v>
      </c>
      <c r="I70" s="1202"/>
      <c r="J70" s="1588"/>
    </row>
    <row r="71" spans="2:10" s="102" customFormat="1" ht="18" outlineLevel="1" x14ac:dyDescent="0.25">
      <c r="B71" s="579" t="s">
        <v>2165</v>
      </c>
      <c r="C71" s="1202" t="s">
        <v>2446</v>
      </c>
      <c r="D71" s="873">
        <v>0.5</v>
      </c>
      <c r="E71" s="869">
        <v>0</v>
      </c>
      <c r="F71" s="869" t="s">
        <v>1254</v>
      </c>
      <c r="G71" s="875" t="s">
        <v>1976</v>
      </c>
      <c r="H71" s="869">
        <v>2</v>
      </c>
      <c r="I71" s="1202"/>
      <c r="J71" s="1588"/>
    </row>
    <row r="72" spans="2:10" s="102" customFormat="1" ht="18" outlineLevel="1" x14ac:dyDescent="0.25">
      <c r="B72" s="579" t="s">
        <v>1914</v>
      </c>
      <c r="C72" s="1279" t="s">
        <v>2447</v>
      </c>
      <c r="D72" s="2144">
        <v>0.15</v>
      </c>
      <c r="E72" s="2143">
        <v>0</v>
      </c>
      <c r="F72" s="2143" t="s">
        <v>1254</v>
      </c>
      <c r="G72" s="2638" t="s">
        <v>888</v>
      </c>
      <c r="H72" s="2143">
        <v>2</v>
      </c>
      <c r="I72" s="1276" t="s">
        <v>5404</v>
      </c>
      <c r="J72" s="2639" t="s">
        <v>5403</v>
      </c>
    </row>
    <row r="73" spans="2:10" s="102" customFormat="1" ht="18" outlineLevel="1" x14ac:dyDescent="0.25">
      <c r="B73" s="579" t="s">
        <v>4451</v>
      </c>
      <c r="C73" s="1202" t="s">
        <v>4452</v>
      </c>
      <c r="D73" s="873">
        <v>0.8</v>
      </c>
      <c r="E73" s="869">
        <v>0</v>
      </c>
      <c r="F73" s="869">
        <v>2</v>
      </c>
      <c r="G73" s="871" t="s">
        <v>282</v>
      </c>
      <c r="H73" s="869">
        <v>2</v>
      </c>
      <c r="I73" s="1202"/>
      <c r="J73" s="1588" t="s">
        <v>4450</v>
      </c>
    </row>
    <row r="74" spans="2:10" s="102" customFormat="1" ht="18" outlineLevel="1" x14ac:dyDescent="0.25">
      <c r="B74" s="579" t="s">
        <v>4453</v>
      </c>
      <c r="C74" s="1202" t="s">
        <v>4454</v>
      </c>
      <c r="D74" s="873">
        <v>0.4</v>
      </c>
      <c r="E74" s="869">
        <v>0</v>
      </c>
      <c r="F74" s="869">
        <v>2</v>
      </c>
      <c r="G74" s="871" t="s">
        <v>282</v>
      </c>
      <c r="H74" s="869">
        <v>2</v>
      </c>
      <c r="I74" s="1202"/>
      <c r="J74" s="1588" t="s">
        <v>4450</v>
      </c>
    </row>
    <row r="75" spans="2:10" s="102" customFormat="1" ht="18" outlineLevel="1" x14ac:dyDescent="0.25">
      <c r="B75" s="579" t="s">
        <v>3968</v>
      </c>
      <c r="C75" s="1279" t="s">
        <v>3969</v>
      </c>
      <c r="D75" s="873">
        <v>0.1</v>
      </c>
      <c r="E75" s="869">
        <v>0</v>
      </c>
      <c r="F75" s="869" t="s">
        <v>1254</v>
      </c>
      <c r="G75" s="871" t="s">
        <v>2111</v>
      </c>
      <c r="H75" s="869">
        <v>2</v>
      </c>
      <c r="I75" s="1202"/>
      <c r="J75" s="1588"/>
    </row>
    <row r="76" spans="2:10" s="102" customFormat="1" ht="18" outlineLevel="1" x14ac:dyDescent="0.25">
      <c r="B76" s="579" t="s">
        <v>1777</v>
      </c>
      <c r="C76" s="1279" t="s">
        <v>2448</v>
      </c>
      <c r="D76" s="873">
        <v>0.01</v>
      </c>
      <c r="E76" s="869">
        <v>0</v>
      </c>
      <c r="F76" s="869" t="s">
        <v>1254</v>
      </c>
      <c r="G76" s="871" t="s">
        <v>2111</v>
      </c>
      <c r="H76" s="869">
        <v>2</v>
      </c>
      <c r="I76" s="1202"/>
      <c r="J76" s="1588"/>
    </row>
    <row r="77" spans="2:10" s="102" customFormat="1" ht="18" outlineLevel="1" x14ac:dyDescent="0.25">
      <c r="B77" s="579" t="s">
        <v>3970</v>
      </c>
      <c r="C77" s="1279" t="s">
        <v>3971</v>
      </c>
      <c r="D77" s="873">
        <v>0.1</v>
      </c>
      <c r="E77" s="869">
        <v>0</v>
      </c>
      <c r="F77" s="869" t="s">
        <v>1254</v>
      </c>
      <c r="G77" s="871" t="s">
        <v>2111</v>
      </c>
      <c r="H77" s="869">
        <v>2</v>
      </c>
      <c r="I77" s="1202"/>
      <c r="J77" s="1588"/>
    </row>
    <row r="78" spans="2:10" s="102" customFormat="1" ht="18" outlineLevel="1" x14ac:dyDescent="0.25">
      <c r="B78" s="579" t="s">
        <v>4037</v>
      </c>
      <c r="C78" s="1160" t="s">
        <v>3972</v>
      </c>
      <c r="D78" s="871">
        <v>0.05</v>
      </c>
      <c r="E78" s="869">
        <v>0</v>
      </c>
      <c r="F78" s="871" t="s">
        <v>1254</v>
      </c>
      <c r="G78" s="871" t="s">
        <v>1180</v>
      </c>
      <c r="H78" s="871">
        <v>2</v>
      </c>
      <c r="I78" s="1160"/>
      <c r="J78" s="1305"/>
    </row>
    <row r="79" spans="2:10" s="102" customFormat="1" ht="18" outlineLevel="1" x14ac:dyDescent="0.25">
      <c r="B79" s="587" t="s">
        <v>4043</v>
      </c>
      <c r="C79" s="1281" t="s">
        <v>3973</v>
      </c>
      <c r="D79" s="873">
        <v>0.1</v>
      </c>
      <c r="E79" s="869">
        <v>0</v>
      </c>
      <c r="F79" s="871" t="s">
        <v>1254</v>
      </c>
      <c r="G79" s="871" t="s">
        <v>886</v>
      </c>
      <c r="H79" s="871">
        <v>2</v>
      </c>
      <c r="I79" s="1160"/>
      <c r="J79" s="1305"/>
    </row>
    <row r="80" spans="2:10" s="102" customFormat="1" ht="18" outlineLevel="1" x14ac:dyDescent="0.25">
      <c r="B80" s="587" t="s">
        <v>4083</v>
      </c>
      <c r="C80" s="1281" t="s">
        <v>3974</v>
      </c>
      <c r="D80" s="871">
        <v>0.05</v>
      </c>
      <c r="E80" s="869">
        <v>0</v>
      </c>
      <c r="F80" s="871" t="s">
        <v>1254</v>
      </c>
      <c r="G80" s="871" t="s">
        <v>886</v>
      </c>
      <c r="H80" s="871">
        <v>2</v>
      </c>
      <c r="I80" s="1160"/>
      <c r="J80" s="1305"/>
    </row>
    <row r="81" spans="2:10" s="102" customFormat="1" ht="18" outlineLevel="1" x14ac:dyDescent="0.25">
      <c r="B81" s="579" t="s">
        <v>4049</v>
      </c>
      <c r="C81" s="1280" t="s">
        <v>3975</v>
      </c>
      <c r="D81" s="874">
        <v>5</v>
      </c>
      <c r="E81" s="869">
        <v>0</v>
      </c>
      <c r="F81" s="869" t="s">
        <v>1254</v>
      </c>
      <c r="G81" s="871" t="s">
        <v>1181</v>
      </c>
      <c r="H81" s="869">
        <v>1</v>
      </c>
      <c r="I81" s="1202"/>
      <c r="J81" s="872"/>
    </row>
    <row r="82" spans="2:10" s="102" customFormat="1" ht="18" outlineLevel="1" x14ac:dyDescent="0.25">
      <c r="B82" s="579" t="s">
        <v>2094</v>
      </c>
      <c r="C82" s="1463" t="s">
        <v>2651</v>
      </c>
      <c r="D82" s="870">
        <v>0.01</v>
      </c>
      <c r="E82" s="869">
        <v>0</v>
      </c>
      <c r="F82" s="869" t="s">
        <v>1254</v>
      </c>
      <c r="G82" s="871" t="s">
        <v>2111</v>
      </c>
      <c r="H82" s="869">
        <v>2</v>
      </c>
      <c r="I82" s="1202"/>
      <c r="J82" s="872"/>
    </row>
    <row r="83" spans="2:10" s="102" customFormat="1" ht="18" outlineLevel="1" x14ac:dyDescent="0.25">
      <c r="B83" s="579" t="s">
        <v>2657</v>
      </c>
      <c r="C83" s="1463" t="s">
        <v>3192</v>
      </c>
      <c r="D83" s="870">
        <v>0.35</v>
      </c>
      <c r="E83" s="869">
        <v>0</v>
      </c>
      <c r="F83" s="869" t="s">
        <v>1254</v>
      </c>
      <c r="G83" s="871" t="s">
        <v>1883</v>
      </c>
      <c r="H83" s="869">
        <v>2</v>
      </c>
      <c r="I83" s="1202"/>
      <c r="J83" s="872"/>
    </row>
    <row r="84" spans="2:10" s="102" customFormat="1" ht="18" outlineLevel="1" x14ac:dyDescent="0.25">
      <c r="B84" s="579" t="s">
        <v>4455</v>
      </c>
      <c r="C84" s="1160" t="s">
        <v>4456</v>
      </c>
      <c r="D84" s="870">
        <v>0.17</v>
      </c>
      <c r="E84" s="869">
        <v>0</v>
      </c>
      <c r="F84" s="871">
        <v>2</v>
      </c>
      <c r="G84" s="871" t="s">
        <v>282</v>
      </c>
      <c r="H84" s="869">
        <v>2</v>
      </c>
      <c r="I84" s="1160"/>
      <c r="J84" s="1305" t="s">
        <v>4457</v>
      </c>
    </row>
    <row r="85" spans="2:10" s="102" customFormat="1" ht="18" outlineLevel="1" x14ac:dyDescent="0.25">
      <c r="B85" s="579" t="s">
        <v>4403</v>
      </c>
      <c r="C85" s="1160" t="s">
        <v>4404</v>
      </c>
      <c r="D85" s="870">
        <v>0.1</v>
      </c>
      <c r="E85" s="869">
        <v>0</v>
      </c>
      <c r="F85" s="871">
        <v>1</v>
      </c>
      <c r="G85" s="871" t="s">
        <v>1181</v>
      </c>
      <c r="H85" s="869">
        <v>2</v>
      </c>
      <c r="I85" s="1160"/>
      <c r="J85" s="1305"/>
    </row>
    <row r="86" spans="2:10" s="102" customFormat="1" ht="18" outlineLevel="1" x14ac:dyDescent="0.25">
      <c r="B86" s="579" t="s">
        <v>2658</v>
      </c>
      <c r="C86" s="1463" t="s">
        <v>3193</v>
      </c>
      <c r="D86" s="870">
        <v>0.6</v>
      </c>
      <c r="E86" s="869">
        <v>0</v>
      </c>
      <c r="F86" s="869" t="s">
        <v>1254</v>
      </c>
      <c r="G86" s="871" t="s">
        <v>2111</v>
      </c>
      <c r="H86" s="869">
        <v>2</v>
      </c>
      <c r="I86" s="1202"/>
      <c r="J86" s="872"/>
    </row>
    <row r="87" spans="2:10" s="102" customFormat="1" ht="18" outlineLevel="1" x14ac:dyDescent="0.25">
      <c r="B87" s="579" t="s">
        <v>4458</v>
      </c>
      <c r="C87" s="1160" t="s">
        <v>4459</v>
      </c>
      <c r="D87" s="870">
        <v>0.1</v>
      </c>
      <c r="E87" s="869">
        <v>0</v>
      </c>
      <c r="F87" s="871">
        <v>2</v>
      </c>
      <c r="G87" s="871" t="s">
        <v>282</v>
      </c>
      <c r="H87" s="869">
        <v>2</v>
      </c>
      <c r="I87" s="1160"/>
      <c r="J87" s="1305" t="s">
        <v>4457</v>
      </c>
    </row>
    <row r="88" spans="2:10" s="102" customFormat="1" ht="18" outlineLevel="1" x14ac:dyDescent="0.25">
      <c r="B88" s="579" t="s">
        <v>1915</v>
      </c>
      <c r="C88" s="1160" t="s">
        <v>2455</v>
      </c>
      <c r="D88" s="871">
        <v>1E-3</v>
      </c>
      <c r="E88" s="869">
        <v>0</v>
      </c>
      <c r="F88" s="871" t="s">
        <v>1254</v>
      </c>
      <c r="G88" s="871" t="s">
        <v>1621</v>
      </c>
      <c r="H88" s="871">
        <v>4</v>
      </c>
      <c r="I88" s="1160"/>
      <c r="J88" s="1305"/>
    </row>
    <row r="89" spans="2:10" s="102" customFormat="1" ht="18" outlineLevel="1" x14ac:dyDescent="0.25">
      <c r="B89" s="579" t="s">
        <v>1916</v>
      </c>
      <c r="C89" s="1160" t="s">
        <v>2456</v>
      </c>
      <c r="D89" s="871">
        <v>1E-3</v>
      </c>
      <c r="E89" s="869">
        <v>0</v>
      </c>
      <c r="F89" s="871" t="s">
        <v>1254</v>
      </c>
      <c r="G89" s="871" t="s">
        <v>1622</v>
      </c>
      <c r="H89" s="871">
        <v>4</v>
      </c>
      <c r="I89" s="1160"/>
      <c r="J89" s="1305"/>
    </row>
    <row r="90" spans="2:10" s="102" customFormat="1" ht="18" outlineLevel="1" x14ac:dyDescent="0.25">
      <c r="B90" s="579" t="s">
        <v>1917</v>
      </c>
      <c r="C90" s="1160" t="s">
        <v>2457</v>
      </c>
      <c r="D90" s="871">
        <v>1E-3</v>
      </c>
      <c r="E90" s="869">
        <v>0</v>
      </c>
      <c r="F90" s="871" t="s">
        <v>1254</v>
      </c>
      <c r="G90" s="871" t="s">
        <v>1623</v>
      </c>
      <c r="H90" s="871">
        <v>4</v>
      </c>
      <c r="I90" s="1160"/>
      <c r="J90" s="1305"/>
    </row>
    <row r="91" spans="2:10" s="102" customFormat="1" ht="18" outlineLevel="1" x14ac:dyDescent="0.25">
      <c r="B91" s="579" t="s">
        <v>1183</v>
      </c>
      <c r="C91" s="1160" t="s">
        <v>3977</v>
      </c>
      <c r="D91" s="871">
        <v>2E-3</v>
      </c>
      <c r="E91" s="869">
        <v>0</v>
      </c>
      <c r="F91" s="871" t="s">
        <v>1254</v>
      </c>
      <c r="G91" s="871" t="s">
        <v>888</v>
      </c>
      <c r="H91" s="871">
        <v>3</v>
      </c>
      <c r="I91" s="1160"/>
      <c r="J91" s="1305"/>
    </row>
    <row r="92" spans="2:10" s="102" customFormat="1" ht="18" outlineLevel="1" x14ac:dyDescent="0.25">
      <c r="B92" s="579" t="s">
        <v>2450</v>
      </c>
      <c r="C92" s="1160" t="s">
        <v>2458</v>
      </c>
      <c r="D92" s="871">
        <v>5.0000000000000001E-3</v>
      </c>
      <c r="E92" s="869">
        <v>0</v>
      </c>
      <c r="F92" s="871" t="s">
        <v>1254</v>
      </c>
      <c r="G92" s="871" t="s">
        <v>888</v>
      </c>
      <c r="H92" s="871">
        <v>3</v>
      </c>
      <c r="I92" s="1160"/>
      <c r="J92" s="1305"/>
    </row>
    <row r="93" spans="2:10" s="102" customFormat="1" ht="18" outlineLevel="1" x14ac:dyDescent="0.25">
      <c r="B93" s="1277" t="s">
        <v>2451</v>
      </c>
      <c r="C93" s="1464" t="s">
        <v>2452</v>
      </c>
      <c r="D93" s="874">
        <v>-200</v>
      </c>
      <c r="E93" s="583" t="s">
        <v>2162</v>
      </c>
      <c r="F93" s="584" t="s">
        <v>1254</v>
      </c>
      <c r="G93" s="585" t="s">
        <v>2125</v>
      </c>
      <c r="H93" s="584">
        <v>0</v>
      </c>
      <c r="I93" s="1276"/>
      <c r="J93" s="1587"/>
    </row>
    <row r="94" spans="2:10" s="102" customFormat="1" ht="18.75" outlineLevel="1" thickBot="1" x14ac:dyDescent="0.3">
      <c r="B94" s="286" t="s">
        <v>2453</v>
      </c>
      <c r="C94" s="1162" t="s">
        <v>2454</v>
      </c>
      <c r="D94" s="876">
        <v>0.1</v>
      </c>
      <c r="E94" s="877">
        <v>0</v>
      </c>
      <c r="F94" s="877" t="s">
        <v>1254</v>
      </c>
      <c r="G94" s="878" t="s">
        <v>3719</v>
      </c>
      <c r="H94" s="877">
        <v>2</v>
      </c>
      <c r="I94" s="1589"/>
      <c r="J94" s="582"/>
    </row>
    <row r="95" spans="2:10" s="102" customFormat="1" ht="18" outlineLevel="1" x14ac:dyDescent="0.25">
      <c r="B95" s="2575" t="s">
        <v>5227</v>
      </c>
      <c r="C95" s="2576" t="s">
        <v>5228</v>
      </c>
      <c r="D95" s="2577">
        <v>0.1</v>
      </c>
      <c r="E95" s="879">
        <v>0</v>
      </c>
      <c r="F95" s="879" t="s">
        <v>1254</v>
      </c>
      <c r="G95" s="880" t="s">
        <v>1976</v>
      </c>
      <c r="H95" s="879">
        <v>2</v>
      </c>
      <c r="I95" s="1163"/>
      <c r="J95" s="1590"/>
    </row>
    <row r="96" spans="2:10" s="102" customFormat="1" ht="18" outlineLevel="1" x14ac:dyDescent="0.25">
      <c r="B96" s="2575" t="s">
        <v>5229</v>
      </c>
      <c r="C96" s="2576" t="s">
        <v>5230</v>
      </c>
      <c r="D96" s="2577">
        <v>0.05</v>
      </c>
      <c r="E96" s="879">
        <v>0</v>
      </c>
      <c r="F96" s="879" t="s">
        <v>1254</v>
      </c>
      <c r="G96" s="880" t="s">
        <v>2111</v>
      </c>
      <c r="H96" s="879">
        <v>2</v>
      </c>
      <c r="I96" s="1163"/>
      <c r="J96" s="1590"/>
    </row>
    <row r="97" spans="2:18" s="102" customFormat="1" ht="18" outlineLevel="1" x14ac:dyDescent="0.25">
      <c r="B97" s="2575" t="s">
        <v>5231</v>
      </c>
      <c r="C97" s="2576" t="s">
        <v>5232</v>
      </c>
      <c r="D97" s="2578">
        <v>0.5</v>
      </c>
      <c r="E97" s="879">
        <v>0</v>
      </c>
      <c r="F97" s="879" t="s">
        <v>1254</v>
      </c>
      <c r="G97" s="880" t="s">
        <v>2111</v>
      </c>
      <c r="H97" s="879">
        <v>2</v>
      </c>
      <c r="I97" s="1591"/>
      <c r="J97" s="1592"/>
    </row>
    <row r="98" spans="2:18" s="102" customFormat="1" ht="18" outlineLevel="1" x14ac:dyDescent="0.25">
      <c r="B98" s="2575" t="s">
        <v>5233</v>
      </c>
      <c r="C98" s="2576" t="s">
        <v>5234</v>
      </c>
      <c r="D98" s="2579">
        <v>0.12</v>
      </c>
      <c r="E98" s="881">
        <v>0</v>
      </c>
      <c r="F98" s="879">
        <v>2</v>
      </c>
      <c r="G98" s="880" t="s">
        <v>282</v>
      </c>
      <c r="H98" s="879">
        <v>2</v>
      </c>
      <c r="I98" s="1591"/>
      <c r="J98" s="1592" t="s">
        <v>4457</v>
      </c>
    </row>
    <row r="99" spans="2:18" s="102" customFormat="1" ht="18" outlineLevel="1" x14ac:dyDescent="0.25">
      <c r="B99" s="1283" t="s">
        <v>3978</v>
      </c>
      <c r="C99" s="1465" t="s">
        <v>3979</v>
      </c>
      <c r="D99" s="1282">
        <v>-120</v>
      </c>
      <c r="E99" s="881" t="s">
        <v>2162</v>
      </c>
      <c r="F99" s="879" t="s">
        <v>1254</v>
      </c>
      <c r="G99" s="880" t="s">
        <v>2125</v>
      </c>
      <c r="H99" s="879">
        <v>0</v>
      </c>
      <c r="I99" s="1593"/>
      <c r="J99" s="1592"/>
    </row>
    <row r="100" spans="2:18" s="102" customFormat="1" ht="18" outlineLevel="1" x14ac:dyDescent="0.25">
      <c r="B100" s="1283" t="s">
        <v>3980</v>
      </c>
      <c r="C100" s="1465" t="s">
        <v>3981</v>
      </c>
      <c r="D100" s="1282">
        <v>-170</v>
      </c>
      <c r="E100" s="881" t="s">
        <v>2162</v>
      </c>
      <c r="F100" s="879" t="s">
        <v>1254</v>
      </c>
      <c r="G100" s="880" t="s">
        <v>2125</v>
      </c>
      <c r="H100" s="879">
        <v>0</v>
      </c>
      <c r="I100" s="1593"/>
      <c r="J100" s="1592"/>
    </row>
    <row r="101" spans="2:18" s="102" customFormat="1" ht="18.75" outlineLevel="1" thickBot="1" x14ac:dyDescent="0.3">
      <c r="B101" s="1284" t="s">
        <v>3982</v>
      </c>
      <c r="C101" s="1466" t="s">
        <v>2459</v>
      </c>
      <c r="D101" s="1285">
        <v>0.02</v>
      </c>
      <c r="E101" s="1286">
        <v>0</v>
      </c>
      <c r="F101" s="1286" t="s">
        <v>1254</v>
      </c>
      <c r="G101" s="1287" t="s">
        <v>3719</v>
      </c>
      <c r="H101" s="1286">
        <v>2</v>
      </c>
      <c r="I101" s="1594"/>
      <c r="J101" s="507"/>
    </row>
    <row r="102" spans="2:18" s="102" customFormat="1" ht="18" outlineLevel="1" x14ac:dyDescent="0.25">
      <c r="B102" s="2053" t="s">
        <v>4717</v>
      </c>
      <c r="C102" s="2054" t="s">
        <v>4789</v>
      </c>
      <c r="D102" s="2055">
        <v>24</v>
      </c>
      <c r="E102" s="2056">
        <v>0</v>
      </c>
      <c r="F102" s="2056" t="s">
        <v>1254</v>
      </c>
      <c r="G102" s="2057" t="s">
        <v>849</v>
      </c>
      <c r="H102" s="2056">
        <v>1</v>
      </c>
      <c r="I102" s="2058"/>
      <c r="J102" s="2059" t="s">
        <v>4718</v>
      </c>
    </row>
    <row r="103" spans="2:18" s="102" customFormat="1" ht="18.75" outlineLevel="1" thickBot="1" x14ac:dyDescent="0.3">
      <c r="B103" s="2060" t="s">
        <v>4719</v>
      </c>
      <c r="C103" s="2061" t="s">
        <v>4790</v>
      </c>
      <c r="D103" s="2062">
        <v>1000</v>
      </c>
      <c r="E103" s="2063">
        <v>1000</v>
      </c>
      <c r="F103" s="2063" t="s">
        <v>1254</v>
      </c>
      <c r="G103" s="2064" t="s">
        <v>2125</v>
      </c>
      <c r="H103" s="2063">
        <v>0</v>
      </c>
      <c r="I103" s="2065"/>
      <c r="J103" s="2066" t="s">
        <v>4720</v>
      </c>
    </row>
    <row r="104" spans="2:18" s="254" customFormat="1" ht="15.75" thickBot="1" x14ac:dyDescent="0.3">
      <c r="B104" s="138"/>
      <c r="C104" s="1111"/>
      <c r="D104" s="678"/>
      <c r="E104" s="695"/>
      <c r="F104" s="695"/>
      <c r="G104" s="695"/>
      <c r="H104" s="695"/>
      <c r="I104" s="1111"/>
      <c r="J104" s="142"/>
      <c r="K104" s="102"/>
      <c r="L104" s="102"/>
      <c r="M104" s="102"/>
      <c r="N104" s="102"/>
      <c r="O104" s="102"/>
      <c r="P104" s="102"/>
      <c r="Q104" s="102"/>
      <c r="R104" s="102"/>
    </row>
    <row r="105" spans="2:18" s="254" customFormat="1" ht="15.75" thickBot="1" x14ac:dyDescent="0.3">
      <c r="B105" s="131"/>
      <c r="C105" s="605" t="s">
        <v>2890</v>
      </c>
      <c r="D105" s="103" t="s">
        <v>303</v>
      </c>
      <c r="E105" s="103"/>
      <c r="F105" s="103"/>
      <c r="G105" s="103"/>
      <c r="H105" s="103"/>
      <c r="I105" s="131"/>
      <c r="J105" s="142"/>
      <c r="K105" s="102"/>
      <c r="L105" s="102"/>
      <c r="M105" s="102"/>
      <c r="N105" s="102"/>
      <c r="O105" s="102"/>
      <c r="P105" s="102"/>
      <c r="Q105" s="102"/>
      <c r="R105" s="102"/>
    </row>
    <row r="106" spans="2:18" s="254" customFormat="1" ht="15.75" thickBot="1" x14ac:dyDescent="0.3">
      <c r="B106" s="1467" t="s">
        <v>0</v>
      </c>
      <c r="C106" s="1468" t="s">
        <v>1</v>
      </c>
      <c r="D106" s="520" t="s">
        <v>842</v>
      </c>
      <c r="E106" s="520" t="s">
        <v>473</v>
      </c>
      <c r="F106" s="520" t="s">
        <v>474</v>
      </c>
      <c r="G106" s="520" t="s">
        <v>2</v>
      </c>
      <c r="H106" s="520" t="s">
        <v>302</v>
      </c>
      <c r="I106" s="1595" t="s">
        <v>116</v>
      </c>
      <c r="J106" s="1031" t="s">
        <v>117</v>
      </c>
      <c r="K106" s="102"/>
      <c r="L106" s="102"/>
      <c r="M106" s="102"/>
      <c r="N106" s="102"/>
      <c r="O106" s="102"/>
      <c r="P106" s="102"/>
      <c r="Q106" s="102"/>
      <c r="R106" s="102"/>
    </row>
    <row r="107" spans="2:18" s="254" customFormat="1" ht="18" outlineLevel="1" x14ac:dyDescent="0.35">
      <c r="B107" s="1469" t="s">
        <v>2214</v>
      </c>
      <c r="C107" s="1470" t="s">
        <v>2215</v>
      </c>
      <c r="D107" s="521">
        <v>0.9</v>
      </c>
      <c r="E107" s="522">
        <v>0</v>
      </c>
      <c r="F107" s="522">
        <v>10</v>
      </c>
      <c r="G107" s="522" t="s">
        <v>849</v>
      </c>
      <c r="H107" s="522">
        <v>2</v>
      </c>
      <c r="I107" s="1596" t="s">
        <v>5160</v>
      </c>
      <c r="J107" s="1597"/>
      <c r="K107" s="102"/>
      <c r="L107" s="102"/>
      <c r="M107" s="102"/>
      <c r="N107" s="102"/>
      <c r="O107" s="102"/>
      <c r="P107" s="102"/>
      <c r="Q107" s="102"/>
      <c r="R107" s="102"/>
    </row>
    <row r="108" spans="2:18" s="254" customFormat="1" ht="18.75" outlineLevel="1" thickBot="1" x14ac:dyDescent="0.4">
      <c r="B108" s="1471" t="s">
        <v>2217</v>
      </c>
      <c r="C108" s="1472" t="s">
        <v>2461</v>
      </c>
      <c r="D108" s="524">
        <v>0.17</v>
      </c>
      <c r="E108" s="525">
        <v>0</v>
      </c>
      <c r="F108" s="525" t="s">
        <v>1254</v>
      </c>
      <c r="G108" s="525" t="s">
        <v>849</v>
      </c>
      <c r="H108" s="525">
        <v>2</v>
      </c>
      <c r="I108" s="1472"/>
      <c r="J108" s="1598"/>
      <c r="K108" s="102"/>
      <c r="L108" s="102"/>
      <c r="M108" s="102"/>
      <c r="N108" s="102"/>
      <c r="O108" s="102"/>
      <c r="P108" s="102"/>
      <c r="Q108" s="102"/>
      <c r="R108" s="102"/>
    </row>
    <row r="109" spans="2:18" s="254" customFormat="1" ht="18" outlineLevel="1" x14ac:dyDescent="0.35">
      <c r="B109" s="1473" t="s">
        <v>2216</v>
      </c>
      <c r="C109" s="1474" t="s">
        <v>2462</v>
      </c>
      <c r="D109" s="523">
        <v>0.7</v>
      </c>
      <c r="E109" s="255">
        <v>0</v>
      </c>
      <c r="F109" s="255" t="s">
        <v>1254</v>
      </c>
      <c r="G109" s="255" t="s">
        <v>852</v>
      </c>
      <c r="H109" s="255">
        <v>2</v>
      </c>
      <c r="I109" s="1596" t="s">
        <v>1983</v>
      </c>
      <c r="J109" s="1599"/>
      <c r="K109" s="102"/>
      <c r="L109" s="102"/>
      <c r="M109" s="102"/>
      <c r="N109" s="102"/>
      <c r="O109" s="102"/>
      <c r="P109" s="102"/>
      <c r="Q109" s="102"/>
      <c r="R109" s="102"/>
    </row>
    <row r="110" spans="2:18" s="254" customFormat="1" ht="18.75" outlineLevel="1" x14ac:dyDescent="0.25">
      <c r="B110" s="1475" t="s">
        <v>2219</v>
      </c>
      <c r="C110" s="1476" t="s">
        <v>2464</v>
      </c>
      <c r="D110" s="1780">
        <v>1E-3</v>
      </c>
      <c r="E110" s="1743">
        <v>0</v>
      </c>
      <c r="F110" s="1743" t="s">
        <v>1254</v>
      </c>
      <c r="G110" s="1781" t="s">
        <v>4518</v>
      </c>
      <c r="H110" s="1743">
        <v>3</v>
      </c>
      <c r="I110" s="1538"/>
      <c r="J110" s="1600"/>
      <c r="K110" s="102"/>
      <c r="L110" s="102"/>
      <c r="M110" s="102"/>
      <c r="N110" s="102"/>
      <c r="O110" s="102"/>
      <c r="P110" s="102"/>
      <c r="Q110" s="102"/>
      <c r="R110" s="102"/>
    </row>
    <row r="111" spans="2:18" s="254" customFormat="1" ht="18.75" customHeight="1" outlineLevel="1" x14ac:dyDescent="0.25">
      <c r="B111" s="886" t="s">
        <v>4460</v>
      </c>
      <c r="C111" s="1741" t="s">
        <v>4461</v>
      </c>
      <c r="D111" s="1742">
        <v>1</v>
      </c>
      <c r="E111" s="1743">
        <v>0</v>
      </c>
      <c r="F111" s="1743">
        <v>2</v>
      </c>
      <c r="G111" s="1743" t="s">
        <v>282</v>
      </c>
      <c r="H111" s="1743">
        <v>2</v>
      </c>
      <c r="I111" s="1744"/>
      <c r="J111" s="1600" t="s">
        <v>4450</v>
      </c>
      <c r="K111" s="102"/>
      <c r="L111" s="102"/>
      <c r="M111" s="102"/>
      <c r="N111" s="102"/>
      <c r="O111" s="102"/>
      <c r="P111" s="102"/>
      <c r="Q111" s="102"/>
      <c r="R111" s="102"/>
    </row>
    <row r="112" spans="2:18" s="254" customFormat="1" ht="18.75" outlineLevel="1" x14ac:dyDescent="0.25">
      <c r="B112" s="1475" t="s">
        <v>2218</v>
      </c>
      <c r="C112" s="1476" t="s">
        <v>2463</v>
      </c>
      <c r="D112" s="1782">
        <v>4.0000000000000001E-3</v>
      </c>
      <c r="E112" s="1743">
        <v>0</v>
      </c>
      <c r="F112" s="1781" t="s">
        <v>1254</v>
      </c>
      <c r="G112" s="1781" t="s">
        <v>4518</v>
      </c>
      <c r="H112" s="1781">
        <v>3</v>
      </c>
      <c r="I112" s="1538"/>
      <c r="J112" s="1600"/>
      <c r="K112" s="102"/>
      <c r="L112" s="102"/>
      <c r="M112" s="102"/>
      <c r="N112" s="102"/>
      <c r="O112" s="102"/>
      <c r="P112" s="102"/>
      <c r="Q112" s="102"/>
      <c r="R112" s="102"/>
    </row>
    <row r="113" spans="2:18" s="254" customFormat="1" ht="19.5" customHeight="1" outlineLevel="1" x14ac:dyDescent="0.25">
      <c r="B113" s="886" t="s">
        <v>4462</v>
      </c>
      <c r="C113" s="1741" t="s">
        <v>4463</v>
      </c>
      <c r="D113" s="1742">
        <v>0.3</v>
      </c>
      <c r="E113" s="1743">
        <v>0</v>
      </c>
      <c r="F113" s="1743">
        <v>2</v>
      </c>
      <c r="G113" s="1743" t="s">
        <v>282</v>
      </c>
      <c r="H113" s="1743">
        <v>2</v>
      </c>
      <c r="I113" s="1744"/>
      <c r="J113" s="1600" t="s">
        <v>4450</v>
      </c>
      <c r="K113" s="102"/>
      <c r="L113" s="102"/>
      <c r="M113" s="102"/>
      <c r="N113" s="102"/>
      <c r="O113" s="102"/>
      <c r="P113" s="102"/>
      <c r="Q113" s="102"/>
      <c r="R113" s="102"/>
    </row>
    <row r="114" spans="2:18" s="254" customFormat="1" ht="19.5" outlineLevel="1" thickBot="1" x14ac:dyDescent="0.4">
      <c r="B114" s="1473" t="s">
        <v>2220</v>
      </c>
      <c r="C114" s="1477" t="s">
        <v>2465</v>
      </c>
      <c r="D114" s="469">
        <v>0.5</v>
      </c>
      <c r="E114" s="255">
        <v>0</v>
      </c>
      <c r="F114" s="255" t="s">
        <v>1254</v>
      </c>
      <c r="G114" s="255" t="s">
        <v>851</v>
      </c>
      <c r="H114" s="255">
        <v>2</v>
      </c>
      <c r="I114" s="1538"/>
      <c r="J114" s="1599"/>
      <c r="K114" s="102"/>
      <c r="L114" s="102"/>
      <c r="M114" s="102"/>
      <c r="N114" s="102"/>
      <c r="O114" s="102"/>
      <c r="P114" s="102"/>
      <c r="Q114" s="102"/>
      <c r="R114" s="102"/>
    </row>
    <row r="115" spans="2:18" s="254" customFormat="1" ht="18.75" outlineLevel="1" x14ac:dyDescent="0.35">
      <c r="B115" s="1473" t="s">
        <v>2221</v>
      </c>
      <c r="C115" s="1477" t="s">
        <v>2466</v>
      </c>
      <c r="D115" s="469">
        <v>0.5</v>
      </c>
      <c r="E115" s="255">
        <v>0</v>
      </c>
      <c r="F115" s="255" t="s">
        <v>1254</v>
      </c>
      <c r="G115" s="255" t="s">
        <v>851</v>
      </c>
      <c r="H115" s="255">
        <v>2</v>
      </c>
      <c r="I115" s="1596" t="s">
        <v>1983</v>
      </c>
      <c r="J115" s="1599"/>
      <c r="K115" s="102"/>
      <c r="L115" s="102"/>
      <c r="M115" s="102"/>
      <c r="N115" s="102"/>
      <c r="O115" s="102"/>
      <c r="P115" s="102"/>
      <c r="Q115" s="102"/>
      <c r="R115" s="102"/>
    </row>
    <row r="116" spans="2:18" s="254" customFormat="1" ht="18" outlineLevel="1" x14ac:dyDescent="0.35">
      <c r="B116" s="1473" t="s">
        <v>2222</v>
      </c>
      <c r="C116" s="1477" t="s">
        <v>2467</v>
      </c>
      <c r="D116" s="469">
        <v>0.03</v>
      </c>
      <c r="E116" s="255">
        <v>0</v>
      </c>
      <c r="F116" s="255" t="s">
        <v>1254</v>
      </c>
      <c r="G116" s="255" t="s">
        <v>852</v>
      </c>
      <c r="H116" s="255">
        <v>2</v>
      </c>
      <c r="I116" s="1538"/>
      <c r="J116" s="1599"/>
      <c r="K116" s="102"/>
      <c r="L116" s="102"/>
      <c r="M116" s="102"/>
      <c r="N116" s="102"/>
      <c r="O116" s="102"/>
      <c r="P116" s="102"/>
      <c r="Q116" s="102"/>
      <c r="R116" s="102"/>
    </row>
    <row r="117" spans="2:18" s="254" customFormat="1" ht="18.75" outlineLevel="1" x14ac:dyDescent="0.35">
      <c r="B117" s="1473" t="s">
        <v>2460</v>
      </c>
      <c r="C117" s="1477" t="s">
        <v>2468</v>
      </c>
      <c r="D117" s="469">
        <v>9999</v>
      </c>
      <c r="E117" s="255">
        <v>0</v>
      </c>
      <c r="F117" s="255" t="s">
        <v>1254</v>
      </c>
      <c r="G117" s="255" t="s">
        <v>2894</v>
      </c>
      <c r="H117" s="255">
        <v>6</v>
      </c>
      <c r="I117" s="1601"/>
      <c r="J117" s="1599"/>
      <c r="K117" s="102"/>
      <c r="L117" s="102"/>
      <c r="M117" s="102"/>
      <c r="N117" s="102"/>
      <c r="O117" s="102"/>
      <c r="P117" s="102"/>
      <c r="Q117" s="102"/>
      <c r="R117" s="102"/>
    </row>
    <row r="118" spans="2:18" s="254" customFormat="1" ht="18" outlineLevel="1" x14ac:dyDescent="0.35">
      <c r="B118" s="1473" t="s">
        <v>4941</v>
      </c>
      <c r="C118" s="1477" t="s">
        <v>4942</v>
      </c>
      <c r="D118" s="469">
        <v>6</v>
      </c>
      <c r="E118" s="255">
        <v>0</v>
      </c>
      <c r="F118" s="255" t="s">
        <v>1254</v>
      </c>
      <c r="G118" s="255" t="s">
        <v>381</v>
      </c>
      <c r="H118" s="255">
        <v>1</v>
      </c>
      <c r="I118" s="1538"/>
      <c r="J118" s="1599"/>
      <c r="K118" s="102"/>
      <c r="L118" s="102"/>
      <c r="M118" s="102"/>
      <c r="N118" s="102"/>
      <c r="O118" s="102"/>
      <c r="P118" s="102"/>
      <c r="Q118" s="102"/>
      <c r="R118" s="102"/>
    </row>
    <row r="119" spans="2:18" s="254" customFormat="1" ht="18.75" outlineLevel="1" thickBot="1" x14ac:dyDescent="0.4">
      <c r="B119" s="1478" t="s">
        <v>4943</v>
      </c>
      <c r="C119" s="1479" t="s">
        <v>4944</v>
      </c>
      <c r="D119" s="2308">
        <v>8</v>
      </c>
      <c r="E119" s="470">
        <v>0</v>
      </c>
      <c r="F119" s="470" t="s">
        <v>1254</v>
      </c>
      <c r="G119" s="627" t="s">
        <v>381</v>
      </c>
      <c r="H119" s="470">
        <v>1</v>
      </c>
      <c r="I119" s="1602"/>
      <c r="J119" s="1603"/>
      <c r="K119" s="102"/>
      <c r="L119" s="102"/>
      <c r="M119" s="102"/>
      <c r="N119" s="102"/>
      <c r="O119" s="102"/>
      <c r="P119" s="102"/>
      <c r="Q119" s="102"/>
      <c r="R119" s="102"/>
    </row>
    <row r="120" spans="2:18" s="254" customFormat="1" ht="15.75" thickBot="1" x14ac:dyDescent="0.3">
      <c r="B120" s="138"/>
      <c r="C120" s="1111"/>
      <c r="D120" s="678"/>
      <c r="E120" s="695"/>
      <c r="F120" s="695"/>
      <c r="G120" s="695"/>
      <c r="H120" s="695"/>
      <c r="I120" s="1111"/>
      <c r="J120" s="142"/>
      <c r="K120" s="102"/>
      <c r="L120" s="102"/>
      <c r="M120" s="102"/>
      <c r="N120" s="102"/>
      <c r="O120" s="102"/>
      <c r="P120" s="102"/>
      <c r="Q120" s="102"/>
      <c r="R120" s="102"/>
    </row>
    <row r="121" spans="2:18" s="254" customFormat="1" ht="15.75" thickBot="1" x14ac:dyDescent="0.3">
      <c r="B121" s="131"/>
      <c r="C121" s="605" t="s">
        <v>2891</v>
      </c>
      <c r="D121" s="103" t="s">
        <v>303</v>
      </c>
      <c r="E121" s="103"/>
      <c r="F121" s="103"/>
      <c r="G121" s="103"/>
      <c r="H121" s="103"/>
      <c r="I121" s="131"/>
      <c r="J121" s="142"/>
      <c r="K121" s="102"/>
      <c r="L121" s="102"/>
      <c r="M121" s="102"/>
      <c r="N121" s="102"/>
      <c r="O121" s="102"/>
      <c r="P121" s="102"/>
      <c r="Q121" s="102"/>
      <c r="R121" s="102"/>
    </row>
    <row r="122" spans="2:18" s="254" customFormat="1" ht="15.75" thickBot="1" x14ac:dyDescent="0.3">
      <c r="B122" s="1467" t="s">
        <v>0</v>
      </c>
      <c r="C122" s="1468" t="s">
        <v>1</v>
      </c>
      <c r="D122" s="520" t="s">
        <v>842</v>
      </c>
      <c r="E122" s="520" t="s">
        <v>473</v>
      </c>
      <c r="F122" s="520" t="s">
        <v>474</v>
      </c>
      <c r="G122" s="520" t="s">
        <v>2</v>
      </c>
      <c r="H122" s="520" t="s">
        <v>302</v>
      </c>
      <c r="I122" s="1595" t="s">
        <v>116</v>
      </c>
      <c r="J122" s="1031" t="s">
        <v>117</v>
      </c>
      <c r="K122" s="102"/>
      <c r="L122" s="102"/>
      <c r="M122" s="102"/>
      <c r="N122" s="102"/>
      <c r="O122" s="102"/>
      <c r="P122" s="102"/>
      <c r="Q122" s="102"/>
      <c r="R122" s="102"/>
    </row>
    <row r="123" spans="2:18" s="254" customFormat="1" ht="18" outlineLevel="1" x14ac:dyDescent="0.35">
      <c r="B123" s="1480" t="s">
        <v>2223</v>
      </c>
      <c r="C123" s="1481" t="s">
        <v>2224</v>
      </c>
      <c r="D123" s="526">
        <v>0.65</v>
      </c>
      <c r="E123" s="527">
        <v>0</v>
      </c>
      <c r="F123" s="527" t="s">
        <v>1254</v>
      </c>
      <c r="G123" s="527" t="s">
        <v>849</v>
      </c>
      <c r="H123" s="527">
        <v>2</v>
      </c>
      <c r="I123" s="1604" t="s">
        <v>1984</v>
      </c>
      <c r="J123" s="1605"/>
      <c r="K123" s="102"/>
      <c r="L123" s="102"/>
      <c r="M123" s="102"/>
      <c r="N123" s="102"/>
      <c r="O123" s="102"/>
      <c r="P123" s="102"/>
      <c r="Q123" s="102"/>
      <c r="R123" s="102"/>
    </row>
    <row r="124" spans="2:18" s="254" customFormat="1" ht="18.75" outlineLevel="1" thickBot="1" x14ac:dyDescent="0.4">
      <c r="B124" s="1482" t="s">
        <v>2226</v>
      </c>
      <c r="C124" s="1483" t="s">
        <v>2470</v>
      </c>
      <c r="D124" s="528">
        <v>0.15</v>
      </c>
      <c r="E124" s="529">
        <v>0</v>
      </c>
      <c r="F124" s="529" t="s">
        <v>1254</v>
      </c>
      <c r="G124" s="529" t="s">
        <v>849</v>
      </c>
      <c r="H124" s="529">
        <v>2</v>
      </c>
      <c r="I124" s="1606"/>
      <c r="J124" s="1607"/>
      <c r="K124" s="102"/>
      <c r="L124" s="102"/>
      <c r="M124" s="102"/>
      <c r="N124" s="102"/>
      <c r="O124" s="102"/>
      <c r="P124" s="102"/>
      <c r="Q124" s="102"/>
      <c r="R124" s="102"/>
    </row>
    <row r="125" spans="2:18" s="254" customFormat="1" ht="18" outlineLevel="1" x14ac:dyDescent="0.35">
      <c r="B125" s="1482" t="s">
        <v>2225</v>
      </c>
      <c r="C125" s="1483" t="s">
        <v>2471</v>
      </c>
      <c r="D125" s="528">
        <v>0.1</v>
      </c>
      <c r="E125" s="529">
        <v>0</v>
      </c>
      <c r="F125" s="529" t="s">
        <v>1254</v>
      </c>
      <c r="G125" s="529" t="s">
        <v>852</v>
      </c>
      <c r="H125" s="529">
        <v>2</v>
      </c>
      <c r="I125" s="1604" t="s">
        <v>5162</v>
      </c>
      <c r="J125" s="1607"/>
      <c r="K125" s="102"/>
      <c r="L125" s="102"/>
      <c r="M125" s="102"/>
      <c r="N125" s="102"/>
      <c r="O125" s="102"/>
      <c r="P125" s="102"/>
      <c r="Q125" s="102"/>
      <c r="R125" s="102"/>
    </row>
    <row r="126" spans="2:18" s="254" customFormat="1" ht="18.75" outlineLevel="1" x14ac:dyDescent="0.35">
      <c r="B126" s="1482" t="s">
        <v>2227</v>
      </c>
      <c r="C126" s="1484" t="s">
        <v>2472</v>
      </c>
      <c r="D126" s="1783">
        <v>2.0000000000000002E-5</v>
      </c>
      <c r="E126" s="1746">
        <v>0</v>
      </c>
      <c r="F126" s="1746" t="s">
        <v>1254</v>
      </c>
      <c r="G126" s="1746" t="s">
        <v>1936</v>
      </c>
      <c r="H126" s="529">
        <v>2</v>
      </c>
      <c r="I126" s="1606"/>
      <c r="J126" s="1607"/>
      <c r="K126" s="102"/>
      <c r="L126" s="102"/>
      <c r="M126" s="102"/>
      <c r="N126" s="102"/>
      <c r="O126" s="102"/>
      <c r="P126" s="102"/>
      <c r="Q126" s="102"/>
      <c r="R126" s="102"/>
    </row>
    <row r="127" spans="2:18" s="254" customFormat="1" ht="18" outlineLevel="1" x14ac:dyDescent="0.35">
      <c r="B127" s="1745" t="s">
        <v>4464</v>
      </c>
      <c r="C127" s="1749" t="s">
        <v>4465</v>
      </c>
      <c r="D127" s="1793">
        <v>2</v>
      </c>
      <c r="E127" s="1746">
        <v>0</v>
      </c>
      <c r="F127" s="1746">
        <v>2</v>
      </c>
      <c r="G127" s="1746" t="s">
        <v>282</v>
      </c>
      <c r="H127" s="1746">
        <v>2</v>
      </c>
      <c r="I127" s="1747"/>
      <c r="J127" s="1748" t="s">
        <v>4450</v>
      </c>
      <c r="K127" s="102"/>
      <c r="L127" s="102"/>
      <c r="M127" s="102"/>
      <c r="N127" s="102"/>
      <c r="O127" s="102"/>
      <c r="P127" s="102"/>
      <c r="Q127" s="102"/>
      <c r="R127" s="102"/>
    </row>
    <row r="128" spans="2:18" s="254" customFormat="1" ht="19.5" outlineLevel="1" thickBot="1" x14ac:dyDescent="0.4">
      <c r="B128" s="1482" t="s">
        <v>2228</v>
      </c>
      <c r="C128" s="1483" t="s">
        <v>2473</v>
      </c>
      <c r="D128" s="528">
        <v>0.5</v>
      </c>
      <c r="E128" s="529">
        <v>0</v>
      </c>
      <c r="F128" s="529" t="s">
        <v>1254</v>
      </c>
      <c r="G128" s="529" t="s">
        <v>851</v>
      </c>
      <c r="H128" s="529">
        <v>2</v>
      </c>
      <c r="I128" s="1606"/>
      <c r="J128" s="1607"/>
      <c r="K128" s="102"/>
      <c r="L128" s="102"/>
      <c r="M128" s="102"/>
      <c r="N128" s="102"/>
      <c r="O128" s="102"/>
      <c r="P128" s="102"/>
      <c r="Q128" s="102"/>
      <c r="R128" s="102"/>
    </row>
    <row r="129" spans="2:18" s="254" customFormat="1" ht="18.75" outlineLevel="1" x14ac:dyDescent="0.35">
      <c r="B129" s="1482" t="s">
        <v>2229</v>
      </c>
      <c r="C129" s="1483" t="s">
        <v>2474</v>
      </c>
      <c r="D129" s="528">
        <v>0.5</v>
      </c>
      <c r="E129" s="529">
        <v>0</v>
      </c>
      <c r="F129" s="529" t="s">
        <v>1254</v>
      </c>
      <c r="G129" s="529" t="s">
        <v>851</v>
      </c>
      <c r="H129" s="529">
        <v>2</v>
      </c>
      <c r="I129" s="1604" t="s">
        <v>5162</v>
      </c>
      <c r="J129" s="1607"/>
      <c r="K129" s="102"/>
      <c r="L129" s="102"/>
      <c r="M129" s="102"/>
      <c r="N129" s="102"/>
      <c r="O129" s="102"/>
      <c r="P129" s="102"/>
      <c r="Q129" s="102"/>
      <c r="R129" s="102"/>
    </row>
    <row r="130" spans="2:18" s="254" customFormat="1" ht="18" outlineLevel="1" x14ac:dyDescent="0.35">
      <c r="B130" s="1482" t="s">
        <v>2230</v>
      </c>
      <c r="C130" s="1483" t="s">
        <v>2475</v>
      </c>
      <c r="D130" s="528">
        <v>0.03</v>
      </c>
      <c r="E130" s="529">
        <v>0</v>
      </c>
      <c r="F130" s="529" t="s">
        <v>1254</v>
      </c>
      <c r="G130" s="529" t="s">
        <v>852</v>
      </c>
      <c r="H130" s="529">
        <v>2</v>
      </c>
      <c r="I130" s="1606"/>
      <c r="J130" s="1607"/>
      <c r="K130" s="102"/>
      <c r="L130" s="102"/>
      <c r="M130" s="102"/>
      <c r="N130" s="102"/>
      <c r="O130" s="102"/>
      <c r="P130" s="102"/>
      <c r="Q130" s="102"/>
      <c r="R130" s="102"/>
    </row>
    <row r="131" spans="2:18" s="254" customFormat="1" ht="18.75" outlineLevel="1" x14ac:dyDescent="0.35">
      <c r="B131" s="1482" t="s">
        <v>2469</v>
      </c>
      <c r="C131" s="1483" t="s">
        <v>2476</v>
      </c>
      <c r="D131" s="528">
        <v>9999</v>
      </c>
      <c r="E131" s="529">
        <v>0</v>
      </c>
      <c r="F131" s="529" t="s">
        <v>1254</v>
      </c>
      <c r="G131" s="529" t="s">
        <v>2149</v>
      </c>
      <c r="H131" s="529">
        <v>4</v>
      </c>
      <c r="I131" s="1608"/>
      <c r="J131" s="1607"/>
      <c r="K131" s="102"/>
      <c r="L131" s="102"/>
      <c r="M131" s="102"/>
      <c r="N131" s="102"/>
      <c r="O131" s="102"/>
      <c r="P131" s="102"/>
      <c r="Q131" s="102"/>
      <c r="R131" s="102"/>
    </row>
    <row r="132" spans="2:18" s="254" customFormat="1" ht="18" outlineLevel="1" x14ac:dyDescent="0.35">
      <c r="B132" s="1482" t="s">
        <v>4945</v>
      </c>
      <c r="C132" s="1483" t="s">
        <v>4946</v>
      </c>
      <c r="D132" s="528">
        <v>6</v>
      </c>
      <c r="E132" s="529">
        <v>0</v>
      </c>
      <c r="F132" s="529" t="s">
        <v>1254</v>
      </c>
      <c r="G132" s="529" t="s">
        <v>381</v>
      </c>
      <c r="H132" s="529">
        <v>1</v>
      </c>
      <c r="I132" s="1606"/>
      <c r="J132" s="1607"/>
      <c r="K132" s="102"/>
      <c r="L132" s="102"/>
      <c r="M132" s="102"/>
      <c r="N132" s="102"/>
      <c r="O132" s="102"/>
      <c r="P132" s="102"/>
      <c r="Q132" s="102"/>
      <c r="R132" s="102"/>
    </row>
    <row r="133" spans="2:18" s="254" customFormat="1" ht="18.75" outlineLevel="1" thickBot="1" x14ac:dyDescent="0.4">
      <c r="B133" s="1485" t="s">
        <v>4947</v>
      </c>
      <c r="C133" s="1486" t="s">
        <v>4948</v>
      </c>
      <c r="D133" s="2309">
        <v>8</v>
      </c>
      <c r="E133" s="530">
        <v>0</v>
      </c>
      <c r="F133" s="530" t="s">
        <v>1254</v>
      </c>
      <c r="G133" s="626" t="s">
        <v>381</v>
      </c>
      <c r="H133" s="530">
        <v>1</v>
      </c>
      <c r="I133" s="1609"/>
      <c r="J133" s="1610"/>
      <c r="K133" s="102"/>
      <c r="L133" s="102"/>
      <c r="M133" s="102"/>
      <c r="N133" s="102"/>
      <c r="O133" s="102"/>
      <c r="P133" s="102"/>
      <c r="Q133" s="102"/>
      <c r="R133" s="102"/>
    </row>
    <row r="134" spans="2:18" s="254" customFormat="1" ht="15.75" thickBot="1" x14ac:dyDescent="0.3">
      <c r="B134" s="138"/>
      <c r="C134" s="1111"/>
      <c r="D134" s="678"/>
      <c r="E134" s="695"/>
      <c r="F134" s="695"/>
      <c r="G134" s="695"/>
      <c r="H134" s="695"/>
      <c r="I134" s="1111"/>
      <c r="J134" s="142"/>
      <c r="K134" s="102"/>
      <c r="L134" s="102"/>
      <c r="M134" s="102"/>
      <c r="N134" s="102"/>
      <c r="O134" s="102"/>
      <c r="P134" s="102"/>
      <c r="Q134" s="102"/>
      <c r="R134" s="102"/>
    </row>
    <row r="135" spans="2:18" s="254" customFormat="1" ht="15.75" thickBot="1" x14ac:dyDescent="0.3">
      <c r="B135" s="131"/>
      <c r="C135" s="605" t="s">
        <v>2892</v>
      </c>
      <c r="D135" s="103" t="s">
        <v>303</v>
      </c>
      <c r="E135" s="103"/>
      <c r="F135" s="103"/>
      <c r="G135" s="103"/>
      <c r="H135" s="103"/>
      <c r="I135" s="131"/>
      <c r="J135" s="142"/>
      <c r="K135" s="102"/>
      <c r="L135" s="102"/>
      <c r="M135" s="102"/>
      <c r="N135" s="102"/>
      <c r="O135" s="102"/>
      <c r="P135" s="102"/>
      <c r="Q135" s="102"/>
      <c r="R135" s="102"/>
    </row>
    <row r="136" spans="2:18" s="117" customFormat="1" ht="15.75" thickBot="1" x14ac:dyDescent="0.3">
      <c r="B136" s="1467" t="s">
        <v>0</v>
      </c>
      <c r="C136" s="1468" t="s">
        <v>1</v>
      </c>
      <c r="D136" s="520" t="s">
        <v>842</v>
      </c>
      <c r="E136" s="520" t="s">
        <v>473</v>
      </c>
      <c r="F136" s="520" t="s">
        <v>474</v>
      </c>
      <c r="G136" s="520" t="s">
        <v>2</v>
      </c>
      <c r="H136" s="520" t="s">
        <v>302</v>
      </c>
      <c r="I136" s="1595" t="s">
        <v>116</v>
      </c>
      <c r="J136" s="1611" t="s">
        <v>117</v>
      </c>
      <c r="K136" s="102"/>
      <c r="L136" s="102"/>
      <c r="M136" s="102"/>
      <c r="N136" s="102"/>
      <c r="O136" s="102"/>
      <c r="P136" s="102"/>
      <c r="Q136" s="102"/>
      <c r="R136" s="102"/>
    </row>
    <row r="137" spans="2:18" s="254" customFormat="1" ht="18" outlineLevel="1" x14ac:dyDescent="0.35">
      <c r="B137" s="1487" t="s">
        <v>2231</v>
      </c>
      <c r="C137" s="1488" t="s">
        <v>2478</v>
      </c>
      <c r="D137" s="531">
        <v>0.1</v>
      </c>
      <c r="E137" s="531">
        <v>0</v>
      </c>
      <c r="F137" s="531" t="s">
        <v>1254</v>
      </c>
      <c r="G137" s="531" t="s">
        <v>849</v>
      </c>
      <c r="H137" s="531">
        <v>3</v>
      </c>
      <c r="I137" s="1612"/>
      <c r="J137" s="1613"/>
      <c r="K137" s="102"/>
      <c r="L137" s="102"/>
      <c r="M137" s="102"/>
      <c r="N137" s="102"/>
      <c r="O137" s="102"/>
      <c r="P137" s="102"/>
      <c r="Q137" s="102"/>
      <c r="R137" s="102"/>
    </row>
    <row r="138" spans="2:18" s="254" customFormat="1" ht="18" outlineLevel="1" x14ac:dyDescent="0.35">
      <c r="B138" s="1489" t="s">
        <v>2232</v>
      </c>
      <c r="C138" s="1490" t="s">
        <v>2479</v>
      </c>
      <c r="D138" s="532">
        <v>1.9E-2</v>
      </c>
      <c r="E138" s="532">
        <v>0</v>
      </c>
      <c r="F138" s="532" t="s">
        <v>1254</v>
      </c>
      <c r="G138" s="532" t="s">
        <v>849</v>
      </c>
      <c r="H138" s="532">
        <v>3</v>
      </c>
      <c r="I138" s="1539"/>
      <c r="J138" s="1614"/>
      <c r="K138" s="102"/>
      <c r="L138" s="102"/>
      <c r="M138" s="102"/>
      <c r="N138" s="102"/>
      <c r="O138" s="102"/>
      <c r="P138" s="102"/>
      <c r="Q138" s="102"/>
      <c r="R138" s="102"/>
    </row>
    <row r="139" spans="2:18" s="254" customFormat="1" ht="18" outlineLevel="1" x14ac:dyDescent="0.35">
      <c r="B139" s="1489" t="s">
        <v>2233</v>
      </c>
      <c r="C139" s="1490" t="s">
        <v>2480</v>
      </c>
      <c r="D139" s="532">
        <v>2</v>
      </c>
      <c r="E139" s="532">
        <v>0</v>
      </c>
      <c r="F139" s="532" t="s">
        <v>1254</v>
      </c>
      <c r="G139" s="532" t="s">
        <v>852</v>
      </c>
      <c r="H139" s="532">
        <v>1</v>
      </c>
      <c r="I139" s="1539"/>
      <c r="J139" s="1614"/>
      <c r="K139" s="102"/>
      <c r="L139" s="102"/>
      <c r="M139" s="102"/>
      <c r="N139" s="102"/>
      <c r="O139" s="102"/>
      <c r="P139" s="102"/>
      <c r="Q139" s="102"/>
      <c r="R139" s="102"/>
    </row>
    <row r="140" spans="2:18" s="254" customFormat="1" ht="18" outlineLevel="1" x14ac:dyDescent="0.35">
      <c r="B140" s="1489" t="s">
        <v>2234</v>
      </c>
      <c r="C140" s="1490" t="s">
        <v>2481</v>
      </c>
      <c r="D140" s="532">
        <v>1</v>
      </c>
      <c r="E140" s="532">
        <v>0</v>
      </c>
      <c r="F140" s="532" t="s">
        <v>1254</v>
      </c>
      <c r="G140" s="532" t="s">
        <v>852</v>
      </c>
      <c r="H140" s="532">
        <v>2</v>
      </c>
      <c r="I140" s="1539"/>
      <c r="J140" s="1614"/>
      <c r="K140" s="102"/>
      <c r="L140" s="102"/>
      <c r="M140" s="102"/>
      <c r="N140" s="102"/>
      <c r="O140" s="102"/>
      <c r="P140" s="102"/>
      <c r="Q140" s="102"/>
      <c r="R140" s="102"/>
    </row>
    <row r="141" spans="2:18" s="254" customFormat="1" ht="18.75" outlineLevel="1" x14ac:dyDescent="0.25">
      <c r="B141" s="1491" t="s">
        <v>2235</v>
      </c>
      <c r="C141" s="1490" t="s">
        <v>2482</v>
      </c>
      <c r="D141" s="1752">
        <v>2.0000000000000001E-4</v>
      </c>
      <c r="E141" s="1752">
        <v>0</v>
      </c>
      <c r="F141" s="1752" t="s">
        <v>1254</v>
      </c>
      <c r="G141" s="1752" t="s">
        <v>1936</v>
      </c>
      <c r="H141" s="532">
        <v>6</v>
      </c>
      <c r="I141" s="1539"/>
      <c r="J141" s="1615"/>
      <c r="K141" s="102"/>
      <c r="L141" s="102"/>
      <c r="M141" s="102"/>
      <c r="N141" s="102"/>
      <c r="O141" s="102"/>
      <c r="P141" s="102"/>
      <c r="Q141" s="102"/>
      <c r="R141" s="102"/>
    </row>
    <row r="142" spans="2:18" s="254" customFormat="1" ht="18" outlineLevel="1" x14ac:dyDescent="0.35">
      <c r="B142" s="1750" t="s">
        <v>4466</v>
      </c>
      <c r="C142" s="1751" t="s">
        <v>4467</v>
      </c>
      <c r="D142" s="1792">
        <v>2</v>
      </c>
      <c r="E142" s="1752">
        <v>0</v>
      </c>
      <c r="F142" s="1752">
        <v>2</v>
      </c>
      <c r="G142" s="1752" t="s">
        <v>282</v>
      </c>
      <c r="H142" s="1752">
        <v>2</v>
      </c>
      <c r="I142" s="1751"/>
      <c r="J142" s="1753" t="s">
        <v>4450</v>
      </c>
      <c r="K142" s="102"/>
      <c r="L142" s="102"/>
      <c r="M142" s="102"/>
      <c r="N142" s="102"/>
      <c r="O142" s="102"/>
      <c r="P142" s="102"/>
      <c r="Q142" s="102"/>
      <c r="R142" s="102"/>
    </row>
    <row r="143" spans="2:18" s="254" customFormat="1" ht="18.75" outlineLevel="1" x14ac:dyDescent="0.35">
      <c r="B143" s="1489" t="s">
        <v>3752</v>
      </c>
      <c r="C143" s="1490" t="s">
        <v>3753</v>
      </c>
      <c r="D143" s="532">
        <v>0.4</v>
      </c>
      <c r="E143" s="532">
        <v>0</v>
      </c>
      <c r="F143" s="532" t="s">
        <v>1254</v>
      </c>
      <c r="G143" s="532" t="s">
        <v>851</v>
      </c>
      <c r="H143" s="532">
        <v>2</v>
      </c>
      <c r="I143" s="1539"/>
      <c r="J143" s="1614"/>
      <c r="K143" s="102"/>
      <c r="L143" s="102"/>
      <c r="M143" s="102"/>
      <c r="N143" s="102"/>
      <c r="O143" s="102"/>
      <c r="P143" s="102"/>
      <c r="Q143" s="102"/>
      <c r="R143" s="102"/>
    </row>
    <row r="144" spans="2:18" s="254" customFormat="1" ht="18" outlineLevel="1" x14ac:dyDescent="0.35">
      <c r="B144" s="1489" t="s">
        <v>2236</v>
      </c>
      <c r="C144" s="1490" t="s">
        <v>2483</v>
      </c>
      <c r="D144" s="532">
        <v>0.1</v>
      </c>
      <c r="E144" s="532">
        <v>0</v>
      </c>
      <c r="F144" s="532" t="s">
        <v>1254</v>
      </c>
      <c r="G144" s="532" t="s">
        <v>852</v>
      </c>
      <c r="H144" s="532">
        <v>2</v>
      </c>
      <c r="I144" s="1539"/>
      <c r="J144" s="1614"/>
      <c r="K144" s="102"/>
      <c r="L144" s="102"/>
      <c r="M144" s="102"/>
      <c r="N144" s="102"/>
      <c r="O144" s="102"/>
      <c r="P144" s="102"/>
      <c r="Q144" s="102"/>
      <c r="R144" s="102"/>
    </row>
    <row r="145" spans="2:18" s="254" customFormat="1" ht="19.5" outlineLevel="1" thickBot="1" x14ac:dyDescent="0.4">
      <c r="B145" s="1492" t="s">
        <v>2477</v>
      </c>
      <c r="C145" s="1493" t="s">
        <v>2484</v>
      </c>
      <c r="D145" s="533">
        <v>1</v>
      </c>
      <c r="E145" s="533">
        <v>0</v>
      </c>
      <c r="F145" s="533" t="s">
        <v>1254</v>
      </c>
      <c r="G145" s="628" t="s">
        <v>2894</v>
      </c>
      <c r="H145" s="533">
        <v>1</v>
      </c>
      <c r="I145" s="1493"/>
      <c r="J145" s="1616"/>
      <c r="K145" s="102"/>
      <c r="L145" s="102"/>
      <c r="M145" s="102"/>
      <c r="N145" s="102"/>
      <c r="O145" s="102"/>
      <c r="P145" s="102"/>
      <c r="Q145" s="102"/>
      <c r="R145" s="102"/>
    </row>
    <row r="146" spans="2:18" s="102" customFormat="1" ht="15.75" thickBot="1" x14ac:dyDescent="0.3">
      <c r="B146" s="131"/>
      <c r="C146" s="1111"/>
      <c r="D146" s="104"/>
      <c r="E146" s="695"/>
      <c r="F146" s="695"/>
      <c r="G146" s="695"/>
      <c r="H146" s="695"/>
      <c r="I146" s="1111"/>
      <c r="J146" s="142"/>
    </row>
    <row r="147" spans="2:18" s="102" customFormat="1" ht="15.75" thickBot="1" x14ac:dyDescent="0.3">
      <c r="B147" s="131"/>
      <c r="C147" s="497" t="s">
        <v>2143</v>
      </c>
      <c r="D147" s="103" t="s">
        <v>303</v>
      </c>
      <c r="E147" s="103"/>
      <c r="F147" s="103"/>
      <c r="G147" s="103"/>
      <c r="H147" s="103"/>
      <c r="I147" s="131"/>
      <c r="J147" s="142"/>
    </row>
    <row r="148" spans="2:18" s="102" customFormat="1" ht="15.75" thickBot="1" x14ac:dyDescent="0.3">
      <c r="B148" s="343" t="s">
        <v>0</v>
      </c>
      <c r="C148" s="1445" t="s">
        <v>1</v>
      </c>
      <c r="D148" s="344" t="s">
        <v>842</v>
      </c>
      <c r="E148" s="344" t="s">
        <v>473</v>
      </c>
      <c r="F148" s="344" t="s">
        <v>474</v>
      </c>
      <c r="G148" s="344" t="s">
        <v>2</v>
      </c>
      <c r="H148" s="344" t="s">
        <v>302</v>
      </c>
      <c r="I148" s="1445" t="s">
        <v>116</v>
      </c>
      <c r="J148" s="1578" t="s">
        <v>117</v>
      </c>
    </row>
    <row r="149" spans="2:18" s="102" customFormat="1" ht="18" outlineLevel="1" x14ac:dyDescent="0.25">
      <c r="B149" s="1494" t="s">
        <v>1191</v>
      </c>
      <c r="C149" s="1495" t="s">
        <v>308</v>
      </c>
      <c r="D149" s="257">
        <v>0.3</v>
      </c>
      <c r="E149" s="257">
        <v>0</v>
      </c>
      <c r="F149" s="257" t="s">
        <v>1254</v>
      </c>
      <c r="G149" s="257" t="s">
        <v>446</v>
      </c>
      <c r="H149" s="257">
        <v>1</v>
      </c>
      <c r="I149" s="1617"/>
      <c r="J149" s="1618"/>
    </row>
    <row r="150" spans="2:18" s="102" customFormat="1" ht="18" outlineLevel="1" x14ac:dyDescent="0.25">
      <c r="B150" s="175" t="s">
        <v>1192</v>
      </c>
      <c r="C150" s="1496" t="s">
        <v>2486</v>
      </c>
      <c r="D150" s="177">
        <v>0.03</v>
      </c>
      <c r="E150" s="177">
        <v>0</v>
      </c>
      <c r="F150" s="177" t="s">
        <v>1254</v>
      </c>
      <c r="G150" s="177" t="s">
        <v>446</v>
      </c>
      <c r="H150" s="177">
        <v>1</v>
      </c>
      <c r="I150" s="176"/>
      <c r="J150" s="252"/>
    </row>
    <row r="151" spans="2:18" s="102" customFormat="1" ht="18" outlineLevel="1" x14ac:dyDescent="0.25">
      <c r="B151" s="175" t="s">
        <v>1918</v>
      </c>
      <c r="C151" s="1496" t="s">
        <v>2487</v>
      </c>
      <c r="D151" s="177">
        <v>400</v>
      </c>
      <c r="E151" s="177">
        <v>0</v>
      </c>
      <c r="F151" s="177" t="s">
        <v>1254</v>
      </c>
      <c r="G151" s="177" t="s">
        <v>1181</v>
      </c>
      <c r="H151" s="177">
        <v>0</v>
      </c>
      <c r="I151" s="176"/>
      <c r="J151" s="252"/>
    </row>
    <row r="152" spans="2:18" s="102" customFormat="1" ht="18" outlineLevel="1" x14ac:dyDescent="0.25">
      <c r="B152" s="1497" t="s">
        <v>2485</v>
      </c>
      <c r="C152" s="1496" t="s">
        <v>2488</v>
      </c>
      <c r="D152" s="1098">
        <v>99999</v>
      </c>
      <c r="E152" s="177">
        <v>0</v>
      </c>
      <c r="F152" s="177" t="s">
        <v>1254</v>
      </c>
      <c r="G152" s="177" t="s">
        <v>1181</v>
      </c>
      <c r="H152" s="177">
        <v>0</v>
      </c>
      <c r="I152" s="176"/>
      <c r="J152" s="252"/>
    </row>
    <row r="153" spans="2:18" s="102" customFormat="1" ht="18" outlineLevel="1" x14ac:dyDescent="0.25">
      <c r="B153" s="1497" t="s">
        <v>4538</v>
      </c>
      <c r="C153" s="1136" t="s">
        <v>4539</v>
      </c>
      <c r="D153" s="1996">
        <v>0.999</v>
      </c>
      <c r="E153" s="1997">
        <v>0</v>
      </c>
      <c r="F153" s="1997" t="s">
        <v>1254</v>
      </c>
      <c r="G153" s="1997" t="s">
        <v>2149</v>
      </c>
      <c r="H153" s="1997">
        <v>3</v>
      </c>
      <c r="I153" s="1997"/>
      <c r="J153" s="1846"/>
    </row>
    <row r="154" spans="2:18" s="102" customFormat="1" ht="18" outlineLevel="1" x14ac:dyDescent="0.25">
      <c r="B154" s="1497" t="s">
        <v>4540</v>
      </c>
      <c r="C154" s="1136" t="s">
        <v>4541</v>
      </c>
      <c r="D154" s="1997">
        <v>0.1</v>
      </c>
      <c r="E154" s="1997">
        <v>0</v>
      </c>
      <c r="F154" s="1997">
        <v>2</v>
      </c>
      <c r="G154" s="1997" t="s">
        <v>282</v>
      </c>
      <c r="H154" s="1997">
        <v>2</v>
      </c>
      <c r="I154" s="1997"/>
      <c r="J154" s="1846" t="s">
        <v>4450</v>
      </c>
    </row>
    <row r="155" spans="2:18" s="102" customFormat="1" ht="18" outlineLevel="1" x14ac:dyDescent="0.25">
      <c r="B155" s="175" t="s">
        <v>3715</v>
      </c>
      <c r="C155" s="1496" t="s">
        <v>3716</v>
      </c>
      <c r="D155" s="177">
        <v>0.05</v>
      </c>
      <c r="E155" s="177">
        <v>0</v>
      </c>
      <c r="F155" s="177" t="s">
        <v>1254</v>
      </c>
      <c r="G155" s="177" t="s">
        <v>1180</v>
      </c>
      <c r="H155" s="177">
        <v>2</v>
      </c>
      <c r="I155" s="176"/>
      <c r="J155" s="252"/>
    </row>
    <row r="156" spans="2:18" s="102" customFormat="1" ht="18" outlineLevel="1" x14ac:dyDescent="0.25">
      <c r="B156" s="175" t="s">
        <v>2346</v>
      </c>
      <c r="C156" s="1496" t="s">
        <v>2489</v>
      </c>
      <c r="D156" s="177">
        <v>0.05</v>
      </c>
      <c r="E156" s="177">
        <v>0</v>
      </c>
      <c r="F156" s="177" t="s">
        <v>1254</v>
      </c>
      <c r="G156" s="177" t="s">
        <v>886</v>
      </c>
      <c r="H156" s="177">
        <v>2</v>
      </c>
      <c r="I156" s="176"/>
      <c r="J156" s="252"/>
    </row>
    <row r="157" spans="2:18" s="102" customFormat="1" ht="18" outlineLevel="1" x14ac:dyDescent="0.25">
      <c r="B157" s="175" t="s">
        <v>1959</v>
      </c>
      <c r="C157" s="1496" t="s">
        <v>2490</v>
      </c>
      <c r="D157" s="177">
        <v>4.5</v>
      </c>
      <c r="E157" s="177">
        <v>0</v>
      </c>
      <c r="F157" s="177" t="s">
        <v>1254</v>
      </c>
      <c r="G157" s="177" t="s">
        <v>381</v>
      </c>
      <c r="H157" s="177">
        <v>1</v>
      </c>
      <c r="I157" s="176"/>
      <c r="J157" s="252"/>
    </row>
    <row r="158" spans="2:18" s="102" customFormat="1" ht="18.75" outlineLevel="1" thickBot="1" x14ac:dyDescent="0.3">
      <c r="B158" s="1498" t="s">
        <v>1960</v>
      </c>
      <c r="C158" s="178" t="s">
        <v>2491</v>
      </c>
      <c r="D158" s="179">
        <v>9.5</v>
      </c>
      <c r="E158" s="179">
        <v>0</v>
      </c>
      <c r="F158" s="179" t="s">
        <v>1254</v>
      </c>
      <c r="G158" s="179" t="s">
        <v>381</v>
      </c>
      <c r="H158" s="179">
        <v>1</v>
      </c>
      <c r="I158" s="178"/>
      <c r="J158" s="253"/>
    </row>
    <row r="159" spans="2:18" s="102" customFormat="1" ht="15.75" thickBot="1" x14ac:dyDescent="0.3">
      <c r="B159" s="131"/>
      <c r="C159" s="1111"/>
      <c r="D159" s="104"/>
      <c r="E159" s="695"/>
      <c r="F159" s="695"/>
      <c r="G159" s="695"/>
      <c r="H159" s="695"/>
      <c r="I159" s="1111"/>
      <c r="J159" s="142"/>
    </row>
    <row r="160" spans="2:18" s="102" customFormat="1" ht="15.75" thickBot="1" x14ac:dyDescent="0.3">
      <c r="B160" s="131"/>
      <c r="C160" s="497" t="s">
        <v>2144</v>
      </c>
      <c r="D160" s="103" t="s">
        <v>303</v>
      </c>
      <c r="E160" s="103"/>
      <c r="F160" s="103"/>
      <c r="G160" s="103"/>
      <c r="H160" s="103"/>
      <c r="I160" s="131"/>
      <c r="J160" s="142"/>
    </row>
    <row r="161" spans="1:10" s="102" customFormat="1" ht="15.75" thickBot="1" x14ac:dyDescent="0.3">
      <c r="B161" s="1499" t="s">
        <v>0</v>
      </c>
      <c r="C161" s="1500" t="s">
        <v>1</v>
      </c>
      <c r="D161" s="115" t="s">
        <v>842</v>
      </c>
      <c r="E161" s="115" t="s">
        <v>473</v>
      </c>
      <c r="F161" s="115" t="s">
        <v>474</v>
      </c>
      <c r="G161" s="115" t="s">
        <v>2</v>
      </c>
      <c r="H161" s="115" t="s">
        <v>302</v>
      </c>
      <c r="I161" s="1619" t="s">
        <v>116</v>
      </c>
      <c r="J161" s="1620" t="s">
        <v>117</v>
      </c>
    </row>
    <row r="162" spans="1:10" s="102" customFormat="1" ht="18" outlineLevel="1" x14ac:dyDescent="0.25">
      <c r="B162" s="1501" t="s">
        <v>853</v>
      </c>
      <c r="C162" s="1502" t="s">
        <v>1044</v>
      </c>
      <c r="D162" s="351">
        <v>1.3</v>
      </c>
      <c r="E162" s="352">
        <v>0</v>
      </c>
      <c r="F162" s="352" t="s">
        <v>1254</v>
      </c>
      <c r="G162" s="352" t="s">
        <v>849</v>
      </c>
      <c r="H162" s="352">
        <v>1</v>
      </c>
      <c r="I162" s="1621"/>
      <c r="J162" s="1622"/>
    </row>
    <row r="163" spans="1:10" s="102" customFormat="1" ht="18" outlineLevel="1" x14ac:dyDescent="0.25">
      <c r="B163" s="1503" t="s">
        <v>854</v>
      </c>
      <c r="C163" s="1504" t="s">
        <v>2492</v>
      </c>
      <c r="D163" s="353">
        <v>0.13</v>
      </c>
      <c r="E163" s="353">
        <v>0</v>
      </c>
      <c r="F163" s="353" t="s">
        <v>1254</v>
      </c>
      <c r="G163" s="353" t="s">
        <v>849</v>
      </c>
      <c r="H163" s="353">
        <v>1</v>
      </c>
      <c r="I163" s="1623"/>
      <c r="J163" s="1624"/>
    </row>
    <row r="164" spans="1:10" s="102" customFormat="1" ht="18" outlineLevel="1" x14ac:dyDescent="0.25">
      <c r="B164" s="1503" t="s">
        <v>1919</v>
      </c>
      <c r="C164" s="1504" t="s">
        <v>2493</v>
      </c>
      <c r="D164" s="353">
        <v>0.1</v>
      </c>
      <c r="E164" s="353">
        <v>0</v>
      </c>
      <c r="F164" s="353" t="s">
        <v>1254</v>
      </c>
      <c r="G164" s="353" t="s">
        <v>850</v>
      </c>
      <c r="H164" s="353">
        <v>1</v>
      </c>
      <c r="I164" s="1623"/>
      <c r="J164" s="1624"/>
    </row>
    <row r="165" spans="1:10" s="102" customFormat="1" ht="18" outlineLevel="1" x14ac:dyDescent="0.25">
      <c r="B165" s="1503" t="s">
        <v>3718</v>
      </c>
      <c r="C165" s="1504" t="s">
        <v>3717</v>
      </c>
      <c r="D165" s="353">
        <v>0.05</v>
      </c>
      <c r="E165" s="353">
        <v>0</v>
      </c>
      <c r="F165" s="353" t="s">
        <v>1254</v>
      </c>
      <c r="G165" s="353" t="s">
        <v>851</v>
      </c>
      <c r="H165" s="353">
        <v>2</v>
      </c>
      <c r="I165" s="1623"/>
      <c r="J165" s="1624"/>
    </row>
    <row r="166" spans="1:10" s="102" customFormat="1" ht="18" outlineLevel="1" x14ac:dyDescent="0.25">
      <c r="B166" s="1503" t="s">
        <v>2347</v>
      </c>
      <c r="C166" s="1504" t="s">
        <v>2494</v>
      </c>
      <c r="D166" s="353">
        <v>0.05</v>
      </c>
      <c r="E166" s="353">
        <v>0</v>
      </c>
      <c r="F166" s="353" t="s">
        <v>1254</v>
      </c>
      <c r="G166" s="353" t="s">
        <v>852</v>
      </c>
      <c r="H166" s="353">
        <v>2</v>
      </c>
      <c r="I166" s="1623"/>
      <c r="J166" s="1624"/>
    </row>
    <row r="167" spans="1:10" s="102" customFormat="1" ht="18" outlineLevel="1" x14ac:dyDescent="0.25">
      <c r="B167" s="1503" t="s">
        <v>1961</v>
      </c>
      <c r="C167" s="1504" t="s">
        <v>2495</v>
      </c>
      <c r="D167" s="353">
        <v>4.5</v>
      </c>
      <c r="E167" s="353">
        <v>0</v>
      </c>
      <c r="F167" s="353" t="s">
        <v>1254</v>
      </c>
      <c r="G167" s="353" t="s">
        <v>381</v>
      </c>
      <c r="H167" s="353">
        <v>1</v>
      </c>
      <c r="I167" s="1623"/>
      <c r="J167" s="1624"/>
    </row>
    <row r="168" spans="1:10" s="102" customFormat="1" ht="18.75" outlineLevel="1" thickBot="1" x14ac:dyDescent="0.3">
      <c r="B168" s="1505" t="s">
        <v>1962</v>
      </c>
      <c r="C168" s="1506" t="s">
        <v>2496</v>
      </c>
      <c r="D168" s="354">
        <v>9.5</v>
      </c>
      <c r="E168" s="354">
        <v>0</v>
      </c>
      <c r="F168" s="354" t="s">
        <v>1254</v>
      </c>
      <c r="G168" s="354" t="s">
        <v>381</v>
      </c>
      <c r="H168" s="354">
        <v>1</v>
      </c>
      <c r="I168" s="1506"/>
      <c r="J168" s="1625"/>
    </row>
    <row r="169" spans="1:10" s="102" customFormat="1" ht="15.75" thickBot="1" x14ac:dyDescent="0.3">
      <c r="B169" s="131"/>
      <c r="C169" s="1111"/>
      <c r="D169" s="678"/>
      <c r="E169" s="695"/>
      <c r="F169" s="695"/>
      <c r="G169" s="695"/>
      <c r="H169" s="695"/>
      <c r="I169" s="1111"/>
      <c r="J169" s="142"/>
    </row>
    <row r="170" spans="1:10" ht="15.75" thickBot="1" x14ac:dyDescent="0.3">
      <c r="A170" s="102"/>
      <c r="C170" s="1444" t="s">
        <v>4793</v>
      </c>
      <c r="D170" s="103" t="s">
        <v>303</v>
      </c>
    </row>
    <row r="171" spans="1:10" s="102" customFormat="1" ht="15.75" thickBot="1" x14ac:dyDescent="0.3">
      <c r="B171" s="343" t="s">
        <v>0</v>
      </c>
      <c r="C171" s="1445" t="s">
        <v>1</v>
      </c>
      <c r="D171" s="344" t="s">
        <v>842</v>
      </c>
      <c r="E171" s="344" t="s">
        <v>473</v>
      </c>
      <c r="F171" s="344" t="s">
        <v>474</v>
      </c>
      <c r="G171" s="344" t="s">
        <v>2</v>
      </c>
      <c r="H171" s="344" t="s">
        <v>302</v>
      </c>
      <c r="I171" s="1445" t="s">
        <v>116</v>
      </c>
      <c r="J171" s="348" t="s">
        <v>117</v>
      </c>
    </row>
    <row r="172" spans="1:10" s="102" customFormat="1" ht="18" outlineLevel="1" x14ac:dyDescent="0.35">
      <c r="B172" s="2205" t="s">
        <v>4794</v>
      </c>
      <c r="C172" s="2206" t="s">
        <v>4795</v>
      </c>
      <c r="D172" s="2207">
        <v>2</v>
      </c>
      <c r="E172" s="2208">
        <v>0</v>
      </c>
      <c r="F172" s="2208" t="s">
        <v>1254</v>
      </c>
      <c r="G172" s="2208" t="s">
        <v>849</v>
      </c>
      <c r="H172" s="2208">
        <v>2</v>
      </c>
      <c r="I172" s="2209"/>
      <c r="J172" s="2210"/>
    </row>
    <row r="173" spans="1:10" s="102" customFormat="1" ht="18" outlineLevel="1" x14ac:dyDescent="0.35">
      <c r="B173" s="2211" t="s">
        <v>4796</v>
      </c>
      <c r="C173" s="2212" t="s">
        <v>4797</v>
      </c>
      <c r="D173" s="2213">
        <v>0.1</v>
      </c>
      <c r="E173" s="2214">
        <v>0</v>
      </c>
      <c r="F173" s="2214" t="s">
        <v>1254</v>
      </c>
      <c r="G173" s="2214" t="s">
        <v>849</v>
      </c>
      <c r="H173" s="2214">
        <v>2</v>
      </c>
      <c r="I173" s="2215"/>
      <c r="J173" s="2216"/>
    </row>
    <row r="174" spans="1:10" s="102" customFormat="1" ht="18" outlineLevel="1" x14ac:dyDescent="0.35">
      <c r="B174" s="2211" t="s">
        <v>4798</v>
      </c>
      <c r="C174" s="2212" t="s">
        <v>4799</v>
      </c>
      <c r="D174" s="2213">
        <v>10</v>
      </c>
      <c r="E174" s="2214">
        <v>0</v>
      </c>
      <c r="F174" s="2214" t="s">
        <v>1254</v>
      </c>
      <c r="G174" s="2214" t="s">
        <v>1617</v>
      </c>
      <c r="H174" s="2214">
        <v>2</v>
      </c>
      <c r="I174" s="2215"/>
      <c r="J174" s="2216"/>
    </row>
    <row r="175" spans="1:10" s="102" customFormat="1" ht="18" outlineLevel="1" x14ac:dyDescent="0.35">
      <c r="B175" s="2211" t="s">
        <v>4800</v>
      </c>
      <c r="C175" s="2212" t="s">
        <v>4801</v>
      </c>
      <c r="D175" s="2213">
        <v>0.5</v>
      </c>
      <c r="E175" s="2214">
        <v>0</v>
      </c>
      <c r="F175" s="2214" t="s">
        <v>1254</v>
      </c>
      <c r="G175" s="2214" t="s">
        <v>852</v>
      </c>
      <c r="H175" s="2214">
        <v>2</v>
      </c>
      <c r="I175" s="2215"/>
      <c r="J175" s="2216"/>
    </row>
    <row r="176" spans="1:10" s="102" customFormat="1" ht="18.75" outlineLevel="1" x14ac:dyDescent="0.35">
      <c r="B176" s="2211" t="s">
        <v>4802</v>
      </c>
      <c r="C176" s="2212" t="s">
        <v>4803</v>
      </c>
      <c r="D176" s="2213">
        <v>0.05</v>
      </c>
      <c r="E176" s="2214">
        <v>0</v>
      </c>
      <c r="F176" s="2214" t="s">
        <v>1254</v>
      </c>
      <c r="G176" s="2214" t="s">
        <v>851</v>
      </c>
      <c r="H176" s="2214">
        <v>2</v>
      </c>
      <c r="I176" s="2215"/>
      <c r="J176" s="2216"/>
    </row>
    <row r="177" spans="2:18" s="102" customFormat="1" ht="18" outlineLevel="1" x14ac:dyDescent="0.35">
      <c r="B177" s="2211" t="s">
        <v>4804</v>
      </c>
      <c r="C177" s="2212" t="s">
        <v>4805</v>
      </c>
      <c r="D177" s="2213">
        <v>0.7</v>
      </c>
      <c r="E177" s="2214">
        <v>0</v>
      </c>
      <c r="F177" s="2214" t="s">
        <v>1254</v>
      </c>
      <c r="G177" s="2214" t="s">
        <v>886</v>
      </c>
      <c r="H177" s="2214">
        <v>1</v>
      </c>
      <c r="I177" s="2215"/>
      <c r="J177" s="2216"/>
    </row>
    <row r="178" spans="2:18" s="102" customFormat="1" ht="18.75" outlineLevel="1" thickBot="1" x14ac:dyDescent="0.4">
      <c r="B178" s="2217" t="s">
        <v>4806</v>
      </c>
      <c r="C178" s="2218" t="s">
        <v>4807</v>
      </c>
      <c r="D178" s="2219">
        <v>0.5</v>
      </c>
      <c r="E178" s="2220">
        <v>0</v>
      </c>
      <c r="F178" s="2220" t="s">
        <v>1254</v>
      </c>
      <c r="G178" s="2220" t="s">
        <v>852</v>
      </c>
      <c r="H178" s="2220">
        <v>2</v>
      </c>
      <c r="I178" s="2221"/>
      <c r="J178" s="2222"/>
    </row>
    <row r="179" spans="2:18" s="102" customFormat="1" ht="15.75" thickBot="1" x14ac:dyDescent="0.3">
      <c r="B179" s="131"/>
      <c r="C179" s="1111"/>
      <c r="D179" s="104"/>
      <c r="E179" s="695"/>
      <c r="F179" s="695"/>
      <c r="G179" s="695"/>
      <c r="H179" s="695"/>
      <c r="I179" s="1111"/>
      <c r="J179" s="142"/>
    </row>
    <row r="180" spans="2:18" s="102" customFormat="1" ht="15.75" thickBot="1" x14ac:dyDescent="0.3">
      <c r="B180" s="131"/>
      <c r="C180" s="415" t="s">
        <v>1363</v>
      </c>
      <c r="D180" s="103" t="s">
        <v>303</v>
      </c>
      <c r="E180" s="103"/>
      <c r="F180" s="103"/>
      <c r="G180" s="103"/>
      <c r="H180" s="103"/>
      <c r="I180" s="131"/>
      <c r="J180" s="142"/>
    </row>
    <row r="181" spans="2:18" s="102" customFormat="1" ht="15.75" thickBot="1" x14ac:dyDescent="0.3">
      <c r="B181" s="343" t="s">
        <v>0</v>
      </c>
      <c r="C181" s="1445" t="s">
        <v>1</v>
      </c>
      <c r="D181" s="344" t="s">
        <v>842</v>
      </c>
      <c r="E181" s="344" t="s">
        <v>473</v>
      </c>
      <c r="F181" s="344" t="s">
        <v>474</v>
      </c>
      <c r="G181" s="344" t="s">
        <v>2</v>
      </c>
      <c r="H181" s="344" t="s">
        <v>302</v>
      </c>
      <c r="I181" s="1445" t="s">
        <v>116</v>
      </c>
      <c r="J181" s="348" t="s">
        <v>117</v>
      </c>
    </row>
    <row r="182" spans="2:18" s="102" customFormat="1" ht="18" outlineLevel="1" x14ac:dyDescent="0.25">
      <c r="B182" s="1507" t="s">
        <v>1712</v>
      </c>
      <c r="C182" s="1508" t="s">
        <v>2497</v>
      </c>
      <c r="D182" s="1218">
        <v>0.1</v>
      </c>
      <c r="E182" s="471">
        <v>0</v>
      </c>
      <c r="F182" s="258" t="s">
        <v>1254</v>
      </c>
      <c r="G182" s="258" t="s">
        <v>1314</v>
      </c>
      <c r="H182" s="258">
        <v>2</v>
      </c>
      <c r="I182" s="1626"/>
      <c r="J182" s="279"/>
    </row>
    <row r="183" spans="2:18" s="102" customFormat="1" ht="18" outlineLevel="1" x14ac:dyDescent="0.25">
      <c r="B183" s="1509" t="s">
        <v>1713</v>
      </c>
      <c r="C183" s="1344" t="s">
        <v>2498</v>
      </c>
      <c r="D183" s="1219">
        <v>0.1</v>
      </c>
      <c r="E183" s="472">
        <v>0</v>
      </c>
      <c r="F183" s="186" t="s">
        <v>1254</v>
      </c>
      <c r="G183" s="186" t="s">
        <v>1314</v>
      </c>
      <c r="H183" s="186">
        <v>2</v>
      </c>
      <c r="I183" s="1627"/>
      <c r="J183" s="280"/>
    </row>
    <row r="184" spans="2:18" s="102" customFormat="1" ht="18" outlineLevel="1" x14ac:dyDescent="0.25">
      <c r="B184" s="1509" t="s">
        <v>1714</v>
      </c>
      <c r="C184" s="1344" t="s">
        <v>2499</v>
      </c>
      <c r="D184" s="1219">
        <v>10</v>
      </c>
      <c r="E184" s="472">
        <v>0</v>
      </c>
      <c r="F184" s="186" t="s">
        <v>1254</v>
      </c>
      <c r="G184" s="186" t="s">
        <v>1314</v>
      </c>
      <c r="H184" s="186">
        <v>2</v>
      </c>
      <c r="I184" s="1628"/>
      <c r="J184" s="280"/>
    </row>
    <row r="185" spans="2:18" s="102" customFormat="1" ht="18" outlineLevel="1" x14ac:dyDescent="0.25">
      <c r="B185" s="1509" t="s">
        <v>1715</v>
      </c>
      <c r="C185" s="1344" t="s">
        <v>2500</v>
      </c>
      <c r="D185" s="1219">
        <v>10</v>
      </c>
      <c r="E185" s="472">
        <v>0</v>
      </c>
      <c r="F185" s="186" t="s">
        <v>1254</v>
      </c>
      <c r="G185" s="186" t="s">
        <v>1314</v>
      </c>
      <c r="H185" s="186">
        <v>2</v>
      </c>
      <c r="I185" s="1628"/>
      <c r="J185" s="280"/>
    </row>
    <row r="186" spans="2:18" s="117" customFormat="1" ht="18" outlineLevel="1" x14ac:dyDescent="0.25">
      <c r="B186" s="1509" t="s">
        <v>1716</v>
      </c>
      <c r="C186" s="1344" t="s">
        <v>2501</v>
      </c>
      <c r="D186" s="1219">
        <v>5</v>
      </c>
      <c r="E186" s="472">
        <v>0</v>
      </c>
      <c r="F186" s="186" t="s">
        <v>1254</v>
      </c>
      <c r="G186" s="186" t="s">
        <v>1314</v>
      </c>
      <c r="H186" s="186">
        <v>2</v>
      </c>
      <c r="I186" s="1628"/>
      <c r="J186" s="280"/>
      <c r="K186" s="102"/>
      <c r="L186" s="102"/>
      <c r="M186" s="102"/>
      <c r="N186" s="102"/>
      <c r="O186" s="102"/>
      <c r="P186" s="102"/>
      <c r="Q186" s="102"/>
      <c r="R186" s="102"/>
    </row>
    <row r="187" spans="2:18" s="117" customFormat="1" ht="18" outlineLevel="1" x14ac:dyDescent="0.25">
      <c r="B187" s="1509" t="s">
        <v>1717</v>
      </c>
      <c r="C187" s="1344" t="s">
        <v>2502</v>
      </c>
      <c r="D187" s="1219">
        <v>5</v>
      </c>
      <c r="E187" s="472">
        <v>0</v>
      </c>
      <c r="F187" s="186" t="s">
        <v>1254</v>
      </c>
      <c r="G187" s="186" t="s">
        <v>1314</v>
      </c>
      <c r="H187" s="186">
        <v>2</v>
      </c>
      <c r="I187" s="1628"/>
      <c r="J187" s="280"/>
      <c r="K187" s="102"/>
      <c r="L187" s="102"/>
      <c r="M187" s="102"/>
      <c r="N187" s="102"/>
      <c r="O187" s="102"/>
      <c r="P187" s="102"/>
      <c r="Q187" s="102"/>
      <c r="R187" s="102"/>
    </row>
    <row r="188" spans="2:18" s="117" customFormat="1" ht="18" outlineLevel="1" x14ac:dyDescent="0.25">
      <c r="B188" s="1343" t="s">
        <v>4208</v>
      </c>
      <c r="C188" s="1344" t="s">
        <v>4209</v>
      </c>
      <c r="D188" s="1340">
        <v>500</v>
      </c>
      <c r="E188" s="1341">
        <v>0</v>
      </c>
      <c r="F188" s="1340" t="s">
        <v>1254</v>
      </c>
      <c r="G188" s="1340" t="s">
        <v>1314</v>
      </c>
      <c r="H188" s="1340">
        <v>2</v>
      </c>
      <c r="I188" s="1629"/>
      <c r="J188" s="1630"/>
      <c r="K188" s="102"/>
      <c r="L188" s="102"/>
      <c r="M188" s="102"/>
      <c r="N188" s="102"/>
      <c r="O188" s="102"/>
    </row>
    <row r="189" spans="2:18" s="117" customFormat="1" ht="18" outlineLevel="1" x14ac:dyDescent="0.25">
      <c r="B189" s="1343" t="s">
        <v>4210</v>
      </c>
      <c r="C189" s="1344" t="s">
        <v>4211</v>
      </c>
      <c r="D189" s="1340">
        <v>500</v>
      </c>
      <c r="E189" s="1341">
        <v>0</v>
      </c>
      <c r="F189" s="1340" t="s">
        <v>1254</v>
      </c>
      <c r="G189" s="1340" t="s">
        <v>1314</v>
      </c>
      <c r="H189" s="1340">
        <v>2</v>
      </c>
      <c r="I189" s="1629"/>
      <c r="J189" s="1630"/>
      <c r="K189" s="102"/>
      <c r="L189" s="102"/>
      <c r="M189" s="102"/>
      <c r="N189" s="102"/>
      <c r="O189" s="102"/>
    </row>
    <row r="190" spans="2:18" s="102" customFormat="1" ht="18" outlineLevel="1" x14ac:dyDescent="0.25">
      <c r="B190" s="1509" t="s">
        <v>1718</v>
      </c>
      <c r="C190" s="1344" t="s">
        <v>2503</v>
      </c>
      <c r="D190" s="1219">
        <v>0.01</v>
      </c>
      <c r="E190" s="472">
        <v>0</v>
      </c>
      <c r="F190" s="186" t="s">
        <v>1254</v>
      </c>
      <c r="G190" s="186" t="s">
        <v>1314</v>
      </c>
      <c r="H190" s="186">
        <v>2</v>
      </c>
      <c r="I190" s="1627"/>
      <c r="J190" s="280"/>
    </row>
    <row r="191" spans="2:18" s="102" customFormat="1" ht="18" outlineLevel="1" x14ac:dyDescent="0.25">
      <c r="B191" s="1509" t="s">
        <v>1719</v>
      </c>
      <c r="C191" s="1344" t="s">
        <v>2504</v>
      </c>
      <c r="D191" s="1219">
        <v>0.01</v>
      </c>
      <c r="E191" s="472">
        <v>0</v>
      </c>
      <c r="F191" s="186" t="s">
        <v>1254</v>
      </c>
      <c r="G191" s="186" t="s">
        <v>1314</v>
      </c>
      <c r="H191" s="186">
        <v>3</v>
      </c>
      <c r="I191" s="1627"/>
      <c r="J191" s="280"/>
    </row>
    <row r="192" spans="2:18" s="102" customFormat="1" ht="18" outlineLevel="1" x14ac:dyDescent="0.25">
      <c r="B192" s="1348" t="s">
        <v>2823</v>
      </c>
      <c r="C192" s="1349" t="s">
        <v>2505</v>
      </c>
      <c r="D192" s="1220">
        <v>0.01</v>
      </c>
      <c r="E192" s="281">
        <v>0</v>
      </c>
      <c r="F192" s="281" t="s">
        <v>1254</v>
      </c>
      <c r="G192" s="259" t="s">
        <v>1751</v>
      </c>
      <c r="H192" s="281">
        <v>3</v>
      </c>
      <c r="I192" s="1631"/>
      <c r="J192" s="282"/>
    </row>
    <row r="193" spans="2:10" s="102" customFormat="1" ht="18" outlineLevel="1" x14ac:dyDescent="0.25">
      <c r="B193" s="1348" t="s">
        <v>2824</v>
      </c>
      <c r="C193" s="1349" t="s">
        <v>2506</v>
      </c>
      <c r="D193" s="1220">
        <v>0.01</v>
      </c>
      <c r="E193" s="281">
        <v>0</v>
      </c>
      <c r="F193" s="281" t="s">
        <v>1254</v>
      </c>
      <c r="G193" s="259" t="s">
        <v>1751</v>
      </c>
      <c r="H193" s="281">
        <v>3</v>
      </c>
      <c r="I193" s="1631"/>
      <c r="J193" s="282"/>
    </row>
    <row r="194" spans="2:10" s="102" customFormat="1" ht="18" outlineLevel="1" x14ac:dyDescent="0.25">
      <c r="B194" s="1348" t="s">
        <v>4212</v>
      </c>
      <c r="C194" s="1349" t="s">
        <v>4213</v>
      </c>
      <c r="D194" s="1345">
        <v>0.01</v>
      </c>
      <c r="E194" s="1345">
        <v>0</v>
      </c>
      <c r="F194" s="1345" t="s">
        <v>1254</v>
      </c>
      <c r="G194" s="1346" t="s">
        <v>1751</v>
      </c>
      <c r="H194" s="1345">
        <v>3</v>
      </c>
      <c r="I194" s="1349"/>
      <c r="J194" s="1347"/>
    </row>
    <row r="195" spans="2:10" s="102" customFormat="1" ht="18" outlineLevel="1" x14ac:dyDescent="0.25">
      <c r="B195" s="1348" t="s">
        <v>2825</v>
      </c>
      <c r="C195" s="1349" t="s">
        <v>2507</v>
      </c>
      <c r="D195" s="1220">
        <v>0.01</v>
      </c>
      <c r="E195" s="281">
        <v>0</v>
      </c>
      <c r="F195" s="281" t="s">
        <v>1254</v>
      </c>
      <c r="G195" s="259" t="s">
        <v>1751</v>
      </c>
      <c r="H195" s="281">
        <v>3</v>
      </c>
      <c r="I195" s="1631"/>
      <c r="J195" s="282"/>
    </row>
    <row r="196" spans="2:10" s="102" customFormat="1" ht="18.75" outlineLevel="1" thickBot="1" x14ac:dyDescent="0.3">
      <c r="B196" s="1510" t="s">
        <v>2826</v>
      </c>
      <c r="C196" s="1511" t="s">
        <v>2508</v>
      </c>
      <c r="D196" s="1221">
        <v>0.01</v>
      </c>
      <c r="E196" s="283">
        <v>0</v>
      </c>
      <c r="F196" s="283" t="s">
        <v>1254</v>
      </c>
      <c r="G196" s="260" t="s">
        <v>1751</v>
      </c>
      <c r="H196" s="283">
        <v>3</v>
      </c>
      <c r="I196" s="1511"/>
      <c r="J196" s="284"/>
    </row>
    <row r="197" spans="2:10" s="102" customFormat="1" ht="15.75" thickBot="1" x14ac:dyDescent="0.3">
      <c r="B197" s="131"/>
      <c r="C197" s="1111"/>
      <c r="D197" s="104"/>
      <c r="E197" s="695"/>
      <c r="F197" s="695"/>
      <c r="G197" s="695"/>
      <c r="H197" s="695"/>
      <c r="I197" s="1111"/>
      <c r="J197" s="142"/>
    </row>
    <row r="198" spans="2:10" s="102" customFormat="1" ht="15.75" thickBot="1" x14ac:dyDescent="0.3">
      <c r="B198" s="131"/>
      <c r="C198" s="415" t="s">
        <v>1968</v>
      </c>
      <c r="D198" s="103" t="s">
        <v>303</v>
      </c>
      <c r="E198" s="103"/>
      <c r="F198" s="103"/>
      <c r="G198" s="103"/>
      <c r="H198" s="103"/>
      <c r="I198" s="131"/>
      <c r="J198" s="142"/>
    </row>
    <row r="199" spans="2:10" s="102" customFormat="1" ht="15.75" thickBot="1" x14ac:dyDescent="0.3">
      <c r="B199" s="343" t="s">
        <v>0</v>
      </c>
      <c r="C199" s="1445" t="s">
        <v>1</v>
      </c>
      <c r="D199" s="344" t="s">
        <v>842</v>
      </c>
      <c r="E199" s="344" t="s">
        <v>473</v>
      </c>
      <c r="F199" s="344" t="s">
        <v>474</v>
      </c>
      <c r="G199" s="344" t="s">
        <v>2</v>
      </c>
      <c r="H199" s="344" t="s">
        <v>302</v>
      </c>
      <c r="I199" s="1445" t="s">
        <v>116</v>
      </c>
      <c r="J199" s="348" t="s">
        <v>117</v>
      </c>
    </row>
    <row r="200" spans="2:10" s="102" customFormat="1" ht="18" outlineLevel="1" x14ac:dyDescent="0.25">
      <c r="B200" s="1047" t="s">
        <v>1720</v>
      </c>
      <c r="C200" s="1048" t="s">
        <v>2510</v>
      </c>
      <c r="D200" s="1049">
        <v>250</v>
      </c>
      <c r="E200" s="1049">
        <v>0</v>
      </c>
      <c r="F200" s="1049" t="s">
        <v>1254</v>
      </c>
      <c r="G200" s="1050" t="s">
        <v>849</v>
      </c>
      <c r="H200" s="1049">
        <v>0</v>
      </c>
      <c r="I200" s="1632"/>
      <c r="J200" s="1051"/>
    </row>
    <row r="201" spans="2:10" s="102" customFormat="1" ht="18" outlineLevel="1" x14ac:dyDescent="0.25">
      <c r="B201" s="618" t="s">
        <v>1721</v>
      </c>
      <c r="C201" s="1052" t="s">
        <v>2511</v>
      </c>
      <c r="D201" s="1053">
        <v>1</v>
      </c>
      <c r="E201" s="1054">
        <v>0</v>
      </c>
      <c r="F201" s="1055" t="s">
        <v>1254</v>
      </c>
      <c r="G201" s="1056" t="s">
        <v>849</v>
      </c>
      <c r="H201" s="1055">
        <v>2</v>
      </c>
      <c r="I201" s="1023"/>
      <c r="J201" s="1024"/>
    </row>
    <row r="202" spans="2:10" s="102" customFormat="1" ht="18" outlineLevel="1" x14ac:dyDescent="0.25">
      <c r="B202" s="618" t="s">
        <v>4932</v>
      </c>
      <c r="C202" s="1057" t="s">
        <v>2512</v>
      </c>
      <c r="D202" s="1055">
        <v>150</v>
      </c>
      <c r="E202" s="1054">
        <v>0</v>
      </c>
      <c r="F202" s="1054" t="s">
        <v>1254</v>
      </c>
      <c r="G202" s="1056" t="s">
        <v>849</v>
      </c>
      <c r="H202" s="1054">
        <v>0</v>
      </c>
      <c r="I202" s="1023"/>
      <c r="J202" s="1024"/>
    </row>
    <row r="203" spans="2:10" s="102" customFormat="1" ht="18" outlineLevel="1" x14ac:dyDescent="0.25">
      <c r="B203" s="618" t="s">
        <v>4931</v>
      </c>
      <c r="C203" s="1052" t="s">
        <v>2513</v>
      </c>
      <c r="D203" s="1053">
        <v>1</v>
      </c>
      <c r="E203" s="1054">
        <v>0</v>
      </c>
      <c r="F203" s="1054" t="s">
        <v>1254</v>
      </c>
      <c r="G203" s="1056" t="s">
        <v>849</v>
      </c>
      <c r="H203" s="1054">
        <v>2</v>
      </c>
      <c r="I203" s="1023"/>
      <c r="J203" s="1024"/>
    </row>
    <row r="204" spans="2:10" s="102" customFormat="1" ht="18" outlineLevel="1" x14ac:dyDescent="0.25">
      <c r="B204" s="618" t="s">
        <v>3578</v>
      </c>
      <c r="C204" s="1057" t="s">
        <v>3579</v>
      </c>
      <c r="D204" s="1055">
        <v>100</v>
      </c>
      <c r="E204" s="1054">
        <v>0</v>
      </c>
      <c r="F204" s="1054" t="s">
        <v>1254</v>
      </c>
      <c r="G204" s="1056" t="s">
        <v>849</v>
      </c>
      <c r="H204" s="1054">
        <v>0</v>
      </c>
      <c r="I204" s="1023"/>
      <c r="J204" s="1024"/>
    </row>
    <row r="205" spans="2:10" s="102" customFormat="1" ht="18" outlineLevel="1" x14ac:dyDescent="0.25">
      <c r="B205" s="618" t="s">
        <v>3580</v>
      </c>
      <c r="C205" s="1057" t="s">
        <v>3581</v>
      </c>
      <c r="D205" s="1055">
        <v>10</v>
      </c>
      <c r="E205" s="1054">
        <v>0</v>
      </c>
      <c r="F205" s="1054" t="s">
        <v>1254</v>
      </c>
      <c r="G205" s="1056" t="s">
        <v>849</v>
      </c>
      <c r="H205" s="1054">
        <v>0</v>
      </c>
      <c r="I205" s="1023"/>
      <c r="J205" s="1024"/>
    </row>
    <row r="206" spans="2:10" s="102" customFormat="1" ht="18" outlineLevel="1" x14ac:dyDescent="0.25">
      <c r="B206" s="618" t="s">
        <v>3582</v>
      </c>
      <c r="C206" s="1057" t="s">
        <v>3583</v>
      </c>
      <c r="D206" s="1055">
        <v>100</v>
      </c>
      <c r="E206" s="1054">
        <v>0</v>
      </c>
      <c r="F206" s="1054" t="s">
        <v>1254</v>
      </c>
      <c r="G206" s="1056" t="s">
        <v>849</v>
      </c>
      <c r="H206" s="1054">
        <v>0</v>
      </c>
      <c r="I206" s="1023"/>
      <c r="J206" s="1024"/>
    </row>
    <row r="207" spans="2:10" s="102" customFormat="1" ht="18" outlineLevel="1" x14ac:dyDescent="0.25">
      <c r="B207" s="1058" t="s">
        <v>1722</v>
      </c>
      <c r="C207" s="1059" t="s">
        <v>2514</v>
      </c>
      <c r="D207" s="1060">
        <v>2</v>
      </c>
      <c r="E207" s="1056">
        <v>0</v>
      </c>
      <c r="F207" s="1056" t="s">
        <v>1254</v>
      </c>
      <c r="G207" s="1056" t="s">
        <v>849</v>
      </c>
      <c r="H207" s="1056">
        <v>1</v>
      </c>
      <c r="I207" s="1633"/>
      <c r="J207" s="1061"/>
    </row>
    <row r="208" spans="2:10" s="102" customFormat="1" ht="18" outlineLevel="1" x14ac:dyDescent="0.25">
      <c r="B208" s="618" t="s">
        <v>3036</v>
      </c>
      <c r="C208" s="1057" t="s">
        <v>3037</v>
      </c>
      <c r="D208" s="1055">
        <v>-100</v>
      </c>
      <c r="E208" s="1054" t="s">
        <v>2162</v>
      </c>
      <c r="F208" s="1054" t="s">
        <v>1254</v>
      </c>
      <c r="G208" s="1056" t="s">
        <v>2125</v>
      </c>
      <c r="H208" s="1054">
        <v>0</v>
      </c>
      <c r="I208" s="1023"/>
      <c r="J208" s="1024"/>
    </row>
    <row r="209" spans="2:10" s="102" customFormat="1" ht="18" outlineLevel="1" x14ac:dyDescent="0.25">
      <c r="B209" s="1058" t="s">
        <v>3038</v>
      </c>
      <c r="C209" s="1059" t="s">
        <v>3039</v>
      </c>
      <c r="D209" s="1060">
        <v>0.1</v>
      </c>
      <c r="E209" s="1056">
        <v>0</v>
      </c>
      <c r="F209" s="1056" t="s">
        <v>1254</v>
      </c>
      <c r="G209" s="1056" t="s">
        <v>1976</v>
      </c>
      <c r="H209" s="1056">
        <v>2</v>
      </c>
      <c r="I209" s="1633"/>
      <c r="J209" s="1061"/>
    </row>
    <row r="210" spans="2:10" s="102" customFormat="1" ht="18" outlineLevel="1" x14ac:dyDescent="0.25">
      <c r="B210" s="1062" t="s">
        <v>2509</v>
      </c>
      <c r="C210" s="1059" t="s">
        <v>2515</v>
      </c>
      <c r="D210" s="1060">
        <v>50</v>
      </c>
      <c r="E210" s="1056">
        <v>0</v>
      </c>
      <c r="F210" s="1056" t="s">
        <v>1254</v>
      </c>
      <c r="G210" s="1056" t="s">
        <v>849</v>
      </c>
      <c r="H210" s="1056">
        <v>1</v>
      </c>
      <c r="I210" s="1633"/>
      <c r="J210" s="1063"/>
    </row>
    <row r="211" spans="2:10" s="102" customFormat="1" ht="18" outlineLevel="1" x14ac:dyDescent="0.25">
      <c r="B211" s="618" t="s">
        <v>4500</v>
      </c>
      <c r="C211" s="1064" t="s">
        <v>2516</v>
      </c>
      <c r="D211" s="1065">
        <v>0.01</v>
      </c>
      <c r="E211" s="1056">
        <v>0</v>
      </c>
      <c r="F211" s="1054" t="s">
        <v>1254</v>
      </c>
      <c r="G211" s="1054" t="s">
        <v>888</v>
      </c>
      <c r="H211" s="1054">
        <v>3</v>
      </c>
      <c r="I211" s="1023"/>
      <c r="J211" s="1024"/>
    </row>
    <row r="212" spans="2:10" s="102" customFormat="1" ht="18" outlineLevel="1" x14ac:dyDescent="0.25">
      <c r="B212" s="618" t="s">
        <v>4468</v>
      </c>
      <c r="C212" s="1064" t="s">
        <v>4469</v>
      </c>
      <c r="D212" s="1053">
        <v>1</v>
      </c>
      <c r="E212" s="1056">
        <v>0</v>
      </c>
      <c r="F212" s="1054">
        <v>2</v>
      </c>
      <c r="G212" s="1054" t="s">
        <v>282</v>
      </c>
      <c r="H212" s="1054">
        <v>2</v>
      </c>
      <c r="I212" s="1023"/>
      <c r="J212" s="1024" t="s">
        <v>4457</v>
      </c>
    </row>
    <row r="213" spans="2:10" s="102" customFormat="1" ht="18" outlineLevel="1" x14ac:dyDescent="0.25">
      <c r="B213" s="618" t="s">
        <v>4929</v>
      </c>
      <c r="C213" s="1064" t="s">
        <v>3584</v>
      </c>
      <c r="D213" s="1065">
        <v>0.1</v>
      </c>
      <c r="E213" s="1056">
        <v>0</v>
      </c>
      <c r="F213" s="1054" t="s">
        <v>1254</v>
      </c>
      <c r="G213" s="1054" t="s">
        <v>888</v>
      </c>
      <c r="H213" s="1054">
        <v>3</v>
      </c>
      <c r="I213" s="1023"/>
      <c r="J213" s="1024"/>
    </row>
    <row r="214" spans="2:10" s="102" customFormat="1" ht="18.75" outlineLevel="1" thickBot="1" x14ac:dyDescent="0.3">
      <c r="B214" s="1066" t="s">
        <v>4930</v>
      </c>
      <c r="C214" s="1067" t="s">
        <v>2517</v>
      </c>
      <c r="D214" s="1068">
        <v>0.1</v>
      </c>
      <c r="E214" s="1069">
        <v>0</v>
      </c>
      <c r="F214" s="1070" t="s">
        <v>1254</v>
      </c>
      <c r="G214" s="1070" t="s">
        <v>888</v>
      </c>
      <c r="H214" s="1070">
        <v>2</v>
      </c>
      <c r="I214" s="1634"/>
      <c r="J214" s="379"/>
    </row>
    <row r="215" spans="2:10" s="102" customFormat="1" ht="15.75" thickBot="1" x14ac:dyDescent="0.3">
      <c r="B215" s="131"/>
      <c r="C215" s="1111"/>
      <c r="D215" s="104"/>
      <c r="E215" s="695"/>
      <c r="F215" s="695"/>
      <c r="G215" s="695"/>
      <c r="H215" s="695"/>
      <c r="I215" s="1111"/>
      <c r="J215" s="142"/>
    </row>
    <row r="216" spans="2:10" s="102" customFormat="1" ht="15.75" thickBot="1" x14ac:dyDescent="0.3">
      <c r="B216" s="131"/>
      <c r="C216" s="1112" t="s">
        <v>4250</v>
      </c>
      <c r="D216" s="103" t="s">
        <v>303</v>
      </c>
      <c r="E216" s="103"/>
      <c r="F216" s="103"/>
      <c r="G216" s="103"/>
      <c r="H216" s="103"/>
      <c r="I216" s="131"/>
      <c r="J216" s="142"/>
    </row>
    <row r="217" spans="2:10" s="102" customFormat="1" ht="15.75" thickBot="1" x14ac:dyDescent="0.3">
      <c r="B217" s="343" t="s">
        <v>0</v>
      </c>
      <c r="C217" s="1445" t="s">
        <v>1</v>
      </c>
      <c r="D217" s="344" t="s">
        <v>842</v>
      </c>
      <c r="E217" s="344" t="s">
        <v>473</v>
      </c>
      <c r="F217" s="344" t="s">
        <v>474</v>
      </c>
      <c r="G217" s="344" t="s">
        <v>2</v>
      </c>
      <c r="H217" s="344" t="s">
        <v>302</v>
      </c>
      <c r="I217" s="1445" t="s">
        <v>116</v>
      </c>
      <c r="J217" s="348" t="s">
        <v>117</v>
      </c>
    </row>
    <row r="218" spans="2:10" s="102" customFormat="1" ht="18" outlineLevel="1" x14ac:dyDescent="0.25">
      <c r="B218" s="1380" t="s">
        <v>4251</v>
      </c>
      <c r="C218" s="1381" t="s">
        <v>4252</v>
      </c>
      <c r="D218" s="1382">
        <v>75</v>
      </c>
      <c r="E218" s="1382">
        <v>0</v>
      </c>
      <c r="F218" s="1382" t="s">
        <v>1254</v>
      </c>
      <c r="G218" s="1383" t="s">
        <v>849</v>
      </c>
      <c r="H218" s="1382">
        <v>0</v>
      </c>
      <c r="I218" s="1396"/>
      <c r="J218" s="1385"/>
    </row>
    <row r="219" spans="2:10" s="102" customFormat="1" ht="18" outlineLevel="1" x14ac:dyDescent="0.25">
      <c r="B219" s="743" t="s">
        <v>4253</v>
      </c>
      <c r="C219" s="1251" t="s">
        <v>4254</v>
      </c>
      <c r="D219" s="564">
        <v>1</v>
      </c>
      <c r="E219" s="1386">
        <v>0</v>
      </c>
      <c r="F219" s="563" t="s">
        <v>1254</v>
      </c>
      <c r="G219" s="1044" t="s">
        <v>849</v>
      </c>
      <c r="H219" s="563">
        <v>2</v>
      </c>
      <c r="I219" s="615"/>
      <c r="J219" s="1387"/>
    </row>
    <row r="220" spans="2:10" s="102" customFormat="1" ht="18" outlineLevel="1" x14ac:dyDescent="0.25">
      <c r="B220" s="743" t="s">
        <v>4255</v>
      </c>
      <c r="C220" s="1388" t="s">
        <v>4256</v>
      </c>
      <c r="D220" s="563">
        <v>175</v>
      </c>
      <c r="E220" s="1386">
        <v>0</v>
      </c>
      <c r="F220" s="1386" t="s">
        <v>1254</v>
      </c>
      <c r="G220" s="1044" t="s">
        <v>849</v>
      </c>
      <c r="H220" s="1386">
        <v>0</v>
      </c>
      <c r="I220" s="615"/>
      <c r="J220" s="1387"/>
    </row>
    <row r="221" spans="2:10" s="102" customFormat="1" ht="18" outlineLevel="1" x14ac:dyDescent="0.25">
      <c r="B221" s="743" t="s">
        <v>4257</v>
      </c>
      <c r="C221" s="1251" t="s">
        <v>4258</v>
      </c>
      <c r="D221" s="564">
        <v>1</v>
      </c>
      <c r="E221" s="1386">
        <v>0</v>
      </c>
      <c r="F221" s="1386" t="s">
        <v>1254</v>
      </c>
      <c r="G221" s="1044" t="s">
        <v>849</v>
      </c>
      <c r="H221" s="1386">
        <v>2</v>
      </c>
      <c r="I221" s="615"/>
      <c r="J221" s="1387"/>
    </row>
    <row r="222" spans="2:10" s="102" customFormat="1" ht="18" outlineLevel="1" x14ac:dyDescent="0.25">
      <c r="B222" s="743" t="s">
        <v>4259</v>
      </c>
      <c r="C222" s="1388" t="s">
        <v>4260</v>
      </c>
      <c r="D222" s="563">
        <v>100</v>
      </c>
      <c r="E222" s="1386">
        <v>0</v>
      </c>
      <c r="F222" s="1386" t="s">
        <v>1254</v>
      </c>
      <c r="G222" s="1044" t="s">
        <v>849</v>
      </c>
      <c r="H222" s="1386">
        <v>0</v>
      </c>
      <c r="I222" s="615"/>
      <c r="J222" s="1387"/>
    </row>
    <row r="223" spans="2:10" s="102" customFormat="1" ht="18" outlineLevel="1" x14ac:dyDescent="0.25">
      <c r="B223" s="743" t="s">
        <v>4261</v>
      </c>
      <c r="C223" s="1388" t="s">
        <v>4262</v>
      </c>
      <c r="D223" s="563">
        <v>10</v>
      </c>
      <c r="E223" s="1386">
        <v>0</v>
      </c>
      <c r="F223" s="1386" t="s">
        <v>1254</v>
      </c>
      <c r="G223" s="1044" t="s">
        <v>849</v>
      </c>
      <c r="H223" s="1386">
        <v>0</v>
      </c>
      <c r="I223" s="615"/>
      <c r="J223" s="1387"/>
    </row>
    <row r="224" spans="2:10" s="102" customFormat="1" ht="18" outlineLevel="1" x14ac:dyDescent="0.25">
      <c r="B224" s="743" t="s">
        <v>4263</v>
      </c>
      <c r="C224" s="1388" t="s">
        <v>4264</v>
      </c>
      <c r="D224" s="563">
        <v>100</v>
      </c>
      <c r="E224" s="1386">
        <v>0</v>
      </c>
      <c r="F224" s="1386" t="s">
        <v>1254</v>
      </c>
      <c r="G224" s="1044" t="s">
        <v>849</v>
      </c>
      <c r="H224" s="1386">
        <v>0</v>
      </c>
      <c r="I224" s="615"/>
      <c r="J224" s="1387"/>
    </row>
    <row r="225" spans="2:10" s="102" customFormat="1" ht="18" outlineLevel="1" x14ac:dyDescent="0.25">
      <c r="B225" s="743" t="s">
        <v>4265</v>
      </c>
      <c r="C225" s="1251" t="s">
        <v>4266</v>
      </c>
      <c r="D225" s="564">
        <v>0.1</v>
      </c>
      <c r="E225" s="1044">
        <v>0</v>
      </c>
      <c r="F225" s="1386" t="s">
        <v>1254</v>
      </c>
      <c r="G225" s="1386" t="s">
        <v>888</v>
      </c>
      <c r="H225" s="1386">
        <v>2</v>
      </c>
      <c r="I225" s="615"/>
      <c r="J225" s="1387"/>
    </row>
    <row r="226" spans="2:10" s="102" customFormat="1" ht="18" outlineLevel="1" x14ac:dyDescent="0.25">
      <c r="B226" s="743" t="s">
        <v>4267</v>
      </c>
      <c r="C226" s="1389" t="s">
        <v>4268</v>
      </c>
      <c r="D226" s="562">
        <v>1E-3</v>
      </c>
      <c r="E226" s="1044">
        <v>0</v>
      </c>
      <c r="F226" s="1386" t="s">
        <v>1254</v>
      </c>
      <c r="G226" s="1386" t="s">
        <v>888</v>
      </c>
      <c r="H226" s="1386">
        <v>3</v>
      </c>
      <c r="I226" s="615"/>
      <c r="J226" s="1387"/>
    </row>
    <row r="227" spans="2:10" s="102" customFormat="1" ht="18" outlineLevel="1" x14ac:dyDescent="0.25">
      <c r="B227" s="1754" t="s">
        <v>4470</v>
      </c>
      <c r="C227" s="1755" t="s">
        <v>4471</v>
      </c>
      <c r="D227" s="1303">
        <v>2</v>
      </c>
      <c r="E227" s="1034">
        <v>0</v>
      </c>
      <c r="F227" s="1756">
        <v>2</v>
      </c>
      <c r="G227" s="1756" t="s">
        <v>282</v>
      </c>
      <c r="H227" s="1756">
        <v>2</v>
      </c>
      <c r="I227" s="1090"/>
      <c r="J227" s="1387" t="s">
        <v>4457</v>
      </c>
    </row>
    <row r="228" spans="2:10" s="102" customFormat="1" ht="18.75" outlineLevel="1" thickBot="1" x14ac:dyDescent="0.3">
      <c r="B228" s="1390" t="s">
        <v>4269</v>
      </c>
      <c r="C228" s="1391" t="s">
        <v>4270</v>
      </c>
      <c r="D228" s="1392">
        <v>0.1</v>
      </c>
      <c r="E228" s="1393">
        <v>0</v>
      </c>
      <c r="F228" s="1394" t="s">
        <v>1254</v>
      </c>
      <c r="G228" s="1394" t="s">
        <v>888</v>
      </c>
      <c r="H228" s="1394">
        <v>3</v>
      </c>
      <c r="I228" s="1401"/>
      <c r="J228" s="1395"/>
    </row>
    <row r="229" spans="2:10" s="102" customFormat="1" ht="15.75" thickBot="1" x14ac:dyDescent="0.3">
      <c r="B229" s="131"/>
      <c r="C229" s="131"/>
      <c r="D229" s="103"/>
      <c r="E229" s="103"/>
      <c r="F229" s="103"/>
      <c r="G229" s="103"/>
      <c r="H229" s="103"/>
      <c r="I229" s="131"/>
      <c r="J229" s="142"/>
    </row>
    <row r="230" spans="2:10" s="102" customFormat="1" ht="15.75" thickBot="1" x14ac:dyDescent="0.3">
      <c r="B230" s="131"/>
      <c r="C230" s="415" t="s">
        <v>305</v>
      </c>
      <c r="D230" s="103" t="s">
        <v>303</v>
      </c>
      <c r="E230" s="103"/>
      <c r="F230" s="103"/>
      <c r="G230" s="103"/>
      <c r="H230" s="103"/>
      <c r="I230" s="131"/>
      <c r="J230" s="142"/>
    </row>
    <row r="231" spans="2:10" s="102" customFormat="1" ht="15.75" thickBot="1" x14ac:dyDescent="0.3">
      <c r="B231" s="343" t="s">
        <v>0</v>
      </c>
      <c r="C231" s="1445" t="s">
        <v>1</v>
      </c>
      <c r="D231" s="344" t="s">
        <v>842</v>
      </c>
      <c r="E231" s="344" t="s">
        <v>473</v>
      </c>
      <c r="F231" s="344" t="s">
        <v>474</v>
      </c>
      <c r="G231" s="344" t="s">
        <v>2</v>
      </c>
      <c r="H231" s="344" t="s">
        <v>302</v>
      </c>
      <c r="I231" s="1445" t="s">
        <v>116</v>
      </c>
      <c r="J231" s="348" t="s">
        <v>117</v>
      </c>
    </row>
    <row r="232" spans="2:10" s="102" customFormat="1" ht="18" outlineLevel="1" x14ac:dyDescent="0.25">
      <c r="B232" s="278" t="s">
        <v>1920</v>
      </c>
      <c r="C232" s="1512" t="s">
        <v>2518</v>
      </c>
      <c r="D232" s="473">
        <v>5.0000000000000001E-3</v>
      </c>
      <c r="E232" s="474">
        <v>0</v>
      </c>
      <c r="F232" s="474" t="s">
        <v>1254</v>
      </c>
      <c r="G232" s="474" t="s">
        <v>886</v>
      </c>
      <c r="H232" s="474">
        <v>3</v>
      </c>
      <c r="I232" s="1635"/>
      <c r="J232" s="1636"/>
    </row>
    <row r="233" spans="2:10" s="102" customFormat="1" ht="18" outlineLevel="1" x14ac:dyDescent="0.25">
      <c r="B233" s="136" t="s">
        <v>1921</v>
      </c>
      <c r="C233" s="1513" t="s">
        <v>2519</v>
      </c>
      <c r="D233" s="109">
        <v>2E-3</v>
      </c>
      <c r="E233" s="108">
        <v>0</v>
      </c>
      <c r="F233" s="108" t="s">
        <v>1254</v>
      </c>
      <c r="G233" s="108" t="s">
        <v>888</v>
      </c>
      <c r="H233" s="108">
        <v>3</v>
      </c>
      <c r="I233" s="1637"/>
      <c r="J233" s="1638"/>
    </row>
    <row r="234" spans="2:10" s="102" customFormat="1" ht="18" outlineLevel="1" x14ac:dyDescent="0.25">
      <c r="B234" s="1514" t="s">
        <v>1922</v>
      </c>
      <c r="C234" s="1515" t="s">
        <v>2520</v>
      </c>
      <c r="D234" s="475">
        <v>1.2</v>
      </c>
      <c r="E234" s="108">
        <v>0</v>
      </c>
      <c r="F234" s="476" t="s">
        <v>1254</v>
      </c>
      <c r="G234" s="476" t="s">
        <v>1617</v>
      </c>
      <c r="H234" s="476">
        <v>1</v>
      </c>
      <c r="I234" s="1639"/>
      <c r="J234" s="1640"/>
    </row>
    <row r="235" spans="2:10" s="102" customFormat="1" ht="18" outlineLevel="1" x14ac:dyDescent="0.25">
      <c r="B235" s="136" t="s">
        <v>1923</v>
      </c>
      <c r="C235" s="493" t="s">
        <v>2521</v>
      </c>
      <c r="D235" s="477">
        <v>0.1</v>
      </c>
      <c r="E235" s="108">
        <v>0</v>
      </c>
      <c r="F235" s="477" t="s">
        <v>1254</v>
      </c>
      <c r="G235" s="477" t="s">
        <v>2897</v>
      </c>
      <c r="H235" s="477">
        <v>1</v>
      </c>
      <c r="I235" s="83"/>
      <c r="J235" s="417"/>
    </row>
    <row r="236" spans="2:10" s="102" customFormat="1" ht="18" outlineLevel="1" x14ac:dyDescent="0.25">
      <c r="B236" s="136" t="s">
        <v>1924</v>
      </c>
      <c r="C236" s="493" t="s">
        <v>2522</v>
      </c>
      <c r="D236" s="477">
        <v>0.1</v>
      </c>
      <c r="E236" s="108">
        <v>0</v>
      </c>
      <c r="F236" s="477" t="s">
        <v>1254</v>
      </c>
      <c r="G236" s="477" t="s">
        <v>2898</v>
      </c>
      <c r="H236" s="477">
        <v>1</v>
      </c>
      <c r="I236" s="83"/>
      <c r="J236" s="417"/>
    </row>
    <row r="237" spans="2:10" s="102" customFormat="1" ht="18" outlineLevel="1" x14ac:dyDescent="0.25">
      <c r="B237" s="579" t="s">
        <v>3805</v>
      </c>
      <c r="C237" s="1160" t="s">
        <v>3806</v>
      </c>
      <c r="D237" s="871">
        <v>1E-4</v>
      </c>
      <c r="E237" s="869">
        <v>0</v>
      </c>
      <c r="F237" s="871" t="s">
        <v>1254</v>
      </c>
      <c r="G237" s="871" t="s">
        <v>1621</v>
      </c>
      <c r="H237" s="871">
        <v>4</v>
      </c>
      <c r="I237" s="1160"/>
      <c r="J237" s="1305"/>
    </row>
    <row r="238" spans="2:10" s="102" customFormat="1" ht="18" outlineLevel="1" x14ac:dyDescent="0.25">
      <c r="B238" s="579" t="s">
        <v>3807</v>
      </c>
      <c r="C238" s="1160" t="s">
        <v>3808</v>
      </c>
      <c r="D238" s="871">
        <v>1E-4</v>
      </c>
      <c r="E238" s="869">
        <v>0</v>
      </c>
      <c r="F238" s="871" t="s">
        <v>1254</v>
      </c>
      <c r="G238" s="871" t="s">
        <v>1623</v>
      </c>
      <c r="H238" s="871">
        <v>4</v>
      </c>
      <c r="I238" s="1160"/>
      <c r="J238" s="1305"/>
    </row>
    <row r="239" spans="2:10" s="102" customFormat="1" ht="18" outlineLevel="1" x14ac:dyDescent="0.25">
      <c r="B239" s="136" t="s">
        <v>1725</v>
      </c>
      <c r="C239" s="1516" t="s">
        <v>2523</v>
      </c>
      <c r="D239" s="110">
        <v>0.5</v>
      </c>
      <c r="E239" s="108">
        <v>0</v>
      </c>
      <c r="F239" s="108" t="s">
        <v>1254</v>
      </c>
      <c r="G239" s="111" t="s">
        <v>1976</v>
      </c>
      <c r="H239" s="108">
        <v>2</v>
      </c>
      <c r="I239" s="1637"/>
      <c r="J239" s="1638"/>
    </row>
    <row r="240" spans="2:10" s="102" customFormat="1" ht="18" outlineLevel="1" x14ac:dyDescent="0.25">
      <c r="B240" s="136" t="s">
        <v>1726</v>
      </c>
      <c r="C240" s="1516" t="s">
        <v>2524</v>
      </c>
      <c r="D240" s="110">
        <v>0.25</v>
      </c>
      <c r="E240" s="108">
        <v>0</v>
      </c>
      <c r="F240" s="108" t="s">
        <v>1254</v>
      </c>
      <c r="G240" s="111" t="s">
        <v>1976</v>
      </c>
      <c r="H240" s="108">
        <v>2</v>
      </c>
      <c r="I240" s="1637"/>
      <c r="J240" s="1638"/>
    </row>
    <row r="241" spans="1:16" s="102" customFormat="1" ht="18" outlineLevel="1" x14ac:dyDescent="0.25">
      <c r="B241" s="136" t="s">
        <v>1942</v>
      </c>
      <c r="C241" s="1516" t="s">
        <v>2527</v>
      </c>
      <c r="D241" s="110">
        <v>5</v>
      </c>
      <c r="E241" s="108">
        <v>0</v>
      </c>
      <c r="F241" s="108" t="s">
        <v>1254</v>
      </c>
      <c r="G241" s="111" t="s">
        <v>1976</v>
      </c>
      <c r="H241" s="108">
        <v>1</v>
      </c>
      <c r="I241" s="1637"/>
      <c r="J241" s="1638"/>
    </row>
    <row r="242" spans="1:16" s="102" customFormat="1" ht="18" outlineLevel="1" x14ac:dyDescent="0.25">
      <c r="B242" s="136" t="s">
        <v>1943</v>
      </c>
      <c r="C242" s="1516" t="s">
        <v>2528</v>
      </c>
      <c r="D242" s="110">
        <v>10</v>
      </c>
      <c r="E242" s="108">
        <v>0</v>
      </c>
      <c r="F242" s="108" t="s">
        <v>1254</v>
      </c>
      <c r="G242" s="111" t="s">
        <v>1976</v>
      </c>
      <c r="H242" s="108">
        <v>1</v>
      </c>
      <c r="I242" s="1637"/>
      <c r="J242" s="1638"/>
    </row>
    <row r="243" spans="1:16" s="102" customFormat="1" ht="18" outlineLevel="1" x14ac:dyDescent="0.25">
      <c r="B243" s="136" t="s">
        <v>2089</v>
      </c>
      <c r="C243" s="1516" t="s">
        <v>2529</v>
      </c>
      <c r="D243" s="110">
        <v>10</v>
      </c>
      <c r="E243" s="108">
        <v>0</v>
      </c>
      <c r="F243" s="108" t="s">
        <v>1254</v>
      </c>
      <c r="G243" s="111" t="s">
        <v>1976</v>
      </c>
      <c r="H243" s="108">
        <v>1</v>
      </c>
      <c r="I243" s="1637"/>
      <c r="J243" s="1638"/>
    </row>
    <row r="244" spans="1:16" s="102" customFormat="1" ht="18" outlineLevel="1" x14ac:dyDescent="0.25">
      <c r="B244" s="136" t="s">
        <v>1165</v>
      </c>
      <c r="C244" s="493" t="s">
        <v>2530</v>
      </c>
      <c r="D244" s="477">
        <v>3</v>
      </c>
      <c r="E244" s="477">
        <v>0</v>
      </c>
      <c r="F244" s="477" t="s">
        <v>1254</v>
      </c>
      <c r="G244" s="477" t="s">
        <v>381</v>
      </c>
      <c r="H244" s="477">
        <v>1</v>
      </c>
      <c r="I244" s="83"/>
      <c r="J244" s="417"/>
    </row>
    <row r="245" spans="1:16" s="102" customFormat="1" ht="18.75" outlineLevel="1" thickBot="1" x14ac:dyDescent="0.3">
      <c r="B245" s="638" t="s">
        <v>1166</v>
      </c>
      <c r="C245" s="1517" t="s">
        <v>2531</v>
      </c>
      <c r="D245" s="114">
        <v>11</v>
      </c>
      <c r="E245" s="114">
        <v>0</v>
      </c>
      <c r="F245" s="114" t="s">
        <v>1254</v>
      </c>
      <c r="G245" s="114" t="s">
        <v>381</v>
      </c>
      <c r="H245" s="114">
        <v>1</v>
      </c>
      <c r="I245" s="1517"/>
      <c r="J245" s="1641"/>
    </row>
    <row r="246" spans="1:16" s="102" customFormat="1" ht="15.75" thickBot="1" x14ac:dyDescent="0.3">
      <c r="B246" s="131"/>
      <c r="C246" s="1111"/>
      <c r="D246" s="104"/>
      <c r="E246" s="695"/>
      <c r="F246" s="695"/>
      <c r="G246" s="695"/>
      <c r="H246" s="695"/>
      <c r="I246" s="1111"/>
      <c r="J246" s="142"/>
    </row>
    <row r="247" spans="1:16" s="102" customFormat="1" ht="15.75" thickBot="1" x14ac:dyDescent="0.3">
      <c r="B247" s="131"/>
      <c r="C247" s="415" t="s">
        <v>304</v>
      </c>
      <c r="D247" s="103" t="s">
        <v>303</v>
      </c>
      <c r="E247" s="103"/>
      <c r="F247" s="103"/>
      <c r="G247" s="103"/>
      <c r="H247" s="103"/>
      <c r="I247" s="131"/>
      <c r="J247" s="142"/>
    </row>
    <row r="248" spans="1:16" s="102" customFormat="1" ht="15.75" thickBot="1" x14ac:dyDescent="0.3">
      <c r="B248" s="1499" t="s">
        <v>0</v>
      </c>
      <c r="C248" s="1500" t="s">
        <v>1</v>
      </c>
      <c r="D248" s="115" t="s">
        <v>842</v>
      </c>
      <c r="E248" s="115" t="s">
        <v>473</v>
      </c>
      <c r="F248" s="115" t="s">
        <v>474</v>
      </c>
      <c r="G248" s="115" t="s">
        <v>2</v>
      </c>
      <c r="H248" s="115" t="s">
        <v>302</v>
      </c>
      <c r="I248" s="1619" t="s">
        <v>116</v>
      </c>
      <c r="J248" s="1620" t="s">
        <v>117</v>
      </c>
    </row>
    <row r="249" spans="1:16" s="102" customFormat="1" ht="18" outlineLevel="1" x14ac:dyDescent="0.25">
      <c r="B249" s="2600" t="s">
        <v>5324</v>
      </c>
      <c r="C249" s="2606" t="s">
        <v>5333</v>
      </c>
      <c r="D249" s="687">
        <v>3</v>
      </c>
      <c r="E249" s="1035">
        <v>0</v>
      </c>
      <c r="F249" s="1035" t="s">
        <v>1254</v>
      </c>
      <c r="G249" s="1035" t="s">
        <v>849</v>
      </c>
      <c r="H249" s="1035">
        <v>1</v>
      </c>
      <c r="I249" s="1642" t="s">
        <v>5163</v>
      </c>
      <c r="J249" s="1643"/>
    </row>
    <row r="250" spans="1:16" s="2599" customFormat="1" ht="18" outlineLevel="1" x14ac:dyDescent="0.25">
      <c r="A250" s="102"/>
      <c r="B250" s="2519" t="s">
        <v>5322</v>
      </c>
      <c r="C250" s="1519" t="s">
        <v>5334</v>
      </c>
      <c r="D250" s="687">
        <v>1</v>
      </c>
      <c r="E250" s="688">
        <v>0</v>
      </c>
      <c r="F250" s="688" t="s">
        <v>1254</v>
      </c>
      <c r="G250" s="688" t="s">
        <v>849</v>
      </c>
      <c r="H250" s="688">
        <v>1</v>
      </c>
      <c r="I250" s="1644" t="s">
        <v>5323</v>
      </c>
      <c r="J250" s="1645"/>
      <c r="K250" s="102"/>
      <c r="L250" s="102"/>
      <c r="M250" s="102"/>
      <c r="N250" s="102"/>
      <c r="O250" s="102"/>
      <c r="P250" s="102"/>
    </row>
    <row r="251" spans="1:16" s="102" customFormat="1" ht="18" outlineLevel="1" x14ac:dyDescent="0.25">
      <c r="B251" s="1518" t="s">
        <v>1723</v>
      </c>
      <c r="C251" s="1519" t="s">
        <v>2525</v>
      </c>
      <c r="D251" s="687">
        <v>0.5</v>
      </c>
      <c r="E251" s="688">
        <v>0</v>
      </c>
      <c r="F251" s="688" t="s">
        <v>1254</v>
      </c>
      <c r="G251" s="688" t="s">
        <v>1976</v>
      </c>
      <c r="H251" s="688">
        <v>2</v>
      </c>
      <c r="I251" s="1644"/>
      <c r="J251" s="1645"/>
    </row>
    <row r="252" spans="1:16" s="102" customFormat="1" ht="18.75" outlineLevel="1" thickBot="1" x14ac:dyDescent="0.3">
      <c r="B252" s="1518" t="s">
        <v>1724</v>
      </c>
      <c r="C252" s="1519" t="s">
        <v>2526</v>
      </c>
      <c r="D252" s="687">
        <v>0.2</v>
      </c>
      <c r="E252" s="688">
        <v>0</v>
      </c>
      <c r="F252" s="688" t="s">
        <v>1254</v>
      </c>
      <c r="G252" s="688" t="s">
        <v>1976</v>
      </c>
      <c r="H252" s="688">
        <v>2</v>
      </c>
      <c r="I252" s="1644"/>
      <c r="J252" s="1645"/>
    </row>
    <row r="253" spans="1:16" s="102" customFormat="1" ht="18" outlineLevel="1" x14ac:dyDescent="0.25">
      <c r="B253" s="1518" t="s">
        <v>3113</v>
      </c>
      <c r="C253" s="1519" t="s">
        <v>3114</v>
      </c>
      <c r="D253" s="687">
        <v>3</v>
      </c>
      <c r="E253" s="688">
        <v>0</v>
      </c>
      <c r="F253" s="688" t="s">
        <v>1254</v>
      </c>
      <c r="G253" s="688" t="s">
        <v>3098</v>
      </c>
      <c r="H253" s="688">
        <v>1</v>
      </c>
      <c r="I253" s="1642"/>
      <c r="J253" s="1645"/>
    </row>
    <row r="254" spans="1:16" s="102" customFormat="1" ht="18" outlineLevel="1" x14ac:dyDescent="0.25">
      <c r="B254" s="2519" t="s">
        <v>855</v>
      </c>
      <c r="C254" s="1519" t="s">
        <v>2533</v>
      </c>
      <c r="D254" s="687">
        <v>0.5</v>
      </c>
      <c r="E254" s="688">
        <v>0</v>
      </c>
      <c r="F254" s="688" t="s">
        <v>1254</v>
      </c>
      <c r="G254" s="688" t="s">
        <v>849</v>
      </c>
      <c r="H254" s="688">
        <v>1</v>
      </c>
      <c r="I254" s="1644"/>
      <c r="J254" s="1645"/>
    </row>
    <row r="255" spans="1:16" s="102" customFormat="1" ht="18" outlineLevel="1" x14ac:dyDescent="0.25">
      <c r="B255" s="2519" t="s">
        <v>5111</v>
      </c>
      <c r="C255" s="1519" t="s">
        <v>5112</v>
      </c>
      <c r="D255" s="687">
        <v>1000</v>
      </c>
      <c r="E255" s="688">
        <v>0</v>
      </c>
      <c r="F255" s="688" t="s">
        <v>1254</v>
      </c>
      <c r="G255" s="688" t="s">
        <v>849</v>
      </c>
      <c r="H255" s="688">
        <v>1</v>
      </c>
      <c r="I255" s="1644"/>
      <c r="J255" s="1645"/>
    </row>
    <row r="256" spans="1:16" s="102" customFormat="1" ht="18" outlineLevel="1" x14ac:dyDescent="0.25">
      <c r="B256" s="2519" t="s">
        <v>5113</v>
      </c>
      <c r="C256" s="1519" t="s">
        <v>5114</v>
      </c>
      <c r="D256" s="687">
        <v>1000</v>
      </c>
      <c r="E256" s="688">
        <v>0</v>
      </c>
      <c r="F256" s="688" t="s">
        <v>1254</v>
      </c>
      <c r="G256" s="688" t="s">
        <v>849</v>
      </c>
      <c r="H256" s="688">
        <v>1</v>
      </c>
      <c r="I256" s="1644"/>
      <c r="J256" s="1645"/>
    </row>
    <row r="257" spans="1:16" s="102" customFormat="1" ht="18" outlineLevel="1" x14ac:dyDescent="0.25">
      <c r="B257" s="2519" t="s">
        <v>5115</v>
      </c>
      <c r="C257" s="1519" t="s">
        <v>5116</v>
      </c>
      <c r="D257" s="687">
        <v>5</v>
      </c>
      <c r="E257" s="688">
        <v>0</v>
      </c>
      <c r="F257" s="688" t="s">
        <v>1254</v>
      </c>
      <c r="G257" s="688" t="s">
        <v>381</v>
      </c>
      <c r="H257" s="688">
        <v>1</v>
      </c>
      <c r="I257" s="1644"/>
      <c r="J257" s="1645"/>
    </row>
    <row r="258" spans="1:16" s="102" customFormat="1" ht="18" outlineLevel="1" x14ac:dyDescent="0.25">
      <c r="B258" s="2519" t="s">
        <v>5117</v>
      </c>
      <c r="C258" s="1519" t="s">
        <v>5118</v>
      </c>
      <c r="D258" s="687">
        <v>9</v>
      </c>
      <c r="E258" s="688">
        <v>0</v>
      </c>
      <c r="F258" s="688" t="s">
        <v>1254</v>
      </c>
      <c r="G258" s="688" t="s">
        <v>381</v>
      </c>
      <c r="H258" s="688">
        <v>1</v>
      </c>
      <c r="I258" s="1644"/>
      <c r="J258" s="1645"/>
    </row>
    <row r="259" spans="1:16" s="102" customFormat="1" ht="18" outlineLevel="1" x14ac:dyDescent="0.25">
      <c r="B259" s="2519" t="s">
        <v>5119</v>
      </c>
      <c r="C259" s="1519" t="s">
        <v>5120</v>
      </c>
      <c r="D259" s="687">
        <v>5</v>
      </c>
      <c r="E259" s="688">
        <v>0</v>
      </c>
      <c r="F259" s="688" t="s">
        <v>1254</v>
      </c>
      <c r="G259" s="688" t="s">
        <v>381</v>
      </c>
      <c r="H259" s="688">
        <v>1</v>
      </c>
      <c r="I259" s="1644"/>
      <c r="J259" s="1645"/>
    </row>
    <row r="260" spans="1:16" s="102" customFormat="1" ht="18" outlineLevel="1" x14ac:dyDescent="0.25">
      <c r="B260" s="2519" t="s">
        <v>5121</v>
      </c>
      <c r="C260" s="1519" t="s">
        <v>5122</v>
      </c>
      <c r="D260" s="687">
        <v>9</v>
      </c>
      <c r="E260" s="688">
        <v>0</v>
      </c>
      <c r="F260" s="688" t="s">
        <v>1254</v>
      </c>
      <c r="G260" s="688" t="s">
        <v>381</v>
      </c>
      <c r="H260" s="688">
        <v>1</v>
      </c>
      <c r="I260" s="1644"/>
      <c r="J260" s="1645"/>
    </row>
    <row r="261" spans="1:16" s="102" customFormat="1" ht="18" outlineLevel="1" x14ac:dyDescent="0.25">
      <c r="B261" s="1521" t="s">
        <v>1925</v>
      </c>
      <c r="C261" s="1523" t="s">
        <v>2534</v>
      </c>
      <c r="D261" s="1036">
        <v>0.05</v>
      </c>
      <c r="E261" s="1034">
        <v>0</v>
      </c>
      <c r="F261" s="1034" t="s">
        <v>1254</v>
      </c>
      <c r="G261" s="1034" t="s">
        <v>2150</v>
      </c>
      <c r="H261" s="1034">
        <v>2</v>
      </c>
      <c r="I261" s="1646"/>
      <c r="J261" s="1647"/>
    </row>
    <row r="262" spans="1:16" s="102" customFormat="1" ht="18" outlineLevel="1" x14ac:dyDescent="0.25">
      <c r="B262" s="2167" t="s">
        <v>4970</v>
      </c>
      <c r="C262" s="2324" t="s">
        <v>4971</v>
      </c>
      <c r="D262" s="2325">
        <v>500</v>
      </c>
      <c r="E262" s="2168">
        <v>0</v>
      </c>
      <c r="F262" s="2168" t="s">
        <v>1254</v>
      </c>
      <c r="G262" s="2168" t="s">
        <v>850</v>
      </c>
      <c r="H262" s="2168">
        <v>0</v>
      </c>
      <c r="I262" s="2160"/>
      <c r="J262" s="2169"/>
    </row>
    <row r="263" spans="1:16" s="102" customFormat="1" ht="18" outlineLevel="1" x14ac:dyDescent="0.25">
      <c r="B263" s="2167" t="s">
        <v>4972</v>
      </c>
      <c r="C263" s="2324" t="s">
        <v>4973</v>
      </c>
      <c r="D263" s="2325">
        <v>0.1</v>
      </c>
      <c r="E263" s="2168">
        <v>0</v>
      </c>
      <c r="F263" s="2168">
        <v>2</v>
      </c>
      <c r="G263" s="2168" t="s">
        <v>282</v>
      </c>
      <c r="H263" s="2168">
        <v>2</v>
      </c>
      <c r="I263" s="2160"/>
      <c r="J263" s="2169" t="s">
        <v>4969</v>
      </c>
    </row>
    <row r="264" spans="1:16" s="102" customFormat="1" ht="18" outlineLevel="1" x14ac:dyDescent="0.25">
      <c r="B264" s="2167" t="s">
        <v>4974</v>
      </c>
      <c r="C264" s="2326" t="s">
        <v>5129</v>
      </c>
      <c r="D264" s="2529">
        <v>5</v>
      </c>
      <c r="E264" s="2168">
        <v>0</v>
      </c>
      <c r="F264" s="2168" t="s">
        <v>1254</v>
      </c>
      <c r="G264" s="2168" t="s">
        <v>850</v>
      </c>
      <c r="H264" s="2168">
        <v>1</v>
      </c>
      <c r="I264" s="2160"/>
      <c r="J264" s="2169"/>
    </row>
    <row r="265" spans="1:16" s="102" customFormat="1" ht="18" outlineLevel="1" x14ac:dyDescent="0.25">
      <c r="B265" s="2167" t="s">
        <v>4975</v>
      </c>
      <c r="C265" s="2326" t="s">
        <v>5335</v>
      </c>
      <c r="D265" s="2529">
        <v>1</v>
      </c>
      <c r="E265" s="2168">
        <v>0</v>
      </c>
      <c r="F265" s="2168" t="s">
        <v>1254</v>
      </c>
      <c r="G265" s="2168" t="s">
        <v>850</v>
      </c>
      <c r="H265" s="2168">
        <v>1</v>
      </c>
      <c r="I265" s="2160"/>
      <c r="J265" s="2169"/>
    </row>
    <row r="266" spans="1:16" s="102" customFormat="1" ht="18" outlineLevel="1" x14ac:dyDescent="0.25">
      <c r="B266" s="2167" t="s">
        <v>5123</v>
      </c>
      <c r="C266" s="2326" t="s">
        <v>5124</v>
      </c>
      <c r="D266" s="2529">
        <v>5</v>
      </c>
      <c r="E266" s="2168">
        <v>0</v>
      </c>
      <c r="F266" s="2168" t="s">
        <v>1254</v>
      </c>
      <c r="G266" s="2168" t="s">
        <v>850</v>
      </c>
      <c r="H266" s="2168">
        <v>1</v>
      </c>
      <c r="I266" s="2160"/>
      <c r="J266" s="2169"/>
    </row>
    <row r="267" spans="1:16" s="102" customFormat="1" ht="18" outlineLevel="1" x14ac:dyDescent="0.25">
      <c r="B267" s="2167" t="s">
        <v>5125</v>
      </c>
      <c r="C267" s="2326" t="s">
        <v>5336</v>
      </c>
      <c r="D267" s="2529">
        <v>1</v>
      </c>
      <c r="E267" s="2168">
        <v>0</v>
      </c>
      <c r="F267" s="2168" t="s">
        <v>1254</v>
      </c>
      <c r="G267" s="2168" t="s">
        <v>850</v>
      </c>
      <c r="H267" s="2168">
        <v>1</v>
      </c>
      <c r="I267" s="2160"/>
      <c r="J267" s="2169"/>
    </row>
    <row r="268" spans="1:16" s="102" customFormat="1" ht="18" outlineLevel="1" x14ac:dyDescent="0.25">
      <c r="B268" s="2167" t="s">
        <v>5126</v>
      </c>
      <c r="C268" s="2326" t="s">
        <v>5127</v>
      </c>
      <c r="D268" s="2529">
        <v>5</v>
      </c>
      <c r="E268" s="2168">
        <v>0</v>
      </c>
      <c r="F268" s="2168" t="s">
        <v>1254</v>
      </c>
      <c r="G268" s="2168" t="s">
        <v>850</v>
      </c>
      <c r="H268" s="2168">
        <v>1</v>
      </c>
      <c r="I268" s="2160"/>
      <c r="J268" s="2169"/>
    </row>
    <row r="269" spans="1:16" s="102" customFormat="1" ht="18" outlineLevel="1" x14ac:dyDescent="0.25">
      <c r="B269" s="2167" t="s">
        <v>5128</v>
      </c>
      <c r="C269" s="2326" t="s">
        <v>5337</v>
      </c>
      <c r="D269" s="2529">
        <v>1</v>
      </c>
      <c r="E269" s="2168">
        <v>0</v>
      </c>
      <c r="F269" s="2168" t="s">
        <v>1254</v>
      </c>
      <c r="G269" s="2168" t="s">
        <v>850</v>
      </c>
      <c r="H269" s="2168">
        <v>1</v>
      </c>
      <c r="I269" s="2160"/>
      <c r="J269" s="2169"/>
    </row>
    <row r="270" spans="1:16" s="102" customFormat="1" ht="18" outlineLevel="1" x14ac:dyDescent="0.25">
      <c r="B270" s="2167" t="s">
        <v>4976</v>
      </c>
      <c r="C270" s="2326" t="s">
        <v>4977</v>
      </c>
      <c r="D270" s="2529">
        <v>500</v>
      </c>
      <c r="E270" s="2168">
        <v>0</v>
      </c>
      <c r="F270" s="2168" t="s">
        <v>1254</v>
      </c>
      <c r="G270" s="2168" t="s">
        <v>850</v>
      </c>
      <c r="H270" s="2168">
        <v>1</v>
      </c>
      <c r="I270" s="2160"/>
      <c r="J270" s="2169" t="s">
        <v>4978</v>
      </c>
    </row>
    <row r="271" spans="1:16" s="2599" customFormat="1" ht="18" outlineLevel="1" x14ac:dyDescent="0.25">
      <c r="A271" s="102"/>
      <c r="B271" s="2167" t="s">
        <v>5321</v>
      </c>
      <c r="C271" s="2326" t="s">
        <v>5338</v>
      </c>
      <c r="D271" s="2529">
        <v>500</v>
      </c>
      <c r="E271" s="2168">
        <v>0</v>
      </c>
      <c r="F271" s="2168" t="s">
        <v>1254</v>
      </c>
      <c r="G271" s="2168" t="s">
        <v>850</v>
      </c>
      <c r="H271" s="2168">
        <v>4</v>
      </c>
      <c r="I271" s="2160"/>
      <c r="J271" s="2169" t="s">
        <v>4978</v>
      </c>
      <c r="K271" s="102"/>
      <c r="L271" s="102"/>
      <c r="M271" s="102"/>
      <c r="N271" s="102"/>
      <c r="O271" s="102"/>
      <c r="P271" s="102"/>
    </row>
    <row r="272" spans="1:16" s="102" customFormat="1" ht="18" outlineLevel="1" x14ac:dyDescent="0.25">
      <c r="B272" s="2167" t="s">
        <v>4979</v>
      </c>
      <c r="C272" s="2326" t="s">
        <v>4980</v>
      </c>
      <c r="D272" s="2529">
        <v>500</v>
      </c>
      <c r="E272" s="2168">
        <v>0</v>
      </c>
      <c r="F272" s="2168" t="s">
        <v>1254</v>
      </c>
      <c r="G272" s="2168" t="s">
        <v>850</v>
      </c>
      <c r="H272" s="2168">
        <v>1</v>
      </c>
      <c r="I272" s="2160"/>
      <c r="J272" s="2169"/>
    </row>
    <row r="273" spans="2:18" s="102" customFormat="1" ht="18" outlineLevel="1" x14ac:dyDescent="0.25">
      <c r="B273" s="1521" t="s">
        <v>856</v>
      </c>
      <c r="C273" s="1523" t="s">
        <v>2535</v>
      </c>
      <c r="D273" s="1036">
        <v>0.05</v>
      </c>
      <c r="E273" s="1034">
        <v>0</v>
      </c>
      <c r="F273" s="1034" t="s">
        <v>1254</v>
      </c>
      <c r="G273" s="1034" t="s">
        <v>849</v>
      </c>
      <c r="H273" s="1034">
        <v>2</v>
      </c>
      <c r="I273" s="1646"/>
      <c r="J273" s="1647"/>
    </row>
    <row r="274" spans="2:18" s="102" customFormat="1" ht="18" outlineLevel="1" x14ac:dyDescent="0.25">
      <c r="B274" s="1521" t="s">
        <v>1742</v>
      </c>
      <c r="C274" s="1523" t="s">
        <v>2536</v>
      </c>
      <c r="D274" s="1036">
        <v>0.5</v>
      </c>
      <c r="E274" s="1034">
        <v>0</v>
      </c>
      <c r="F274" s="1034" t="s">
        <v>1254</v>
      </c>
      <c r="G274" s="1034" t="s">
        <v>849</v>
      </c>
      <c r="H274" s="1034">
        <v>2</v>
      </c>
      <c r="I274" s="1646"/>
      <c r="J274" s="1647"/>
    </row>
    <row r="275" spans="2:18" s="102" customFormat="1" ht="18" outlineLevel="1" x14ac:dyDescent="0.25">
      <c r="B275" s="1521" t="s">
        <v>1743</v>
      </c>
      <c r="C275" s="1524" t="s">
        <v>2537</v>
      </c>
      <c r="D275" s="1037">
        <v>7.0000000000000001E-3</v>
      </c>
      <c r="E275" s="1034">
        <v>0</v>
      </c>
      <c r="F275" s="1034" t="s">
        <v>1254</v>
      </c>
      <c r="G275" s="1034" t="s">
        <v>849</v>
      </c>
      <c r="H275" s="1034">
        <v>3</v>
      </c>
      <c r="I275" s="1646"/>
      <c r="J275" s="1647"/>
    </row>
    <row r="276" spans="2:18" s="102" customFormat="1" ht="18" outlineLevel="1" x14ac:dyDescent="0.25">
      <c r="B276" s="2167" t="s">
        <v>4766</v>
      </c>
      <c r="C276" s="2170" t="s">
        <v>4767</v>
      </c>
      <c r="D276" s="2171">
        <v>9.9999999999999995E-7</v>
      </c>
      <c r="E276" s="2168">
        <v>0</v>
      </c>
      <c r="F276" s="2168" t="s">
        <v>1254</v>
      </c>
      <c r="G276" s="2168" t="s">
        <v>849</v>
      </c>
      <c r="H276" s="2168">
        <v>6</v>
      </c>
      <c r="I276" s="2160"/>
      <c r="J276" s="2169"/>
    </row>
    <row r="277" spans="2:18" s="102" customFormat="1" ht="18" outlineLevel="1" x14ac:dyDescent="0.25">
      <c r="B277" s="2167" t="s">
        <v>4776</v>
      </c>
      <c r="C277" s="2170" t="s">
        <v>4792</v>
      </c>
      <c r="D277" s="2195">
        <v>10</v>
      </c>
      <c r="E277" s="2168">
        <v>0</v>
      </c>
      <c r="F277" s="2168" t="s">
        <v>1254</v>
      </c>
      <c r="G277" s="2168" t="s">
        <v>850</v>
      </c>
      <c r="H277" s="2168">
        <v>0</v>
      </c>
      <c r="I277" s="2160"/>
      <c r="J277" s="2169"/>
    </row>
    <row r="278" spans="2:18" s="102" customFormat="1" ht="18" outlineLevel="1" x14ac:dyDescent="0.25">
      <c r="B278" s="1521" t="s">
        <v>857</v>
      </c>
      <c r="C278" s="1520" t="s">
        <v>2538</v>
      </c>
      <c r="D278" s="1038">
        <v>1</v>
      </c>
      <c r="E278" s="1034">
        <v>0</v>
      </c>
      <c r="F278" s="1034" t="s">
        <v>1254</v>
      </c>
      <c r="G278" s="1034" t="s">
        <v>849</v>
      </c>
      <c r="H278" s="1034">
        <v>1</v>
      </c>
      <c r="I278" s="1646"/>
      <c r="J278" s="1647"/>
    </row>
    <row r="279" spans="2:18" s="102" customFormat="1" ht="18" outlineLevel="1" x14ac:dyDescent="0.25">
      <c r="B279" s="1521" t="s">
        <v>2532</v>
      </c>
      <c r="C279" s="1522" t="s">
        <v>2893</v>
      </c>
      <c r="D279" s="1033">
        <v>5.0000000000000001E-4</v>
      </c>
      <c r="E279" s="1034">
        <v>0</v>
      </c>
      <c r="F279" s="1034" t="s">
        <v>1254</v>
      </c>
      <c r="G279" s="1034" t="s">
        <v>852</v>
      </c>
      <c r="H279" s="1034">
        <v>4</v>
      </c>
      <c r="I279" s="1646"/>
      <c r="J279" s="1647"/>
    </row>
    <row r="280" spans="2:18" s="117" customFormat="1" ht="18" outlineLevel="1" x14ac:dyDescent="0.25">
      <c r="B280" s="1521" t="s">
        <v>2339</v>
      </c>
      <c r="C280" s="1524" t="s">
        <v>2539</v>
      </c>
      <c r="D280" s="1037">
        <v>1E-3</v>
      </c>
      <c r="E280" s="1034">
        <v>0</v>
      </c>
      <c r="F280" s="1034" t="s">
        <v>1254</v>
      </c>
      <c r="G280" s="1034" t="s">
        <v>852</v>
      </c>
      <c r="H280" s="1034">
        <v>3</v>
      </c>
      <c r="I280" s="1646"/>
      <c r="J280" s="1647"/>
      <c r="K280" s="102"/>
      <c r="L280" s="102"/>
      <c r="M280" s="102"/>
      <c r="N280" s="102"/>
      <c r="O280" s="102"/>
      <c r="P280" s="102"/>
      <c r="Q280" s="102"/>
      <c r="R280" s="102"/>
    </row>
    <row r="281" spans="2:18" s="102" customFormat="1" ht="18" outlineLevel="1" x14ac:dyDescent="0.25">
      <c r="B281" s="2167" t="s">
        <v>2338</v>
      </c>
      <c r="C281" s="2482" t="s">
        <v>2540</v>
      </c>
      <c r="D281" s="2483">
        <v>1E-3</v>
      </c>
      <c r="E281" s="2168">
        <v>0</v>
      </c>
      <c r="F281" s="2168" t="s">
        <v>1254</v>
      </c>
      <c r="G281" s="2168" t="s">
        <v>852</v>
      </c>
      <c r="H281" s="2168">
        <v>3</v>
      </c>
      <c r="I281" s="2160"/>
      <c r="J281" s="2169"/>
    </row>
    <row r="282" spans="2:18" s="102" customFormat="1" ht="18" outlineLevel="1" x14ac:dyDescent="0.25">
      <c r="B282" s="2472" t="s">
        <v>5076</v>
      </c>
      <c r="C282" s="2473" t="s">
        <v>5077</v>
      </c>
      <c r="D282" s="2474">
        <v>3.36</v>
      </c>
      <c r="E282" s="2475">
        <v>0</v>
      </c>
      <c r="F282" s="2475" t="s">
        <v>1254</v>
      </c>
      <c r="G282" s="2475" t="s">
        <v>446</v>
      </c>
      <c r="H282" s="2475">
        <v>2</v>
      </c>
      <c r="I282" s="2475"/>
      <c r="J282" s="2476" t="s">
        <v>5078</v>
      </c>
    </row>
    <row r="283" spans="2:18" s="102" customFormat="1" ht="18" outlineLevel="1" x14ac:dyDescent="0.25">
      <c r="B283" s="2472" t="s">
        <v>5079</v>
      </c>
      <c r="C283" s="2473" t="s">
        <v>5080</v>
      </c>
      <c r="D283" s="2474">
        <v>3.36</v>
      </c>
      <c r="E283" s="2475">
        <v>0</v>
      </c>
      <c r="F283" s="2475" t="s">
        <v>1254</v>
      </c>
      <c r="G283" s="2475" t="s">
        <v>446</v>
      </c>
      <c r="H283" s="2475">
        <v>2</v>
      </c>
      <c r="I283" s="2475"/>
      <c r="J283" s="2476" t="s">
        <v>5078</v>
      </c>
    </row>
    <row r="284" spans="2:18" s="102" customFormat="1" ht="18" outlineLevel="1" x14ac:dyDescent="0.25">
      <c r="B284" s="2472" t="s">
        <v>5081</v>
      </c>
      <c r="C284" s="2473" t="s">
        <v>5082</v>
      </c>
      <c r="D284" s="2474">
        <v>5000</v>
      </c>
      <c r="E284" s="2475">
        <v>0</v>
      </c>
      <c r="F284" s="2475" t="s">
        <v>1254</v>
      </c>
      <c r="G284" s="2475" t="s">
        <v>5083</v>
      </c>
      <c r="H284" s="2475">
        <v>0</v>
      </c>
      <c r="I284" s="2475"/>
      <c r="J284" s="2476" t="s">
        <v>5084</v>
      </c>
    </row>
    <row r="285" spans="2:18" s="102" customFormat="1" ht="18.75" outlineLevel="1" thickBot="1" x14ac:dyDescent="0.3">
      <c r="B285" s="2477" t="s">
        <v>5085</v>
      </c>
      <c r="C285" s="2478" t="s">
        <v>5086</v>
      </c>
      <c r="D285" s="2479">
        <v>20000</v>
      </c>
      <c r="E285" s="2480">
        <v>0</v>
      </c>
      <c r="F285" s="2480" t="s">
        <v>1254</v>
      </c>
      <c r="G285" s="2480" t="s">
        <v>5083</v>
      </c>
      <c r="H285" s="2480">
        <v>0</v>
      </c>
      <c r="I285" s="2480"/>
      <c r="J285" s="2481" t="s">
        <v>5087</v>
      </c>
    </row>
    <row r="286" spans="2:18" s="102" customFormat="1" ht="15.75" thickBot="1" x14ac:dyDescent="0.3">
      <c r="B286" s="131"/>
      <c r="C286" s="131"/>
      <c r="D286" s="103"/>
      <c r="E286" s="103"/>
      <c r="F286" s="103"/>
      <c r="G286" s="103"/>
      <c r="H286" s="103"/>
      <c r="I286" s="131"/>
      <c r="J286" s="142"/>
    </row>
    <row r="287" spans="2:18" s="102" customFormat="1" ht="15.75" thickBot="1" x14ac:dyDescent="0.3">
      <c r="B287" s="131"/>
      <c r="C287" s="1525" t="s">
        <v>1193</v>
      </c>
      <c r="D287" s="103" t="s">
        <v>303</v>
      </c>
      <c r="E287" s="103"/>
      <c r="F287" s="103"/>
      <c r="G287" s="103"/>
      <c r="H287" s="103"/>
      <c r="I287" s="131"/>
      <c r="J287" s="142"/>
    </row>
    <row r="288" spans="2:18" s="102" customFormat="1" ht="15.75" thickBot="1" x14ac:dyDescent="0.3">
      <c r="B288" s="343" t="s">
        <v>0</v>
      </c>
      <c r="C288" s="1445" t="s">
        <v>1</v>
      </c>
      <c r="D288" s="344" t="s">
        <v>842</v>
      </c>
      <c r="E288" s="344" t="s">
        <v>473</v>
      </c>
      <c r="F288" s="344" t="s">
        <v>474</v>
      </c>
      <c r="G288" s="344" t="s">
        <v>2</v>
      </c>
      <c r="H288" s="344" t="s">
        <v>302</v>
      </c>
      <c r="I288" s="1445" t="s">
        <v>116</v>
      </c>
      <c r="J288" s="1578" t="s">
        <v>117</v>
      </c>
    </row>
    <row r="289" spans="1:10" s="102" customFormat="1" ht="18.75" outlineLevel="1" thickBot="1" x14ac:dyDescent="0.3">
      <c r="A289" s="102" t="s">
        <v>3754</v>
      </c>
      <c r="B289" s="1526" t="s">
        <v>1194</v>
      </c>
      <c r="C289" s="1527" t="s">
        <v>2543</v>
      </c>
      <c r="D289" s="180">
        <v>0.4</v>
      </c>
      <c r="E289" s="180">
        <v>0</v>
      </c>
      <c r="F289" s="180">
        <v>1</v>
      </c>
      <c r="G289" s="181" t="s">
        <v>1976</v>
      </c>
      <c r="H289" s="181">
        <v>2</v>
      </c>
      <c r="I289" s="1527"/>
      <c r="J289" s="1648"/>
    </row>
    <row r="290" spans="1:10" s="102" customFormat="1" ht="15.75" thickBot="1" x14ac:dyDescent="0.3">
      <c r="B290" s="131"/>
      <c r="C290" s="131"/>
      <c r="D290" s="103"/>
      <c r="E290" s="103"/>
      <c r="F290" s="103"/>
      <c r="G290" s="103"/>
      <c r="H290" s="103"/>
      <c r="I290" s="131"/>
      <c r="J290" s="142"/>
    </row>
    <row r="291" spans="1:10" s="102" customFormat="1" ht="15.75" thickBot="1" x14ac:dyDescent="0.3">
      <c r="B291" s="131"/>
      <c r="C291" s="415" t="s">
        <v>275</v>
      </c>
      <c r="D291" s="103" t="s">
        <v>303</v>
      </c>
      <c r="E291" s="103"/>
      <c r="F291" s="103"/>
      <c r="G291" s="103"/>
      <c r="H291" s="103"/>
      <c r="I291" s="131"/>
      <c r="J291" s="142"/>
    </row>
    <row r="292" spans="1:10" s="102" customFormat="1" ht="15.75" thickBot="1" x14ac:dyDescent="0.3">
      <c r="B292" s="343" t="s">
        <v>0</v>
      </c>
      <c r="C292" s="1445" t="s">
        <v>1</v>
      </c>
      <c r="D292" s="344" t="s">
        <v>842</v>
      </c>
      <c r="E292" s="344" t="s">
        <v>473</v>
      </c>
      <c r="F292" s="344" t="s">
        <v>474</v>
      </c>
      <c r="G292" s="344" t="s">
        <v>2</v>
      </c>
      <c r="H292" s="344" t="s">
        <v>302</v>
      </c>
      <c r="I292" s="1445" t="s">
        <v>116</v>
      </c>
      <c r="J292" s="348" t="s">
        <v>117</v>
      </c>
    </row>
    <row r="293" spans="1:10" s="102" customFormat="1" ht="18" outlineLevel="1" x14ac:dyDescent="0.25">
      <c r="B293" s="1528" t="s">
        <v>858</v>
      </c>
      <c r="C293" s="1529" t="s">
        <v>1237</v>
      </c>
      <c r="D293" s="272">
        <v>1.04</v>
      </c>
      <c r="E293" s="272">
        <v>0</v>
      </c>
      <c r="F293" s="272" t="s">
        <v>1254</v>
      </c>
      <c r="G293" s="272" t="s">
        <v>1976</v>
      </c>
      <c r="H293" s="273">
        <v>3</v>
      </c>
      <c r="I293" s="1529"/>
      <c r="J293" s="1649"/>
    </row>
    <row r="294" spans="1:10" s="102" customFormat="1" ht="18" outlineLevel="1" x14ac:dyDescent="0.25">
      <c r="B294" s="143" t="s">
        <v>859</v>
      </c>
      <c r="C294" s="1530" t="s">
        <v>1230</v>
      </c>
      <c r="D294" s="261">
        <v>1.04</v>
      </c>
      <c r="E294" s="261">
        <v>0</v>
      </c>
      <c r="F294" s="261" t="s">
        <v>1254</v>
      </c>
      <c r="G294" s="261" t="s">
        <v>1976</v>
      </c>
      <c r="H294" s="262">
        <v>3</v>
      </c>
      <c r="I294" s="1530"/>
      <c r="J294" s="1650"/>
    </row>
    <row r="295" spans="1:10" s="102" customFormat="1" ht="18" outlineLevel="1" x14ac:dyDescent="0.25">
      <c r="B295" s="143" t="s">
        <v>860</v>
      </c>
      <c r="C295" s="1530" t="s">
        <v>1238</v>
      </c>
      <c r="D295" s="261">
        <v>1.03</v>
      </c>
      <c r="E295" s="261">
        <v>0</v>
      </c>
      <c r="F295" s="261" t="s">
        <v>1254</v>
      </c>
      <c r="G295" s="261" t="s">
        <v>1976</v>
      </c>
      <c r="H295" s="262">
        <v>3</v>
      </c>
      <c r="I295" s="1530"/>
      <c r="J295" s="1650"/>
    </row>
    <row r="296" spans="1:10" s="102" customFormat="1" ht="18" outlineLevel="1" x14ac:dyDescent="0.25">
      <c r="B296" s="1531" t="s">
        <v>3161</v>
      </c>
      <c r="C296" s="1532" t="s">
        <v>3117</v>
      </c>
      <c r="D296" s="689">
        <v>1.04</v>
      </c>
      <c r="E296" s="261">
        <v>0</v>
      </c>
      <c r="F296" s="690" t="s">
        <v>1254</v>
      </c>
      <c r="G296" s="691" t="s">
        <v>1976</v>
      </c>
      <c r="H296" s="691">
        <v>3</v>
      </c>
      <c r="I296" s="1532"/>
      <c r="J296" s="1651"/>
    </row>
    <row r="297" spans="1:10" s="102" customFormat="1" ht="18" outlineLevel="1" x14ac:dyDescent="0.25">
      <c r="B297" s="1533" t="s">
        <v>3118</v>
      </c>
      <c r="C297" s="1534" t="s">
        <v>3119</v>
      </c>
      <c r="D297" s="692">
        <v>1.03</v>
      </c>
      <c r="E297" s="261">
        <v>0</v>
      </c>
      <c r="F297" s="693" t="s">
        <v>1254</v>
      </c>
      <c r="G297" s="694" t="s">
        <v>1976</v>
      </c>
      <c r="H297" s="694">
        <v>3</v>
      </c>
      <c r="I297" s="1534"/>
      <c r="J297" s="1652"/>
    </row>
    <row r="298" spans="1:10" s="102" customFormat="1" ht="18" outlineLevel="1" x14ac:dyDescent="0.25">
      <c r="B298" s="143" t="s">
        <v>861</v>
      </c>
      <c r="C298" s="1530" t="s">
        <v>1239</v>
      </c>
      <c r="D298" s="261">
        <v>1.06</v>
      </c>
      <c r="E298" s="261">
        <v>0</v>
      </c>
      <c r="F298" s="261" t="s">
        <v>1254</v>
      </c>
      <c r="G298" s="261" t="s">
        <v>1976</v>
      </c>
      <c r="H298" s="262">
        <v>3</v>
      </c>
      <c r="I298" s="1530"/>
      <c r="J298" s="1650"/>
    </row>
    <row r="299" spans="1:10" s="102" customFormat="1" ht="18" outlineLevel="1" x14ac:dyDescent="0.25">
      <c r="B299" s="143" t="s">
        <v>862</v>
      </c>
      <c r="C299" s="1530" t="s">
        <v>1240</v>
      </c>
      <c r="D299" s="261">
        <v>1.03</v>
      </c>
      <c r="E299" s="261">
        <v>0</v>
      </c>
      <c r="F299" s="261" t="s">
        <v>1254</v>
      </c>
      <c r="G299" s="261" t="s">
        <v>1976</v>
      </c>
      <c r="H299" s="262">
        <v>3</v>
      </c>
      <c r="I299" s="1530"/>
      <c r="J299" s="1650"/>
    </row>
    <row r="300" spans="1:10" s="102" customFormat="1" ht="18" outlineLevel="1" x14ac:dyDescent="0.25">
      <c r="B300" s="299" t="s">
        <v>3985</v>
      </c>
      <c r="C300" s="1281" t="s">
        <v>3984</v>
      </c>
      <c r="D300" s="505">
        <v>1.04</v>
      </c>
      <c r="E300" s="505">
        <v>0</v>
      </c>
      <c r="F300" s="505" t="s">
        <v>1254</v>
      </c>
      <c r="G300" s="505" t="s">
        <v>1976</v>
      </c>
      <c r="H300" s="506">
        <v>3</v>
      </c>
      <c r="I300" s="1535"/>
      <c r="J300" s="1653"/>
    </row>
    <row r="301" spans="1:10" s="102" customFormat="1" ht="18" outlineLevel="1" x14ac:dyDescent="0.25">
      <c r="B301" s="299" t="s">
        <v>1729</v>
      </c>
      <c r="C301" s="1535" t="s">
        <v>1241</v>
      </c>
      <c r="D301" s="505">
        <v>1.04</v>
      </c>
      <c r="E301" s="505">
        <v>0</v>
      </c>
      <c r="F301" s="505" t="s">
        <v>1254</v>
      </c>
      <c r="G301" s="505" t="s">
        <v>1976</v>
      </c>
      <c r="H301" s="506">
        <v>3</v>
      </c>
      <c r="I301" s="1535"/>
      <c r="J301" s="1653"/>
    </row>
    <row r="302" spans="1:10" s="102" customFormat="1" ht="18" outlineLevel="1" x14ac:dyDescent="0.25">
      <c r="B302" s="587" t="s">
        <v>2541</v>
      </c>
      <c r="C302" s="1536" t="s">
        <v>2542</v>
      </c>
      <c r="D302" s="588">
        <v>1.04</v>
      </c>
      <c r="E302" s="588">
        <v>0</v>
      </c>
      <c r="F302" s="588" t="s">
        <v>1254</v>
      </c>
      <c r="G302" s="588" t="s">
        <v>1976</v>
      </c>
      <c r="H302" s="589">
        <v>3</v>
      </c>
      <c r="I302" s="1536"/>
      <c r="J302" s="1654"/>
    </row>
    <row r="303" spans="1:10" s="102" customFormat="1" ht="18" outlineLevel="1" x14ac:dyDescent="0.25">
      <c r="B303" s="587" t="s">
        <v>3986</v>
      </c>
      <c r="C303" s="1281" t="s">
        <v>3987</v>
      </c>
      <c r="D303" s="1290">
        <v>1.04</v>
      </c>
      <c r="E303" s="1288">
        <v>0</v>
      </c>
      <c r="F303" s="1288" t="s">
        <v>1254</v>
      </c>
      <c r="G303" s="1288" t="s">
        <v>1976</v>
      </c>
      <c r="H303" s="1289">
        <v>3</v>
      </c>
      <c r="I303" s="1281"/>
      <c r="J303" s="1655"/>
    </row>
    <row r="304" spans="1:10" s="102" customFormat="1" ht="18" outlineLevel="1" x14ac:dyDescent="0.25">
      <c r="B304" s="299" t="s">
        <v>863</v>
      </c>
      <c r="C304" s="1535" t="s">
        <v>1242</v>
      </c>
      <c r="D304" s="1099">
        <v>1.04</v>
      </c>
      <c r="E304" s="505">
        <v>0</v>
      </c>
      <c r="F304" s="505" t="s">
        <v>1254</v>
      </c>
      <c r="G304" s="505" t="s">
        <v>1976</v>
      </c>
      <c r="H304" s="506">
        <v>3</v>
      </c>
      <c r="I304" s="1535"/>
      <c r="J304" s="1653"/>
    </row>
    <row r="305" spans="2:10" s="102" customFormat="1" ht="18" outlineLevel="1" x14ac:dyDescent="0.25">
      <c r="B305" s="299" t="s">
        <v>3989</v>
      </c>
      <c r="C305" s="1281" t="s">
        <v>3988</v>
      </c>
      <c r="D305" s="1099">
        <v>1.03</v>
      </c>
      <c r="E305" s="505">
        <v>0</v>
      </c>
      <c r="F305" s="505" t="s">
        <v>1254</v>
      </c>
      <c r="G305" s="505" t="s">
        <v>1976</v>
      </c>
      <c r="H305" s="506">
        <v>3</v>
      </c>
      <c r="I305" s="1535"/>
      <c r="J305" s="1653"/>
    </row>
    <row r="306" spans="2:10" s="102" customFormat="1" ht="18" outlineLevel="1" x14ac:dyDescent="0.25">
      <c r="B306" s="299" t="s">
        <v>3990</v>
      </c>
      <c r="C306" s="2580" t="s">
        <v>5235</v>
      </c>
      <c r="D306" s="1099">
        <v>1.0640000000000001</v>
      </c>
      <c r="E306" s="505">
        <v>0</v>
      </c>
      <c r="F306" s="505" t="s">
        <v>1254</v>
      </c>
      <c r="G306" s="505" t="s">
        <v>1976</v>
      </c>
      <c r="H306" s="506">
        <v>3</v>
      </c>
      <c r="I306" s="1535"/>
      <c r="J306" s="443" t="s">
        <v>2110</v>
      </c>
    </row>
    <row r="307" spans="2:10" s="102" customFormat="1" ht="18" outlineLevel="1" x14ac:dyDescent="0.25">
      <c r="B307" s="299" t="s">
        <v>2100</v>
      </c>
      <c r="C307" s="1535" t="s">
        <v>1243</v>
      </c>
      <c r="D307" s="1099">
        <v>1.03</v>
      </c>
      <c r="E307" s="505">
        <v>0</v>
      </c>
      <c r="F307" s="505" t="s">
        <v>1254</v>
      </c>
      <c r="G307" s="505" t="s">
        <v>1976</v>
      </c>
      <c r="H307" s="506">
        <v>3</v>
      </c>
      <c r="I307" s="1535"/>
      <c r="J307" s="1653"/>
    </row>
    <row r="308" spans="2:10" s="102" customFormat="1" ht="18" outlineLevel="1" x14ac:dyDescent="0.25">
      <c r="B308" s="2581" t="s">
        <v>5236</v>
      </c>
      <c r="C308" s="2582" t="s">
        <v>1242</v>
      </c>
      <c r="D308" s="2583">
        <v>1.0720000000000001</v>
      </c>
      <c r="E308" s="270">
        <v>0</v>
      </c>
      <c r="F308" s="270" t="s">
        <v>1254</v>
      </c>
      <c r="G308" s="270" t="s">
        <v>1976</v>
      </c>
      <c r="H308" s="271">
        <v>3</v>
      </c>
      <c r="I308" s="1537"/>
      <c r="J308" s="1656"/>
    </row>
    <row r="309" spans="2:10" s="102" customFormat="1" ht="18" outlineLevel="1" x14ac:dyDescent="0.25">
      <c r="B309" s="1475" t="s">
        <v>2237</v>
      </c>
      <c r="C309" s="1538" t="s">
        <v>2238</v>
      </c>
      <c r="D309" s="268">
        <v>1.0720000000000001</v>
      </c>
      <c r="E309" s="255">
        <v>0</v>
      </c>
      <c r="F309" s="255" t="s">
        <v>1254</v>
      </c>
      <c r="G309" s="255" t="s">
        <v>1976</v>
      </c>
      <c r="H309" s="269">
        <v>3</v>
      </c>
      <c r="I309" s="1538"/>
      <c r="J309" s="1657"/>
    </row>
    <row r="310" spans="2:10" s="102" customFormat="1" ht="18" outlineLevel="1" x14ac:dyDescent="0.25">
      <c r="B310" s="1475" t="s">
        <v>2239</v>
      </c>
      <c r="C310" s="1538" t="s">
        <v>2240</v>
      </c>
      <c r="D310" s="268">
        <v>1.03</v>
      </c>
      <c r="E310" s="255">
        <v>0</v>
      </c>
      <c r="F310" s="255" t="s">
        <v>1254</v>
      </c>
      <c r="G310" s="255" t="s">
        <v>1976</v>
      </c>
      <c r="H310" s="269">
        <v>3</v>
      </c>
      <c r="I310" s="1538"/>
      <c r="J310" s="1657"/>
    </row>
    <row r="311" spans="2:10" s="102" customFormat="1" ht="18" outlineLevel="1" x14ac:dyDescent="0.25">
      <c r="B311" s="1475" t="s">
        <v>2241</v>
      </c>
      <c r="C311" s="1538" t="s">
        <v>2242</v>
      </c>
      <c r="D311" s="268">
        <v>1.06</v>
      </c>
      <c r="E311" s="255">
        <v>0</v>
      </c>
      <c r="F311" s="255" t="s">
        <v>1254</v>
      </c>
      <c r="G311" s="255" t="s">
        <v>1976</v>
      </c>
      <c r="H311" s="269">
        <v>3</v>
      </c>
      <c r="I311" s="1538"/>
      <c r="J311" s="1657"/>
    </row>
    <row r="312" spans="2:10" s="102" customFormat="1" ht="18" outlineLevel="1" x14ac:dyDescent="0.25">
      <c r="B312" s="1475" t="s">
        <v>2243</v>
      </c>
      <c r="C312" s="1538" t="s">
        <v>2244</v>
      </c>
      <c r="D312" s="268">
        <v>1.03</v>
      </c>
      <c r="E312" s="255">
        <v>0</v>
      </c>
      <c r="F312" s="255" t="s">
        <v>1254</v>
      </c>
      <c r="G312" s="255" t="s">
        <v>1976</v>
      </c>
      <c r="H312" s="269">
        <v>3</v>
      </c>
      <c r="I312" s="1538"/>
      <c r="J312" s="1657"/>
    </row>
    <row r="313" spans="2:10" s="102" customFormat="1" ht="18" outlineLevel="1" x14ac:dyDescent="0.25">
      <c r="B313" s="1491" t="s">
        <v>2245</v>
      </c>
      <c r="C313" s="1539" t="s">
        <v>2246</v>
      </c>
      <c r="D313" s="534">
        <v>1.01</v>
      </c>
      <c r="E313" s="532">
        <v>0</v>
      </c>
      <c r="F313" s="532" t="s">
        <v>1254</v>
      </c>
      <c r="G313" s="532" t="s">
        <v>1976</v>
      </c>
      <c r="H313" s="535">
        <v>3</v>
      </c>
      <c r="I313" s="1539"/>
      <c r="J313" s="1614"/>
    </row>
    <row r="314" spans="2:10" s="102" customFormat="1" ht="18" outlineLevel="1" x14ac:dyDescent="0.25">
      <c r="B314" s="1491" t="s">
        <v>2247</v>
      </c>
      <c r="C314" s="1539" t="s">
        <v>2248</v>
      </c>
      <c r="D314" s="534">
        <v>1.03</v>
      </c>
      <c r="E314" s="532">
        <v>0</v>
      </c>
      <c r="F314" s="532" t="s">
        <v>1254</v>
      </c>
      <c r="G314" s="532" t="s">
        <v>1976</v>
      </c>
      <c r="H314" s="535">
        <v>3</v>
      </c>
      <c r="I314" s="1539"/>
      <c r="J314" s="1614"/>
    </row>
    <row r="315" spans="2:10" s="102" customFormat="1" ht="18" outlineLevel="1" x14ac:dyDescent="0.25">
      <c r="B315" s="144" t="s">
        <v>864</v>
      </c>
      <c r="C315" s="1540" t="s">
        <v>1244</v>
      </c>
      <c r="D315" s="402">
        <v>1.03</v>
      </c>
      <c r="E315" s="402">
        <v>0</v>
      </c>
      <c r="F315" s="402" t="s">
        <v>1254</v>
      </c>
      <c r="G315" s="402" t="s">
        <v>1976</v>
      </c>
      <c r="H315" s="403">
        <v>3</v>
      </c>
      <c r="I315" s="1540"/>
      <c r="J315" s="1658"/>
    </row>
    <row r="316" spans="2:10" s="102" customFormat="1" ht="18" outlineLevel="1" x14ac:dyDescent="0.25">
      <c r="B316" s="144" t="s">
        <v>865</v>
      </c>
      <c r="C316" s="1540" t="s">
        <v>1245</v>
      </c>
      <c r="D316" s="402">
        <v>1.03</v>
      </c>
      <c r="E316" s="402">
        <v>0</v>
      </c>
      <c r="F316" s="402" t="s">
        <v>1254</v>
      </c>
      <c r="G316" s="402" t="s">
        <v>1976</v>
      </c>
      <c r="H316" s="403">
        <v>3</v>
      </c>
      <c r="I316" s="1540"/>
      <c r="J316" s="1658"/>
    </row>
    <row r="317" spans="2:10" s="102" customFormat="1" ht="18" outlineLevel="1" x14ac:dyDescent="0.25">
      <c r="B317" s="1503" t="s">
        <v>866</v>
      </c>
      <c r="C317" s="1541" t="s">
        <v>1246</v>
      </c>
      <c r="D317" s="400">
        <v>1.03</v>
      </c>
      <c r="E317" s="400">
        <v>0</v>
      </c>
      <c r="F317" s="400" t="s">
        <v>1254</v>
      </c>
      <c r="G317" s="400" t="s">
        <v>1976</v>
      </c>
      <c r="H317" s="401">
        <v>3</v>
      </c>
      <c r="I317" s="1541"/>
      <c r="J317" s="1659"/>
    </row>
    <row r="318" spans="2:10" s="102" customFormat="1" ht="18" outlineLevel="1" x14ac:dyDescent="0.25">
      <c r="B318" s="1503" t="s">
        <v>867</v>
      </c>
      <c r="C318" s="1541" t="s">
        <v>1247</v>
      </c>
      <c r="D318" s="400">
        <v>1.03</v>
      </c>
      <c r="E318" s="400">
        <v>0</v>
      </c>
      <c r="F318" s="400" t="s">
        <v>1254</v>
      </c>
      <c r="G318" s="400" t="s">
        <v>1976</v>
      </c>
      <c r="H318" s="401">
        <v>3</v>
      </c>
      <c r="I318" s="1541"/>
      <c r="J318" s="1659"/>
    </row>
    <row r="319" spans="2:10" s="102" customFormat="1" ht="18" outlineLevel="1" x14ac:dyDescent="0.25">
      <c r="B319" s="2223" t="s">
        <v>4808</v>
      </c>
      <c r="C319" s="2212" t="s">
        <v>4809</v>
      </c>
      <c r="D319" s="2224">
        <v>1.04</v>
      </c>
      <c r="E319" s="2224">
        <v>0</v>
      </c>
      <c r="F319" s="2224" t="s">
        <v>1254</v>
      </c>
      <c r="G319" s="2224" t="s">
        <v>1976</v>
      </c>
      <c r="H319" s="2225">
        <v>3</v>
      </c>
      <c r="I319" s="2212"/>
      <c r="J319" s="2226"/>
    </row>
    <row r="320" spans="2:10" s="102" customFormat="1" ht="18" outlineLevel="1" x14ac:dyDescent="0.25">
      <c r="B320" s="2223" t="s">
        <v>4810</v>
      </c>
      <c r="C320" s="2212" t="s">
        <v>4811</v>
      </c>
      <c r="D320" s="2224">
        <v>1.03</v>
      </c>
      <c r="E320" s="2224">
        <v>0</v>
      </c>
      <c r="F320" s="2224" t="s">
        <v>1254</v>
      </c>
      <c r="G320" s="2224" t="s">
        <v>1976</v>
      </c>
      <c r="H320" s="2225">
        <v>3</v>
      </c>
      <c r="I320" s="2212"/>
      <c r="J320" s="2226"/>
    </row>
    <row r="321" spans="2:14" s="102" customFormat="1" ht="18" outlineLevel="1" x14ac:dyDescent="0.25">
      <c r="B321" s="263" t="s">
        <v>868</v>
      </c>
      <c r="C321" s="1542" t="s">
        <v>1231</v>
      </c>
      <c r="D321" s="264">
        <v>1.1000000000000001</v>
      </c>
      <c r="E321" s="264">
        <v>0</v>
      </c>
      <c r="F321" s="264" t="s">
        <v>1254</v>
      </c>
      <c r="G321" s="264" t="s">
        <v>1976</v>
      </c>
      <c r="H321" s="106">
        <v>3</v>
      </c>
      <c r="I321" s="301"/>
      <c r="J321" s="1660"/>
    </row>
    <row r="322" spans="2:14" s="102" customFormat="1" ht="18" outlineLevel="1" x14ac:dyDescent="0.25">
      <c r="B322" s="2159" t="s">
        <v>5130</v>
      </c>
      <c r="C322" s="2160" t="s">
        <v>5131</v>
      </c>
      <c r="D322" s="2161">
        <v>1.03</v>
      </c>
      <c r="E322" s="2161">
        <v>0</v>
      </c>
      <c r="F322" s="2161" t="s">
        <v>1254</v>
      </c>
      <c r="G322" s="2161" t="s">
        <v>1976</v>
      </c>
      <c r="H322" s="2162">
        <v>3</v>
      </c>
      <c r="I322" s="2163"/>
      <c r="J322" s="2164"/>
    </row>
    <row r="323" spans="2:14" s="102" customFormat="1" ht="18" outlineLevel="1" x14ac:dyDescent="0.25">
      <c r="B323" s="2159" t="s">
        <v>5132</v>
      </c>
      <c r="C323" s="2160" t="s">
        <v>5133</v>
      </c>
      <c r="D323" s="2161">
        <v>1.03</v>
      </c>
      <c r="E323" s="2161">
        <v>0</v>
      </c>
      <c r="F323" s="2161" t="s">
        <v>1254</v>
      </c>
      <c r="G323" s="2161" t="s">
        <v>1976</v>
      </c>
      <c r="H323" s="2162">
        <v>3</v>
      </c>
      <c r="I323" s="2163"/>
      <c r="J323" s="2164"/>
    </row>
    <row r="324" spans="2:14" s="102" customFormat="1" ht="18" outlineLevel="1" x14ac:dyDescent="0.25">
      <c r="B324" s="263" t="s">
        <v>869</v>
      </c>
      <c r="C324" s="1542" t="s">
        <v>1232</v>
      </c>
      <c r="D324" s="264">
        <v>1.03</v>
      </c>
      <c r="E324" s="264">
        <v>0</v>
      </c>
      <c r="F324" s="264" t="s">
        <v>1254</v>
      </c>
      <c r="G324" s="264" t="s">
        <v>1976</v>
      </c>
      <c r="H324" s="106">
        <v>3</v>
      </c>
      <c r="I324" s="301"/>
      <c r="J324" s="1660"/>
    </row>
    <row r="325" spans="2:14" s="102" customFormat="1" ht="18" outlineLevel="1" x14ac:dyDescent="0.25">
      <c r="B325" s="263" t="s">
        <v>870</v>
      </c>
      <c r="C325" s="1542" t="s">
        <v>1233</v>
      </c>
      <c r="D325" s="264">
        <v>1.03</v>
      </c>
      <c r="E325" s="264">
        <v>0</v>
      </c>
      <c r="F325" s="264" t="s">
        <v>1254</v>
      </c>
      <c r="G325" s="264" t="s">
        <v>1976</v>
      </c>
      <c r="H325" s="106">
        <v>3</v>
      </c>
      <c r="I325" s="301"/>
      <c r="J325" s="1660"/>
    </row>
    <row r="326" spans="2:14" s="102" customFormat="1" ht="18" outlineLevel="1" x14ac:dyDescent="0.25">
      <c r="B326" s="263" t="s">
        <v>1741</v>
      </c>
      <c r="C326" s="1542" t="s">
        <v>1234</v>
      </c>
      <c r="D326" s="264">
        <v>1.03</v>
      </c>
      <c r="E326" s="264">
        <v>0</v>
      </c>
      <c r="F326" s="264" t="s">
        <v>1254</v>
      </c>
      <c r="G326" s="264" t="s">
        <v>1976</v>
      </c>
      <c r="H326" s="106">
        <v>3</v>
      </c>
      <c r="I326" s="301"/>
      <c r="J326" s="1660"/>
    </row>
    <row r="327" spans="2:14" s="102" customFormat="1" ht="18" outlineLevel="1" x14ac:dyDescent="0.25">
      <c r="B327" s="263" t="s">
        <v>1740</v>
      </c>
      <c r="C327" s="1542" t="s">
        <v>1235</v>
      </c>
      <c r="D327" s="264">
        <v>1.03</v>
      </c>
      <c r="E327" s="264">
        <v>0</v>
      </c>
      <c r="F327" s="264" t="s">
        <v>1254</v>
      </c>
      <c r="G327" s="264" t="s">
        <v>1976</v>
      </c>
      <c r="H327" s="106">
        <v>3</v>
      </c>
      <c r="I327" s="301"/>
      <c r="J327" s="1660"/>
    </row>
    <row r="328" spans="2:14" s="102" customFormat="1" ht="18" outlineLevel="1" x14ac:dyDescent="0.25">
      <c r="B328" s="2165" t="s">
        <v>4764</v>
      </c>
      <c r="C328" s="2166" t="s">
        <v>4765</v>
      </c>
      <c r="D328" s="2161">
        <v>1.03</v>
      </c>
      <c r="E328" s="2161">
        <v>0</v>
      </c>
      <c r="F328" s="2161" t="s">
        <v>1254</v>
      </c>
      <c r="G328" s="2161" t="s">
        <v>1976</v>
      </c>
      <c r="H328" s="2162">
        <v>3</v>
      </c>
      <c r="I328" s="2163"/>
      <c r="J328" s="2164"/>
    </row>
    <row r="329" spans="2:14" s="102" customFormat="1" ht="18" outlineLevel="1" x14ac:dyDescent="0.25">
      <c r="B329" s="263" t="s">
        <v>871</v>
      </c>
      <c r="C329" s="1542" t="s">
        <v>1236</v>
      </c>
      <c r="D329" s="264">
        <v>1.03</v>
      </c>
      <c r="E329" s="264">
        <v>0</v>
      </c>
      <c r="F329" s="264" t="s">
        <v>1254</v>
      </c>
      <c r="G329" s="264" t="s">
        <v>1976</v>
      </c>
      <c r="H329" s="106">
        <v>3</v>
      </c>
      <c r="I329" s="301"/>
      <c r="J329" s="1660"/>
    </row>
    <row r="330" spans="2:14" s="102" customFormat="1" ht="18" outlineLevel="1" x14ac:dyDescent="0.25">
      <c r="B330" s="265" t="s">
        <v>2795</v>
      </c>
      <c r="C330" s="1543" t="s">
        <v>1364</v>
      </c>
      <c r="D330" s="266">
        <v>1.04</v>
      </c>
      <c r="E330" s="266">
        <v>0</v>
      </c>
      <c r="F330" s="266" t="s">
        <v>1254</v>
      </c>
      <c r="G330" s="266" t="s">
        <v>1976</v>
      </c>
      <c r="H330" s="267">
        <v>3</v>
      </c>
      <c r="I330" s="302"/>
      <c r="J330" s="1661"/>
    </row>
    <row r="331" spans="2:14" s="102" customFormat="1" ht="18" outlineLevel="1" x14ac:dyDescent="0.25">
      <c r="B331" s="265" t="s">
        <v>1728</v>
      </c>
      <c r="C331" s="1543" t="s">
        <v>1365</v>
      </c>
      <c r="D331" s="266">
        <v>1.04</v>
      </c>
      <c r="E331" s="266">
        <v>0</v>
      </c>
      <c r="F331" s="266" t="s">
        <v>1254</v>
      </c>
      <c r="G331" s="266" t="s">
        <v>1976</v>
      </c>
      <c r="H331" s="267">
        <v>3</v>
      </c>
      <c r="I331" s="302"/>
      <c r="J331" s="1661"/>
    </row>
    <row r="332" spans="2:14" s="102" customFormat="1" ht="18.75" outlineLevel="1" thickBot="1" x14ac:dyDescent="0.3">
      <c r="B332" s="1544" t="s">
        <v>892</v>
      </c>
      <c r="C332" s="1527" t="s">
        <v>280</v>
      </c>
      <c r="D332" s="182">
        <v>20</v>
      </c>
      <c r="E332" s="182">
        <v>1</v>
      </c>
      <c r="F332" s="182">
        <v>60</v>
      </c>
      <c r="G332" s="182" t="s">
        <v>891</v>
      </c>
      <c r="H332" s="180">
        <v>1</v>
      </c>
      <c r="I332" s="1527"/>
      <c r="J332" s="1662"/>
    </row>
    <row r="333" spans="2:14" s="102" customFormat="1" ht="15.75" thickBot="1" x14ac:dyDescent="0.3">
      <c r="B333" s="131"/>
      <c r="C333" s="142"/>
      <c r="E333" s="695"/>
      <c r="F333" s="695"/>
      <c r="G333" s="695"/>
      <c r="H333" s="695"/>
      <c r="I333" s="1111"/>
      <c r="J333" s="142"/>
    </row>
    <row r="334" spans="2:14" s="102" customFormat="1" ht="15.75" thickBot="1" x14ac:dyDescent="0.3">
      <c r="B334" s="131"/>
      <c r="C334" s="415" t="s">
        <v>984</v>
      </c>
      <c r="D334" s="103" t="s">
        <v>319</v>
      </c>
      <c r="E334" s="103"/>
      <c r="F334" s="103"/>
      <c r="G334" s="103"/>
      <c r="H334" s="103"/>
      <c r="I334" s="131"/>
      <c r="J334" s="142"/>
    </row>
    <row r="335" spans="2:14" s="102" customFormat="1" ht="15.75" thickBot="1" x14ac:dyDescent="0.3">
      <c r="B335" s="343" t="s">
        <v>0</v>
      </c>
      <c r="C335" s="1445" t="s">
        <v>1</v>
      </c>
      <c r="D335" s="344" t="s">
        <v>842</v>
      </c>
      <c r="E335" s="344" t="s">
        <v>473</v>
      </c>
      <c r="F335" s="344" t="s">
        <v>474</v>
      </c>
      <c r="G335" s="344" t="s">
        <v>2</v>
      </c>
      <c r="H335" s="344" t="s">
        <v>302</v>
      </c>
      <c r="I335" s="1445" t="s">
        <v>116</v>
      </c>
      <c r="J335" s="348" t="s">
        <v>117</v>
      </c>
    </row>
    <row r="336" spans="2:14" s="102" customFormat="1" ht="18" outlineLevel="1" x14ac:dyDescent="0.25">
      <c r="B336" s="1545" t="s">
        <v>1730</v>
      </c>
      <c r="C336" s="1546" t="s">
        <v>2544</v>
      </c>
      <c r="D336" s="406">
        <v>0.6</v>
      </c>
      <c r="E336" s="2139">
        <v>0</v>
      </c>
      <c r="F336" s="2139">
        <v>1</v>
      </c>
      <c r="G336" s="2140" t="s">
        <v>2111</v>
      </c>
      <c r="H336" s="407">
        <v>2</v>
      </c>
      <c r="I336" s="1663"/>
      <c r="J336" s="1664"/>
      <c r="M336" s="103"/>
      <c r="N336" s="103"/>
    </row>
    <row r="337" spans="2:14" s="102" customFormat="1" ht="18" outlineLevel="1" x14ac:dyDescent="0.25">
      <c r="B337" s="169" t="s">
        <v>1731</v>
      </c>
      <c r="C337" s="570" t="s">
        <v>2545</v>
      </c>
      <c r="D337" s="171">
        <v>0.45</v>
      </c>
      <c r="E337" s="2141">
        <v>0</v>
      </c>
      <c r="F337" s="2141">
        <v>1</v>
      </c>
      <c r="G337" s="2141" t="s">
        <v>2111</v>
      </c>
      <c r="H337" s="171">
        <v>2</v>
      </c>
      <c r="I337" s="1569"/>
      <c r="J337" s="1570"/>
      <c r="L337" s="695"/>
      <c r="M337" s="697"/>
      <c r="N337" s="697"/>
    </row>
    <row r="338" spans="2:14" s="102" customFormat="1" ht="18" outlineLevel="1" x14ac:dyDescent="0.25">
      <c r="B338" s="722" t="s">
        <v>3120</v>
      </c>
      <c r="C338" s="1547" t="s">
        <v>3121</v>
      </c>
      <c r="D338" s="171">
        <v>0.67</v>
      </c>
      <c r="E338" s="2141">
        <v>0</v>
      </c>
      <c r="F338" s="2141">
        <v>1</v>
      </c>
      <c r="G338" s="2141" t="s">
        <v>2111</v>
      </c>
      <c r="H338" s="171">
        <v>2</v>
      </c>
      <c r="I338" s="1569"/>
      <c r="J338" s="1570"/>
      <c r="L338" s="695"/>
      <c r="M338" s="697"/>
      <c r="N338" s="697"/>
    </row>
    <row r="339" spans="2:14" s="102" customFormat="1" ht="18" outlineLevel="1" x14ac:dyDescent="0.25">
      <c r="B339" s="722" t="s">
        <v>3122</v>
      </c>
      <c r="C339" s="1547" t="s">
        <v>3123</v>
      </c>
      <c r="D339" s="171">
        <v>0.54</v>
      </c>
      <c r="E339" s="2141">
        <v>0</v>
      </c>
      <c r="F339" s="2141">
        <v>1</v>
      </c>
      <c r="G339" s="2141" t="s">
        <v>2111</v>
      </c>
      <c r="H339" s="171">
        <v>2</v>
      </c>
      <c r="I339" s="1569"/>
      <c r="J339" s="1570"/>
      <c r="L339" s="695"/>
      <c r="M339" s="697"/>
      <c r="N339" s="697"/>
    </row>
    <row r="340" spans="2:14" s="102" customFormat="1" ht="18" outlineLevel="1" x14ac:dyDescent="0.25">
      <c r="B340" s="722" t="s">
        <v>3124</v>
      </c>
      <c r="C340" s="1547" t="s">
        <v>3125</v>
      </c>
      <c r="D340" s="172">
        <v>0.1</v>
      </c>
      <c r="E340" s="2142">
        <v>0</v>
      </c>
      <c r="F340" s="2141">
        <v>1</v>
      </c>
      <c r="G340" s="2141" t="s">
        <v>2111</v>
      </c>
      <c r="H340" s="171">
        <v>2</v>
      </c>
      <c r="I340" s="1569"/>
      <c r="J340" s="1570"/>
      <c r="L340" s="695"/>
      <c r="M340" s="697"/>
      <c r="N340" s="697"/>
    </row>
    <row r="341" spans="2:14" s="102" customFormat="1" ht="18" outlineLevel="1" x14ac:dyDescent="0.25">
      <c r="B341" s="169" t="s">
        <v>2134</v>
      </c>
      <c r="C341" s="570" t="s">
        <v>2546</v>
      </c>
      <c r="D341" s="171">
        <v>0.35</v>
      </c>
      <c r="E341" s="2141">
        <v>0</v>
      </c>
      <c r="F341" s="2141">
        <v>1</v>
      </c>
      <c r="G341" s="2141" t="s">
        <v>2111</v>
      </c>
      <c r="H341" s="171">
        <v>2</v>
      </c>
      <c r="I341" s="1569"/>
      <c r="J341" s="1570"/>
      <c r="L341" s="695"/>
      <c r="M341" s="697"/>
      <c r="N341" s="697"/>
    </row>
    <row r="342" spans="2:14" s="102" customFormat="1" ht="18" outlineLevel="1" x14ac:dyDescent="0.25">
      <c r="B342" s="169" t="s">
        <v>2135</v>
      </c>
      <c r="C342" s="570" t="s">
        <v>2547</v>
      </c>
      <c r="D342" s="171">
        <v>0.1</v>
      </c>
      <c r="E342" s="2141">
        <v>0</v>
      </c>
      <c r="F342" s="2141">
        <v>1</v>
      </c>
      <c r="G342" s="2141" t="s">
        <v>2111</v>
      </c>
      <c r="H342" s="171">
        <v>2</v>
      </c>
      <c r="I342" s="1569"/>
      <c r="J342" s="1570"/>
      <c r="L342" s="695"/>
      <c r="M342" s="697"/>
      <c r="N342" s="697"/>
    </row>
    <row r="343" spans="2:14" s="102" customFormat="1" ht="18" outlineLevel="1" x14ac:dyDescent="0.25">
      <c r="B343" s="1451" t="s">
        <v>3179</v>
      </c>
      <c r="C343" s="1548" t="s">
        <v>3180</v>
      </c>
      <c r="D343" s="696">
        <v>0.6</v>
      </c>
      <c r="E343" s="696">
        <v>0</v>
      </c>
      <c r="F343" s="696">
        <v>1</v>
      </c>
      <c r="G343" s="696" t="s">
        <v>4759</v>
      </c>
      <c r="H343" s="696">
        <v>2</v>
      </c>
      <c r="I343" s="1548"/>
      <c r="J343" s="1665"/>
      <c r="L343" s="695"/>
      <c r="M343" s="697"/>
      <c r="N343" s="697"/>
    </row>
    <row r="344" spans="2:14" s="102" customFormat="1" ht="18" outlineLevel="1" x14ac:dyDescent="0.25">
      <c r="B344" s="169" t="s">
        <v>1732</v>
      </c>
      <c r="C344" s="570" t="s">
        <v>2548</v>
      </c>
      <c r="D344" s="172">
        <v>0.4</v>
      </c>
      <c r="E344" s="2142">
        <v>0</v>
      </c>
      <c r="F344" s="2141">
        <v>1</v>
      </c>
      <c r="G344" s="2141" t="s">
        <v>2111</v>
      </c>
      <c r="H344" s="171">
        <v>2</v>
      </c>
      <c r="I344" s="1569"/>
      <c r="J344" s="1570"/>
    </row>
    <row r="345" spans="2:14" s="102" customFormat="1" ht="18" outlineLevel="1" x14ac:dyDescent="0.25">
      <c r="B345" s="169" t="s">
        <v>872</v>
      </c>
      <c r="C345" s="570" t="s">
        <v>2549</v>
      </c>
      <c r="D345" s="172">
        <v>0.4</v>
      </c>
      <c r="E345" s="2142">
        <v>0</v>
      </c>
      <c r="F345" s="2141">
        <v>1</v>
      </c>
      <c r="G345" s="2141" t="s">
        <v>2111</v>
      </c>
      <c r="H345" s="171">
        <v>2</v>
      </c>
      <c r="I345" s="1569"/>
      <c r="J345" s="1570"/>
    </row>
    <row r="346" spans="2:14" s="102" customFormat="1" ht="18" outlineLevel="1" x14ac:dyDescent="0.25">
      <c r="B346" s="2584" t="s">
        <v>5237</v>
      </c>
      <c r="C346" s="2571" t="s">
        <v>5238</v>
      </c>
      <c r="D346" s="137">
        <v>0.63900000000000001</v>
      </c>
      <c r="E346" s="2143">
        <v>0</v>
      </c>
      <c r="F346" s="2143">
        <v>1</v>
      </c>
      <c r="G346" s="2143" t="s">
        <v>4752</v>
      </c>
      <c r="H346" s="137">
        <v>3</v>
      </c>
      <c r="I346" s="1666"/>
      <c r="J346" s="1667"/>
    </row>
    <row r="347" spans="2:14" s="102" customFormat="1" ht="18" outlineLevel="1" x14ac:dyDescent="0.25">
      <c r="B347" s="2584" t="s">
        <v>5239</v>
      </c>
      <c r="C347" s="2571" t="s">
        <v>5240</v>
      </c>
      <c r="D347" s="137">
        <v>0.52</v>
      </c>
      <c r="E347" s="2143">
        <v>0</v>
      </c>
      <c r="F347" s="2143">
        <v>1</v>
      </c>
      <c r="G347" s="2143" t="s">
        <v>4752</v>
      </c>
      <c r="H347" s="137">
        <v>2</v>
      </c>
      <c r="I347" s="1666"/>
      <c r="J347" s="1667"/>
    </row>
    <row r="348" spans="2:14" s="102" customFormat="1" ht="18" outlineLevel="1" x14ac:dyDescent="0.25">
      <c r="B348" s="579" t="s">
        <v>3992</v>
      </c>
      <c r="C348" s="1202" t="s">
        <v>3991</v>
      </c>
      <c r="D348" s="581">
        <v>0.1</v>
      </c>
      <c r="E348" s="2144">
        <v>0</v>
      </c>
      <c r="F348" s="2143">
        <v>1</v>
      </c>
      <c r="G348" s="2143" t="s">
        <v>4752</v>
      </c>
      <c r="H348" s="580">
        <v>2</v>
      </c>
      <c r="I348" s="1549"/>
      <c r="J348" s="1668"/>
      <c r="L348" s="695"/>
      <c r="M348" s="697"/>
      <c r="N348" s="697"/>
    </row>
    <row r="349" spans="2:14" s="102" customFormat="1" ht="18" outlineLevel="1" x14ac:dyDescent="0.25">
      <c r="B349" s="579" t="s">
        <v>3995</v>
      </c>
      <c r="C349" s="1202" t="s">
        <v>3993</v>
      </c>
      <c r="D349" s="580">
        <v>0.35</v>
      </c>
      <c r="E349" s="2143">
        <v>0</v>
      </c>
      <c r="F349" s="2143">
        <v>1</v>
      </c>
      <c r="G349" s="2143" t="s">
        <v>4752</v>
      </c>
      <c r="H349" s="580">
        <v>2</v>
      </c>
      <c r="I349" s="1549"/>
      <c r="J349" s="1668"/>
      <c r="L349" s="695"/>
      <c r="M349" s="697"/>
      <c r="N349" s="697"/>
    </row>
    <row r="350" spans="2:14" s="102" customFormat="1" ht="18" outlineLevel="1" x14ac:dyDescent="0.25">
      <c r="B350" s="579" t="s">
        <v>3996</v>
      </c>
      <c r="C350" s="1202" t="s">
        <v>3994</v>
      </c>
      <c r="D350" s="580">
        <v>0.1</v>
      </c>
      <c r="E350" s="2143">
        <v>0</v>
      </c>
      <c r="F350" s="2143">
        <v>1</v>
      </c>
      <c r="G350" s="2143" t="s">
        <v>4752</v>
      </c>
      <c r="H350" s="580">
        <v>2</v>
      </c>
      <c r="I350" s="1549"/>
      <c r="J350" s="1668"/>
      <c r="L350" s="695"/>
      <c r="M350" s="697"/>
      <c r="N350" s="697"/>
    </row>
    <row r="351" spans="2:14" s="102" customFormat="1" ht="18" outlineLevel="1" x14ac:dyDescent="0.25">
      <c r="B351" s="1203" t="s">
        <v>3997</v>
      </c>
      <c r="C351" s="1202" t="s">
        <v>3998</v>
      </c>
      <c r="D351" s="869">
        <v>0.33</v>
      </c>
      <c r="E351" s="2143">
        <v>0</v>
      </c>
      <c r="F351" s="2143">
        <v>1</v>
      </c>
      <c r="G351" s="2143" t="s">
        <v>4753</v>
      </c>
      <c r="H351" s="869">
        <v>2</v>
      </c>
      <c r="I351" s="1202"/>
      <c r="J351" s="1588"/>
    </row>
    <row r="352" spans="2:14" s="102" customFormat="1" ht="18" outlineLevel="1" x14ac:dyDescent="0.25">
      <c r="B352" s="1203" t="s">
        <v>3999</v>
      </c>
      <c r="C352" s="1202" t="s">
        <v>4000</v>
      </c>
      <c r="D352" s="869">
        <v>0.23</v>
      </c>
      <c r="E352" s="2143">
        <v>0</v>
      </c>
      <c r="F352" s="2143">
        <v>1</v>
      </c>
      <c r="G352" s="2143" t="s">
        <v>4753</v>
      </c>
      <c r="H352" s="869">
        <v>2</v>
      </c>
      <c r="I352" s="1202"/>
      <c r="J352" s="1588"/>
    </row>
    <row r="353" spans="2:18" s="102" customFormat="1" ht="18" outlineLevel="1" x14ac:dyDescent="0.25">
      <c r="B353" s="145" t="s">
        <v>881</v>
      </c>
      <c r="C353" s="1549" t="s">
        <v>2550</v>
      </c>
      <c r="D353" s="137">
        <v>0.65</v>
      </c>
      <c r="E353" s="2143">
        <v>0</v>
      </c>
      <c r="F353" s="2143">
        <v>1</v>
      </c>
      <c r="G353" s="2143" t="s">
        <v>4754</v>
      </c>
      <c r="H353" s="137">
        <v>2</v>
      </c>
      <c r="I353" s="1666"/>
      <c r="J353" s="1667"/>
    </row>
    <row r="354" spans="2:18" s="102" customFormat="1" ht="18" outlineLevel="1" x14ac:dyDescent="0.25">
      <c r="B354" s="145" t="s">
        <v>882</v>
      </c>
      <c r="C354" s="1549" t="s">
        <v>272</v>
      </c>
      <c r="D354" s="479">
        <f>(30+31+3*16)/31</f>
        <v>3.5161290322580645</v>
      </c>
      <c r="E354" s="2145">
        <v>0</v>
      </c>
      <c r="F354" s="2143">
        <v>10</v>
      </c>
      <c r="G354" s="2143" t="s">
        <v>4755</v>
      </c>
      <c r="H354" s="137">
        <v>1</v>
      </c>
      <c r="I354" s="1666"/>
      <c r="J354" s="1667"/>
    </row>
    <row r="355" spans="2:18" s="102" customFormat="1" ht="18" outlineLevel="1" x14ac:dyDescent="0.25">
      <c r="B355" s="2585" t="s">
        <v>5241</v>
      </c>
      <c r="C355" s="2586" t="s">
        <v>5242</v>
      </c>
      <c r="D355" s="879">
        <v>0.6</v>
      </c>
      <c r="E355" s="2146">
        <v>0</v>
      </c>
      <c r="F355" s="2146">
        <v>1</v>
      </c>
      <c r="G355" s="2146" t="s">
        <v>2111</v>
      </c>
      <c r="H355" s="502">
        <v>3</v>
      </c>
      <c r="I355" s="1669"/>
      <c r="J355" s="1670"/>
    </row>
    <row r="356" spans="2:18" s="102" customFormat="1" ht="18" outlineLevel="1" x14ac:dyDescent="0.25">
      <c r="B356" s="2585" t="s">
        <v>5243</v>
      </c>
      <c r="C356" s="2586" t="s">
        <v>5244</v>
      </c>
      <c r="D356" s="502">
        <v>0.5</v>
      </c>
      <c r="E356" s="2146">
        <v>0</v>
      </c>
      <c r="F356" s="2146">
        <v>1</v>
      </c>
      <c r="G356" s="2146" t="s">
        <v>2111</v>
      </c>
      <c r="H356" s="502">
        <v>2</v>
      </c>
      <c r="I356" s="1669"/>
      <c r="J356" s="1670"/>
    </row>
    <row r="357" spans="2:18" s="102" customFormat="1" ht="18" outlineLevel="1" x14ac:dyDescent="0.25">
      <c r="B357" s="1550" t="s">
        <v>2249</v>
      </c>
      <c r="C357" s="1551" t="s">
        <v>2553</v>
      </c>
      <c r="D357" s="536">
        <v>0.15</v>
      </c>
      <c r="E357" s="2147">
        <v>0</v>
      </c>
      <c r="F357" s="2147">
        <v>1</v>
      </c>
      <c r="G357" s="2147" t="s">
        <v>4756</v>
      </c>
      <c r="H357" s="536">
        <v>2</v>
      </c>
      <c r="I357" s="1671"/>
      <c r="J357" s="1672"/>
      <c r="L357" s="537"/>
      <c r="M357" s="537"/>
      <c r="N357" s="537"/>
      <c r="O357" s="537"/>
      <c r="P357" s="537"/>
      <c r="Q357" s="537"/>
      <c r="R357" s="537"/>
    </row>
    <row r="358" spans="2:18" s="102" customFormat="1" ht="18" outlineLevel="1" x14ac:dyDescent="0.25">
      <c r="B358" s="173" t="s">
        <v>2250</v>
      </c>
      <c r="C358" s="1551" t="s">
        <v>2554</v>
      </c>
      <c r="D358" s="174">
        <v>0.09</v>
      </c>
      <c r="E358" s="2147">
        <v>0</v>
      </c>
      <c r="F358" s="2147">
        <v>1</v>
      </c>
      <c r="G358" s="2147" t="s">
        <v>4756</v>
      </c>
      <c r="H358" s="174">
        <v>2</v>
      </c>
      <c r="I358" s="751"/>
      <c r="J358" s="1673"/>
      <c r="L358" s="537"/>
      <c r="M358" s="537"/>
      <c r="N358" s="537"/>
      <c r="O358" s="537"/>
      <c r="P358" s="537"/>
      <c r="Q358" s="537"/>
      <c r="R358" s="537"/>
    </row>
    <row r="359" spans="2:18" s="117" customFormat="1" ht="18" outlineLevel="1" x14ac:dyDescent="0.25">
      <c r="B359" s="1552" t="s">
        <v>2251</v>
      </c>
      <c r="C359" s="1553" t="s">
        <v>2555</v>
      </c>
      <c r="D359" s="538">
        <v>1.32</v>
      </c>
      <c r="E359" s="2148">
        <v>0</v>
      </c>
      <c r="F359" s="2148">
        <v>10</v>
      </c>
      <c r="G359" s="2148" t="s">
        <v>4757</v>
      </c>
      <c r="H359" s="539">
        <v>2</v>
      </c>
      <c r="I359" s="1674"/>
      <c r="J359" s="1675"/>
      <c r="K359" s="102"/>
      <c r="L359" s="537"/>
      <c r="M359" s="537"/>
      <c r="N359" s="537"/>
      <c r="O359" s="537"/>
      <c r="P359" s="537"/>
      <c r="Q359" s="537"/>
      <c r="R359" s="537"/>
    </row>
    <row r="360" spans="2:18" s="117" customFormat="1" ht="18" outlineLevel="1" x14ac:dyDescent="0.25">
      <c r="B360" s="1552" t="s">
        <v>2252</v>
      </c>
      <c r="C360" s="1553" t="s">
        <v>2556</v>
      </c>
      <c r="D360" s="538">
        <v>0.26</v>
      </c>
      <c r="E360" s="2148">
        <v>0</v>
      </c>
      <c r="F360" s="2148">
        <v>1</v>
      </c>
      <c r="G360" s="2148" t="s">
        <v>4758</v>
      </c>
      <c r="H360" s="539">
        <v>2</v>
      </c>
      <c r="I360" s="1674"/>
      <c r="J360" s="1675"/>
      <c r="K360" s="102"/>
      <c r="L360" s="537"/>
      <c r="M360" s="537"/>
      <c r="N360" s="537"/>
      <c r="O360" s="537"/>
      <c r="P360" s="537"/>
      <c r="Q360" s="537"/>
      <c r="R360" s="537"/>
    </row>
    <row r="361" spans="2:18" s="102" customFormat="1" ht="18" outlineLevel="1" x14ac:dyDescent="0.25">
      <c r="B361" s="175" t="s">
        <v>874</v>
      </c>
      <c r="C361" s="1554" t="s">
        <v>2551</v>
      </c>
      <c r="D361" s="405">
        <v>0.1</v>
      </c>
      <c r="E361" s="2149">
        <v>0</v>
      </c>
      <c r="F361" s="2149">
        <v>1</v>
      </c>
      <c r="G361" s="2150" t="s">
        <v>2111</v>
      </c>
      <c r="H361" s="287">
        <v>2</v>
      </c>
      <c r="I361" s="404"/>
      <c r="J361" s="1676"/>
    </row>
    <row r="362" spans="2:18" s="102" customFormat="1" ht="18.75" outlineLevel="1" thickBot="1" x14ac:dyDescent="0.3">
      <c r="B362" s="1505" t="s">
        <v>873</v>
      </c>
      <c r="C362" s="1555" t="s">
        <v>2552</v>
      </c>
      <c r="D362" s="478">
        <v>0.1</v>
      </c>
      <c r="E362" s="2151">
        <v>0</v>
      </c>
      <c r="F362" s="2151">
        <v>1</v>
      </c>
      <c r="G362" s="2152" t="s">
        <v>2111</v>
      </c>
      <c r="H362" s="468">
        <v>2</v>
      </c>
      <c r="I362" s="1555"/>
      <c r="J362" s="1677"/>
    </row>
    <row r="363" spans="2:18" ht="15.75" thickBot="1" x14ac:dyDescent="0.3">
      <c r="C363" s="1111"/>
      <c r="D363" s="695"/>
      <c r="E363" s="695"/>
      <c r="F363" s="695"/>
      <c r="G363" s="695"/>
      <c r="H363" s="695"/>
      <c r="I363" s="1111"/>
      <c r="J363" s="142"/>
      <c r="K363" s="102"/>
      <c r="L363" s="695"/>
      <c r="M363" s="697"/>
      <c r="N363" s="697"/>
      <c r="O363" s="102"/>
      <c r="P363" s="102"/>
      <c r="Q363" s="102"/>
      <c r="R363" s="102"/>
    </row>
    <row r="364" spans="2:18" ht="15.75" thickBot="1" x14ac:dyDescent="0.3">
      <c r="C364" s="1556" t="s">
        <v>803</v>
      </c>
      <c r="D364" s="103" t="s">
        <v>319</v>
      </c>
      <c r="J364" s="142"/>
      <c r="K364" s="102"/>
      <c r="L364" s="695"/>
      <c r="M364" s="697"/>
      <c r="N364" s="697"/>
      <c r="O364" s="102"/>
      <c r="P364" s="102"/>
      <c r="Q364" s="102"/>
      <c r="R364" s="102"/>
    </row>
    <row r="365" spans="2:18" ht="15.75" thickBot="1" x14ac:dyDescent="0.3">
      <c r="B365" s="1557" t="s">
        <v>0</v>
      </c>
      <c r="C365" s="1558" t="s">
        <v>1</v>
      </c>
      <c r="D365" s="126" t="s">
        <v>842</v>
      </c>
      <c r="E365" s="126" t="s">
        <v>473</v>
      </c>
      <c r="F365" s="126" t="s">
        <v>474</v>
      </c>
      <c r="G365" s="126" t="s">
        <v>2</v>
      </c>
      <c r="H365" s="126" t="s">
        <v>302</v>
      </c>
      <c r="I365" s="1558" t="s">
        <v>116</v>
      </c>
      <c r="J365" s="1678" t="s">
        <v>117</v>
      </c>
      <c r="K365" s="102"/>
      <c r="L365" s="695"/>
      <c r="M365" s="697"/>
      <c r="N365" s="697"/>
      <c r="O365" s="102"/>
      <c r="P365" s="102"/>
      <c r="Q365" s="102"/>
      <c r="R365" s="102"/>
    </row>
    <row r="366" spans="2:18" s="102" customFormat="1" ht="18.75" outlineLevel="1" x14ac:dyDescent="0.25">
      <c r="B366" s="135" t="s">
        <v>875</v>
      </c>
      <c r="C366" s="983" t="s">
        <v>2560</v>
      </c>
      <c r="D366" s="107">
        <v>0.08</v>
      </c>
      <c r="E366" s="107">
        <v>0</v>
      </c>
      <c r="F366" s="107">
        <v>0.5</v>
      </c>
      <c r="G366" s="629" t="s">
        <v>2899</v>
      </c>
      <c r="H366" s="107">
        <v>2</v>
      </c>
      <c r="I366" s="1679"/>
      <c r="J366" s="1680"/>
    </row>
    <row r="367" spans="2:18" s="102" customFormat="1" ht="18.75" outlineLevel="1" x14ac:dyDescent="0.25">
      <c r="B367" s="611" t="s">
        <v>3167</v>
      </c>
      <c r="C367" s="983" t="s">
        <v>3168</v>
      </c>
      <c r="D367" s="741">
        <v>0.1</v>
      </c>
      <c r="E367" s="741">
        <v>0</v>
      </c>
      <c r="F367" s="741">
        <v>1</v>
      </c>
      <c r="G367" s="742" t="s">
        <v>3169</v>
      </c>
      <c r="H367" s="741">
        <v>2</v>
      </c>
      <c r="I367" s="983"/>
      <c r="J367" s="1681"/>
    </row>
    <row r="368" spans="2:18" s="102" customFormat="1" ht="18" outlineLevel="1" x14ac:dyDescent="0.25">
      <c r="B368" s="743" t="s">
        <v>876</v>
      </c>
      <c r="C368" s="1389" t="s">
        <v>276</v>
      </c>
      <c r="D368" s="562">
        <v>7.0000000000000007E-2</v>
      </c>
      <c r="E368" s="563">
        <v>0</v>
      </c>
      <c r="F368" s="563">
        <v>0.5</v>
      </c>
      <c r="G368" s="563" t="s">
        <v>1882</v>
      </c>
      <c r="H368" s="563">
        <v>3</v>
      </c>
      <c r="I368" s="1388"/>
      <c r="J368" s="1682"/>
    </row>
    <row r="369" spans="2:12" s="102" customFormat="1" ht="18" outlineLevel="1" x14ac:dyDescent="0.25">
      <c r="B369" s="743" t="s">
        <v>3199</v>
      </c>
      <c r="C369" s="1389" t="s">
        <v>3200</v>
      </c>
      <c r="D369" s="562">
        <v>0.1</v>
      </c>
      <c r="E369" s="563">
        <v>0</v>
      </c>
      <c r="F369" s="563">
        <v>0.5</v>
      </c>
      <c r="G369" s="563" t="s">
        <v>1882</v>
      </c>
      <c r="H369" s="563">
        <v>3</v>
      </c>
      <c r="I369" s="1388"/>
      <c r="J369" s="1682"/>
    </row>
    <row r="370" spans="2:12" s="102" customFormat="1" ht="18" outlineLevel="1" x14ac:dyDescent="0.25">
      <c r="B370" s="2227" t="s">
        <v>4812</v>
      </c>
      <c r="C370" s="2228" t="s">
        <v>4813</v>
      </c>
      <c r="D370" s="2229">
        <v>7.0000000000000007E-2</v>
      </c>
      <c r="E370" s="2230">
        <v>0</v>
      </c>
      <c r="F370" s="2230">
        <v>0.5</v>
      </c>
      <c r="G370" s="2230" t="s">
        <v>4814</v>
      </c>
      <c r="H370" s="2230">
        <v>3</v>
      </c>
      <c r="I370" s="2200"/>
      <c r="J370" s="2231"/>
      <c r="K370" s="697"/>
    </row>
    <row r="371" spans="2:12" s="102" customFormat="1" ht="18" outlineLevel="1" x14ac:dyDescent="0.25">
      <c r="B371" s="743" t="s">
        <v>2115</v>
      </c>
      <c r="C371" s="1389" t="s">
        <v>2116</v>
      </c>
      <c r="D371" s="562">
        <v>0.06</v>
      </c>
      <c r="E371" s="563">
        <v>0</v>
      </c>
      <c r="F371" s="563">
        <v>0.5</v>
      </c>
      <c r="G371" s="563" t="s">
        <v>1882</v>
      </c>
      <c r="H371" s="563">
        <v>3</v>
      </c>
      <c r="I371" s="1388"/>
      <c r="J371" s="1682"/>
    </row>
    <row r="372" spans="2:12" s="102" customFormat="1" ht="18" outlineLevel="1" x14ac:dyDescent="0.25">
      <c r="B372" s="743" t="s">
        <v>1123</v>
      </c>
      <c r="C372" s="1389" t="s">
        <v>2561</v>
      </c>
      <c r="D372" s="562">
        <v>0.01</v>
      </c>
      <c r="E372" s="563">
        <v>0</v>
      </c>
      <c r="F372" s="563">
        <v>0.5</v>
      </c>
      <c r="G372" s="563" t="s">
        <v>1882</v>
      </c>
      <c r="H372" s="563">
        <v>3</v>
      </c>
      <c r="I372" s="1388"/>
      <c r="J372" s="1708" t="s">
        <v>4432</v>
      </c>
      <c r="K372" s="697"/>
      <c r="L372" s="697"/>
    </row>
    <row r="373" spans="2:12" s="102" customFormat="1" ht="18" outlineLevel="1" x14ac:dyDescent="0.25">
      <c r="B373" s="743" t="s">
        <v>1058</v>
      </c>
      <c r="C373" s="1389" t="s">
        <v>2562</v>
      </c>
      <c r="D373" s="562">
        <v>0.01</v>
      </c>
      <c r="E373" s="563">
        <v>0</v>
      </c>
      <c r="F373" s="563">
        <v>0.1</v>
      </c>
      <c r="G373" s="563" t="s">
        <v>1882</v>
      </c>
      <c r="H373" s="563">
        <v>3</v>
      </c>
      <c r="I373" s="1388"/>
      <c r="J373" s="1682"/>
      <c r="K373" s="697"/>
      <c r="L373" s="697"/>
    </row>
    <row r="374" spans="2:12" s="102" customFormat="1" ht="18" outlineLevel="1" x14ac:dyDescent="0.25">
      <c r="B374" s="743" t="s">
        <v>1124</v>
      </c>
      <c r="C374" s="1389" t="s">
        <v>2563</v>
      </c>
      <c r="D374" s="562">
        <v>0.01</v>
      </c>
      <c r="E374" s="563">
        <v>0</v>
      </c>
      <c r="F374" s="563">
        <v>0.1</v>
      </c>
      <c r="G374" s="563" t="s">
        <v>1882</v>
      </c>
      <c r="H374" s="563">
        <v>3</v>
      </c>
      <c r="I374" s="1388"/>
      <c r="J374" s="1708" t="s">
        <v>4433</v>
      </c>
      <c r="K374" s="697"/>
      <c r="L374" s="697"/>
    </row>
    <row r="375" spans="2:12" s="102" customFormat="1" ht="18" outlineLevel="1" x14ac:dyDescent="0.25">
      <c r="B375" s="743" t="s">
        <v>1366</v>
      </c>
      <c r="C375" s="1251" t="s">
        <v>2564</v>
      </c>
      <c r="D375" s="564">
        <v>5.7075504823359977E-2</v>
      </c>
      <c r="E375" s="563">
        <v>0</v>
      </c>
      <c r="F375" s="563">
        <v>1</v>
      </c>
      <c r="G375" s="563" t="s">
        <v>1887</v>
      </c>
      <c r="H375" s="563">
        <v>2</v>
      </c>
      <c r="I375" s="1388"/>
      <c r="J375" s="1682" t="s">
        <v>1969</v>
      </c>
    </row>
    <row r="376" spans="2:12" s="102" customFormat="1" ht="18" outlineLevel="1" x14ac:dyDescent="0.25">
      <c r="B376" s="1350" t="s">
        <v>877</v>
      </c>
      <c r="C376" s="1559" t="s">
        <v>277</v>
      </c>
      <c r="D376" s="565">
        <v>0.02</v>
      </c>
      <c r="E376" s="566">
        <v>0</v>
      </c>
      <c r="F376" s="566">
        <v>0.1</v>
      </c>
      <c r="G376" s="566" t="s">
        <v>1883</v>
      </c>
      <c r="H376" s="566">
        <v>3</v>
      </c>
      <c r="I376" s="1683"/>
      <c r="J376" s="1684"/>
    </row>
    <row r="377" spans="2:12" s="102" customFormat="1" ht="18" outlineLevel="1" x14ac:dyDescent="0.25">
      <c r="B377" s="1350" t="s">
        <v>4394</v>
      </c>
      <c r="C377" s="1559" t="s">
        <v>4395</v>
      </c>
      <c r="D377" s="565">
        <v>3.5000000000000003E-2</v>
      </c>
      <c r="E377" s="566">
        <v>0</v>
      </c>
      <c r="F377" s="566">
        <v>0.1</v>
      </c>
      <c r="G377" s="566" t="s">
        <v>1883</v>
      </c>
      <c r="H377" s="566">
        <v>3</v>
      </c>
      <c r="I377" s="1685"/>
      <c r="J377" s="1686" t="s">
        <v>4396</v>
      </c>
    </row>
    <row r="378" spans="2:12" s="102" customFormat="1" ht="18" outlineLevel="1" x14ac:dyDescent="0.25">
      <c r="B378" s="2232" t="s">
        <v>4815</v>
      </c>
      <c r="C378" s="2233" t="s">
        <v>4816</v>
      </c>
      <c r="D378" s="2234">
        <v>0.02</v>
      </c>
      <c r="E378" s="2235">
        <v>0</v>
      </c>
      <c r="F378" s="2235">
        <v>0.1</v>
      </c>
      <c r="G378" s="2235" t="s">
        <v>4817</v>
      </c>
      <c r="H378" s="2235">
        <v>3</v>
      </c>
      <c r="I378" s="2236"/>
      <c r="J378" s="2237"/>
      <c r="K378" s="697"/>
    </row>
    <row r="379" spans="2:12" s="102" customFormat="1" ht="18" outlineLevel="1" x14ac:dyDescent="0.25">
      <c r="B379" s="1350" t="s">
        <v>1059</v>
      </c>
      <c r="C379" s="1559" t="s">
        <v>2565</v>
      </c>
      <c r="D379" s="1736">
        <v>2E-3</v>
      </c>
      <c r="E379" s="566">
        <v>0</v>
      </c>
      <c r="F379" s="566">
        <v>0.1</v>
      </c>
      <c r="G379" s="566" t="s">
        <v>1883</v>
      </c>
      <c r="H379" s="566">
        <v>3</v>
      </c>
      <c r="I379" s="1683"/>
      <c r="J379" s="1686" t="s">
        <v>4434</v>
      </c>
      <c r="K379" s="697"/>
      <c r="L379" s="697"/>
    </row>
    <row r="380" spans="2:12" s="102" customFormat="1" ht="18" outlineLevel="1" x14ac:dyDescent="0.25">
      <c r="B380" s="1350" t="s">
        <v>1060</v>
      </c>
      <c r="C380" s="1559" t="s">
        <v>2566</v>
      </c>
      <c r="D380" s="1736">
        <v>2E-3</v>
      </c>
      <c r="E380" s="566">
        <v>0</v>
      </c>
      <c r="F380" s="566">
        <v>0.1</v>
      </c>
      <c r="G380" s="566" t="s">
        <v>1883</v>
      </c>
      <c r="H380" s="566">
        <v>3</v>
      </c>
      <c r="I380" s="1683"/>
      <c r="J380" s="1686" t="s">
        <v>4434</v>
      </c>
      <c r="K380" s="697"/>
      <c r="L380" s="697"/>
    </row>
    <row r="381" spans="2:12" s="102" customFormat="1" ht="18" outlineLevel="1" x14ac:dyDescent="0.25">
      <c r="B381" s="1350" t="s">
        <v>1061</v>
      </c>
      <c r="C381" s="1559" t="s">
        <v>2567</v>
      </c>
      <c r="D381" s="565">
        <v>2E-3</v>
      </c>
      <c r="E381" s="566">
        <v>0</v>
      </c>
      <c r="F381" s="566">
        <v>0.1</v>
      </c>
      <c r="G381" s="566" t="s">
        <v>1883</v>
      </c>
      <c r="H381" s="566">
        <v>3</v>
      </c>
      <c r="I381" s="1683"/>
      <c r="J381" s="1684"/>
      <c r="K381" s="697"/>
      <c r="L381" s="697"/>
    </row>
    <row r="382" spans="2:12" s="102" customFormat="1" ht="18" outlineLevel="1" x14ac:dyDescent="0.25">
      <c r="B382" s="1350" t="s">
        <v>880</v>
      </c>
      <c r="C382" s="1351" t="s">
        <v>2568</v>
      </c>
      <c r="D382" s="567">
        <v>0.12621410566683836</v>
      </c>
      <c r="E382" s="566">
        <v>0</v>
      </c>
      <c r="F382" s="566">
        <v>1</v>
      </c>
      <c r="G382" s="566" t="s">
        <v>1888</v>
      </c>
      <c r="H382" s="566">
        <v>2</v>
      </c>
      <c r="I382" s="1683"/>
      <c r="J382" s="1684" t="s">
        <v>1970</v>
      </c>
    </row>
    <row r="383" spans="2:12" s="102" customFormat="1" ht="18" outlineLevel="1" x14ac:dyDescent="0.25">
      <c r="B383" s="1350" t="s">
        <v>1367</v>
      </c>
      <c r="C383" s="1351" t="s">
        <v>2569</v>
      </c>
      <c r="D383" s="567">
        <v>0.16206538757887573</v>
      </c>
      <c r="E383" s="566">
        <v>0</v>
      </c>
      <c r="F383" s="566">
        <v>1</v>
      </c>
      <c r="G383" s="566" t="s">
        <v>1888</v>
      </c>
      <c r="H383" s="566">
        <v>2</v>
      </c>
      <c r="I383" s="1683"/>
      <c r="J383" s="1684" t="s">
        <v>1971</v>
      </c>
    </row>
    <row r="384" spans="2:12" s="102" customFormat="1" ht="18" outlineLevel="1" x14ac:dyDescent="0.25">
      <c r="B384" s="1350" t="s">
        <v>4214</v>
      </c>
      <c r="C384" s="1351" t="s">
        <v>4215</v>
      </c>
      <c r="D384" s="567">
        <v>0.179988070070871</v>
      </c>
      <c r="E384" s="566">
        <v>0</v>
      </c>
      <c r="F384" s="566">
        <v>1</v>
      </c>
      <c r="G384" s="566" t="s">
        <v>1888</v>
      </c>
      <c r="H384" s="566">
        <v>2</v>
      </c>
      <c r="I384" s="1683"/>
      <c r="J384" s="1687" t="s">
        <v>4542</v>
      </c>
    </row>
    <row r="385" spans="2:12" s="102" customFormat="1" ht="18" outlineLevel="1" x14ac:dyDescent="0.25">
      <c r="B385" s="1350" t="s">
        <v>1372</v>
      </c>
      <c r="C385" s="1351" t="s">
        <v>2570</v>
      </c>
      <c r="D385" s="567">
        <v>0.1234998580474381</v>
      </c>
      <c r="E385" s="566">
        <v>0</v>
      </c>
      <c r="F385" s="566">
        <v>1</v>
      </c>
      <c r="G385" s="566" t="s">
        <v>1888</v>
      </c>
      <c r="H385" s="566">
        <v>2</v>
      </c>
      <c r="I385" s="1683"/>
      <c r="J385" s="1684" t="s">
        <v>1972</v>
      </c>
    </row>
    <row r="386" spans="2:12" s="102" customFormat="1" ht="18" outlineLevel="1" x14ac:dyDescent="0.25">
      <c r="B386" s="1250" t="s">
        <v>2557</v>
      </c>
      <c r="C386" s="1251" t="s">
        <v>2572</v>
      </c>
      <c r="D386" s="564">
        <v>1.8</v>
      </c>
      <c r="E386" s="563">
        <v>0</v>
      </c>
      <c r="F386" s="563">
        <v>5</v>
      </c>
      <c r="G386" s="563" t="s">
        <v>1884</v>
      </c>
      <c r="H386" s="563">
        <v>2</v>
      </c>
      <c r="I386" s="1688" t="s">
        <v>2145</v>
      </c>
      <c r="J386" s="1682"/>
      <c r="K386" s="697"/>
      <c r="L386" s="697"/>
    </row>
    <row r="387" spans="2:12" s="102" customFormat="1" ht="18" outlineLevel="1" x14ac:dyDescent="0.25">
      <c r="B387" s="1250" t="s">
        <v>2558</v>
      </c>
      <c r="C387" s="1251" t="s">
        <v>2573</v>
      </c>
      <c r="D387" s="564">
        <v>1.3</v>
      </c>
      <c r="E387" s="563">
        <v>0</v>
      </c>
      <c r="F387" s="563">
        <v>5</v>
      </c>
      <c r="G387" s="563" t="s">
        <v>1884</v>
      </c>
      <c r="H387" s="563">
        <v>2</v>
      </c>
      <c r="I387" s="1688" t="s">
        <v>3616</v>
      </c>
      <c r="J387" s="1682"/>
      <c r="K387" s="697"/>
      <c r="L387" s="697"/>
    </row>
    <row r="388" spans="2:12" s="102" customFormat="1" ht="18" outlineLevel="1" x14ac:dyDescent="0.25">
      <c r="B388" s="1250" t="s">
        <v>878</v>
      </c>
      <c r="C388" s="1251" t="s">
        <v>2571</v>
      </c>
      <c r="D388" s="564">
        <v>1.42</v>
      </c>
      <c r="E388" s="563">
        <v>0</v>
      </c>
      <c r="F388" s="563">
        <v>5</v>
      </c>
      <c r="G388" s="563" t="s">
        <v>1884</v>
      </c>
      <c r="H388" s="563">
        <v>2</v>
      </c>
      <c r="I388" s="1688"/>
      <c r="J388" s="1682"/>
      <c r="K388" s="697"/>
    </row>
    <row r="389" spans="2:12" s="102" customFormat="1" ht="18" outlineLevel="1" x14ac:dyDescent="0.25">
      <c r="B389" s="1250" t="s">
        <v>2559</v>
      </c>
      <c r="C389" s="1251" t="s">
        <v>2580</v>
      </c>
      <c r="D389" s="564">
        <v>1.42</v>
      </c>
      <c r="E389" s="563">
        <v>0</v>
      </c>
      <c r="F389" s="563">
        <v>5</v>
      </c>
      <c r="G389" s="563" t="s">
        <v>1884</v>
      </c>
      <c r="H389" s="563">
        <v>2</v>
      </c>
      <c r="I389" s="1688"/>
      <c r="J389" s="1682"/>
      <c r="K389" s="697"/>
      <c r="L389" s="697"/>
    </row>
    <row r="390" spans="2:12" s="102" customFormat="1" ht="18" outlineLevel="1" x14ac:dyDescent="0.25">
      <c r="B390" s="1250" t="s">
        <v>1143</v>
      </c>
      <c r="C390" s="1251" t="s">
        <v>2574</v>
      </c>
      <c r="D390" s="564">
        <v>1.0660000000000001</v>
      </c>
      <c r="E390" s="563">
        <v>0</v>
      </c>
      <c r="F390" s="563">
        <v>5</v>
      </c>
      <c r="G390" s="563" t="s">
        <v>1885</v>
      </c>
      <c r="H390" s="563">
        <v>2</v>
      </c>
      <c r="I390" s="1388"/>
      <c r="J390" s="1682"/>
      <c r="K390" s="697"/>
      <c r="L390" s="697"/>
    </row>
    <row r="391" spans="2:12" s="102" customFormat="1" ht="18" outlineLevel="1" x14ac:dyDescent="0.25">
      <c r="B391" s="1250" t="s">
        <v>1144</v>
      </c>
      <c r="C391" s="1251" t="s">
        <v>2575</v>
      </c>
      <c r="D391" s="564">
        <v>1.0660000000000001</v>
      </c>
      <c r="E391" s="563">
        <v>0</v>
      </c>
      <c r="F391" s="563">
        <v>5</v>
      </c>
      <c r="G391" s="563" t="s">
        <v>1885</v>
      </c>
      <c r="H391" s="563">
        <v>2</v>
      </c>
      <c r="I391" s="1388"/>
      <c r="J391" s="1682"/>
      <c r="K391" s="697"/>
      <c r="L391" s="697"/>
    </row>
    <row r="392" spans="2:12" s="102" customFormat="1" ht="18" outlineLevel="1" x14ac:dyDescent="0.25">
      <c r="B392" s="1250" t="s">
        <v>1145</v>
      </c>
      <c r="C392" s="1251" t="s">
        <v>2576</v>
      </c>
      <c r="D392" s="564">
        <v>0.92600000000000005</v>
      </c>
      <c r="E392" s="563">
        <v>0</v>
      </c>
      <c r="F392" s="563">
        <v>5</v>
      </c>
      <c r="G392" s="563" t="s">
        <v>1885</v>
      </c>
      <c r="H392" s="563">
        <v>2</v>
      </c>
      <c r="I392" s="1388"/>
      <c r="J392" s="1682"/>
      <c r="K392" s="697"/>
      <c r="L392" s="697"/>
    </row>
    <row r="393" spans="2:12" s="102" customFormat="1" ht="18" outlineLevel="1" x14ac:dyDescent="0.25">
      <c r="B393" s="1250" t="s">
        <v>1146</v>
      </c>
      <c r="C393" s="1251" t="s">
        <v>2577</v>
      </c>
      <c r="D393" s="564">
        <v>1.8</v>
      </c>
      <c r="E393" s="563">
        <v>0</v>
      </c>
      <c r="F393" s="563">
        <v>5</v>
      </c>
      <c r="G393" s="563" t="s">
        <v>1885</v>
      </c>
      <c r="H393" s="563">
        <v>2</v>
      </c>
      <c r="I393" s="1388"/>
      <c r="J393" s="1682"/>
      <c r="K393" s="697"/>
      <c r="L393" s="697"/>
    </row>
    <row r="394" spans="2:12" s="102" customFormat="1" ht="18" outlineLevel="1" x14ac:dyDescent="0.25">
      <c r="B394" s="1250" t="s">
        <v>1147</v>
      </c>
      <c r="C394" s="1251" t="s">
        <v>2578</v>
      </c>
      <c r="D394" s="564">
        <v>1.3</v>
      </c>
      <c r="E394" s="563">
        <v>0</v>
      </c>
      <c r="F394" s="563">
        <v>5</v>
      </c>
      <c r="G394" s="563" t="s">
        <v>1885</v>
      </c>
      <c r="H394" s="563">
        <v>2</v>
      </c>
      <c r="I394" s="1388"/>
      <c r="J394" s="1682"/>
      <c r="K394" s="697"/>
      <c r="L394" s="697"/>
    </row>
    <row r="395" spans="2:12" s="102" customFormat="1" ht="18" outlineLevel="1" x14ac:dyDescent="0.25">
      <c r="B395" s="1250" t="s">
        <v>879</v>
      </c>
      <c r="C395" s="1251" t="s">
        <v>2579</v>
      </c>
      <c r="D395" s="564">
        <v>1.67</v>
      </c>
      <c r="E395" s="563">
        <v>0</v>
      </c>
      <c r="F395" s="563">
        <v>5</v>
      </c>
      <c r="G395" s="563" t="s">
        <v>1884</v>
      </c>
      <c r="H395" s="563">
        <v>2</v>
      </c>
      <c r="I395" s="1388"/>
      <c r="J395" s="1682"/>
      <c r="K395" s="697"/>
      <c r="L395" s="697"/>
    </row>
    <row r="396" spans="2:12" s="185" customFormat="1" ht="18" outlineLevel="1" x14ac:dyDescent="0.25">
      <c r="B396" s="1560" t="s">
        <v>1630</v>
      </c>
      <c r="C396" s="1559" t="s">
        <v>2581</v>
      </c>
      <c r="D396" s="567">
        <v>0.35199999999999998</v>
      </c>
      <c r="E396" s="566">
        <v>0</v>
      </c>
      <c r="F396" s="566">
        <v>5</v>
      </c>
      <c r="G396" s="568" t="s">
        <v>1886</v>
      </c>
      <c r="H396" s="566">
        <v>2</v>
      </c>
      <c r="I396" s="1689"/>
      <c r="J396" s="1684" t="s">
        <v>1950</v>
      </c>
      <c r="K396" s="701"/>
      <c r="L396" s="701"/>
    </row>
    <row r="397" spans="2:12" s="185" customFormat="1" ht="18" outlineLevel="1" x14ac:dyDescent="0.25">
      <c r="B397" s="2238" t="s">
        <v>4818</v>
      </c>
      <c r="C397" s="2241" t="s">
        <v>4819</v>
      </c>
      <c r="D397" s="2242">
        <v>0.375</v>
      </c>
      <c r="E397" s="2235">
        <v>0</v>
      </c>
      <c r="F397" s="2235">
        <v>5</v>
      </c>
      <c r="G397" s="2239" t="s">
        <v>4820</v>
      </c>
      <c r="H397" s="2235">
        <v>2</v>
      </c>
      <c r="I397" s="2240"/>
      <c r="J397" s="2237" t="s">
        <v>4821</v>
      </c>
      <c r="K397" s="701"/>
    </row>
    <row r="398" spans="2:12" s="185" customFormat="1" ht="18" outlineLevel="1" x14ac:dyDescent="0.25">
      <c r="B398" s="1560" t="s">
        <v>3069</v>
      </c>
      <c r="C398" s="1561" t="s">
        <v>3126</v>
      </c>
      <c r="D398" s="699">
        <v>0.28599999999999998</v>
      </c>
      <c r="E398" s="698">
        <v>0</v>
      </c>
      <c r="F398" s="698">
        <v>5</v>
      </c>
      <c r="G398" s="700" t="s">
        <v>3127</v>
      </c>
      <c r="H398" s="698">
        <v>2</v>
      </c>
      <c r="I398" s="1690"/>
      <c r="J398" s="1691" t="s">
        <v>3128</v>
      </c>
      <c r="K398" s="701"/>
      <c r="L398" s="701"/>
    </row>
    <row r="399" spans="2:12" s="185" customFormat="1" ht="18" outlineLevel="1" x14ac:dyDescent="0.25">
      <c r="B399" s="1560" t="s">
        <v>3068</v>
      </c>
      <c r="C399" s="1561" t="s">
        <v>3129</v>
      </c>
      <c r="D399" s="699">
        <v>0.375</v>
      </c>
      <c r="E399" s="698">
        <v>0</v>
      </c>
      <c r="F399" s="698">
        <v>5</v>
      </c>
      <c r="G399" s="700" t="s">
        <v>3127</v>
      </c>
      <c r="H399" s="698">
        <v>2</v>
      </c>
      <c r="I399" s="1690"/>
      <c r="J399" s="1691" t="s">
        <v>3130</v>
      </c>
      <c r="K399" s="701"/>
      <c r="L399" s="701"/>
    </row>
    <row r="400" spans="2:12" s="185" customFormat="1" ht="18" outlineLevel="1" x14ac:dyDescent="0.25">
      <c r="B400" s="2238" t="s">
        <v>5327</v>
      </c>
      <c r="C400" s="2233" t="s">
        <v>5328</v>
      </c>
      <c r="D400" s="699">
        <v>0.28599999999999998</v>
      </c>
      <c r="E400" s="2235">
        <v>0</v>
      </c>
      <c r="F400" s="2235">
        <v>5</v>
      </c>
      <c r="G400" s="2239" t="s">
        <v>1886</v>
      </c>
      <c r="H400" s="2235">
        <v>2</v>
      </c>
      <c r="I400" s="2240"/>
      <c r="J400" s="2237" t="s">
        <v>1950</v>
      </c>
      <c r="K400" s="701"/>
    </row>
    <row r="401" spans="1:18" s="185" customFormat="1" ht="18" outlineLevel="1" x14ac:dyDescent="0.25">
      <c r="B401" s="1560" t="s">
        <v>1946</v>
      </c>
      <c r="C401" s="1559" t="s">
        <v>2582</v>
      </c>
      <c r="D401" s="567">
        <v>0.25</v>
      </c>
      <c r="E401" s="566">
        <v>0</v>
      </c>
      <c r="F401" s="566">
        <v>5</v>
      </c>
      <c r="G401" s="568" t="s">
        <v>1886</v>
      </c>
      <c r="H401" s="566">
        <v>2</v>
      </c>
      <c r="I401" s="1689"/>
      <c r="J401" s="1684" t="s">
        <v>2114</v>
      </c>
      <c r="K401" s="701"/>
      <c r="L401" s="701"/>
    </row>
    <row r="402" spans="1:18" s="185" customFormat="1" ht="18" outlineLevel="1" x14ac:dyDescent="0.25">
      <c r="B402" s="1560" t="s">
        <v>1944</v>
      </c>
      <c r="C402" s="1559" t="s">
        <v>2583</v>
      </c>
      <c r="D402" s="567">
        <v>0.188</v>
      </c>
      <c r="E402" s="566">
        <v>0</v>
      </c>
      <c r="F402" s="566">
        <v>5</v>
      </c>
      <c r="G402" s="568" t="s">
        <v>1886</v>
      </c>
      <c r="H402" s="566">
        <v>2</v>
      </c>
      <c r="I402" s="1689"/>
      <c r="J402" s="1684" t="s">
        <v>1947</v>
      </c>
      <c r="K402" s="701"/>
      <c r="L402" s="701"/>
    </row>
    <row r="403" spans="1:18" s="185" customFormat="1" ht="18" outlineLevel="1" x14ac:dyDescent="0.25">
      <c r="B403" s="1560" t="s">
        <v>1945</v>
      </c>
      <c r="C403" s="1559" t="s">
        <v>2584</v>
      </c>
      <c r="D403" s="567">
        <v>0.375</v>
      </c>
      <c r="E403" s="566">
        <v>0</v>
      </c>
      <c r="F403" s="566">
        <v>5</v>
      </c>
      <c r="G403" s="568" t="s">
        <v>1886</v>
      </c>
      <c r="H403" s="566">
        <v>2</v>
      </c>
      <c r="I403" s="1689"/>
      <c r="J403" s="1684" t="s">
        <v>1948</v>
      </c>
      <c r="K403" s="701"/>
      <c r="L403" s="701"/>
    </row>
    <row r="404" spans="1:18" s="185" customFormat="1" ht="18" outlineLevel="1" x14ac:dyDescent="0.25">
      <c r="B404" s="1560" t="s">
        <v>1949</v>
      </c>
      <c r="C404" s="1562" t="s">
        <v>2585</v>
      </c>
      <c r="D404" s="569">
        <v>0.33300000000000002</v>
      </c>
      <c r="E404" s="566">
        <v>0</v>
      </c>
      <c r="F404" s="566">
        <v>5</v>
      </c>
      <c r="G404" s="568" t="s">
        <v>1886</v>
      </c>
      <c r="H404" s="566">
        <v>2</v>
      </c>
      <c r="I404" s="1689"/>
      <c r="J404" s="1684" t="s">
        <v>1951</v>
      </c>
      <c r="K404" s="701"/>
      <c r="L404" s="701"/>
    </row>
    <row r="405" spans="1:18" s="102" customFormat="1" ht="18" outlineLevel="1" x14ac:dyDescent="0.25">
      <c r="B405" s="136" t="s">
        <v>2426</v>
      </c>
      <c r="C405" s="1516" t="s">
        <v>2586</v>
      </c>
      <c r="D405" s="110">
        <v>0.11</v>
      </c>
      <c r="E405" s="108">
        <v>0</v>
      </c>
      <c r="F405" s="108">
        <v>1</v>
      </c>
      <c r="G405" s="108" t="s">
        <v>2151</v>
      </c>
      <c r="H405" s="108">
        <v>2</v>
      </c>
      <c r="I405" s="1637"/>
      <c r="J405" s="1638" t="s">
        <v>1062</v>
      </c>
    </row>
    <row r="406" spans="1:18" s="102" customFormat="1" ht="18" outlineLevel="1" x14ac:dyDescent="0.25">
      <c r="B406" s="136" t="s">
        <v>1002</v>
      </c>
      <c r="C406" s="1516" t="s">
        <v>2587</v>
      </c>
      <c r="D406" s="110">
        <v>0.1</v>
      </c>
      <c r="E406" s="108">
        <v>0</v>
      </c>
      <c r="F406" s="108">
        <v>1</v>
      </c>
      <c r="G406" s="108" t="s">
        <v>1889</v>
      </c>
      <c r="H406" s="108">
        <v>2</v>
      </c>
      <c r="I406" s="1637"/>
      <c r="J406" s="1692" t="s">
        <v>3856</v>
      </c>
    </row>
    <row r="407" spans="1:18" s="102" customFormat="1" ht="18" outlineLevel="1" x14ac:dyDescent="0.25">
      <c r="B407" s="136" t="s">
        <v>1003</v>
      </c>
      <c r="C407" s="1516" t="s">
        <v>2588</v>
      </c>
      <c r="D407" s="110">
        <v>0.35</v>
      </c>
      <c r="E407" s="108">
        <v>0</v>
      </c>
      <c r="F407" s="108">
        <v>1</v>
      </c>
      <c r="G407" s="108" t="s">
        <v>1890</v>
      </c>
      <c r="H407" s="108">
        <v>2</v>
      </c>
      <c r="I407" s="1637"/>
      <c r="J407" s="1692" t="s">
        <v>3857</v>
      </c>
    </row>
    <row r="408" spans="1:18" s="102" customFormat="1" ht="18" outlineLevel="1" x14ac:dyDescent="0.25">
      <c r="B408" s="136" t="s">
        <v>1375</v>
      </c>
      <c r="C408" s="1516" t="s">
        <v>2589</v>
      </c>
      <c r="D408" s="110">
        <v>0.1</v>
      </c>
      <c r="E408" s="108">
        <v>0</v>
      </c>
      <c r="F408" s="108">
        <v>1</v>
      </c>
      <c r="G408" s="108" t="s">
        <v>1937</v>
      </c>
      <c r="H408" s="108">
        <v>2</v>
      </c>
      <c r="I408" s="1637"/>
      <c r="J408" s="1692" t="s">
        <v>3858</v>
      </c>
    </row>
    <row r="409" spans="1:18" s="102" customFormat="1" ht="18" outlineLevel="1" x14ac:dyDescent="0.25">
      <c r="A409" s="103"/>
      <c r="B409" s="555" t="s">
        <v>1157</v>
      </c>
      <c r="C409" s="1205" t="s">
        <v>2590</v>
      </c>
      <c r="D409" s="1206">
        <f>A_MNa/(A_MNa+A_MCl)</f>
        <v>0.39337234346305527</v>
      </c>
      <c r="E409" s="1206">
        <v>0</v>
      </c>
      <c r="F409" s="919">
        <v>1</v>
      </c>
      <c r="G409" s="919" t="s">
        <v>1938</v>
      </c>
      <c r="H409" s="919">
        <v>3</v>
      </c>
      <c r="I409" s="1143"/>
      <c r="J409" s="1165"/>
      <c r="K409" s="103"/>
      <c r="L409" s="103"/>
      <c r="M409" s="103"/>
      <c r="N409" s="103"/>
      <c r="O409" s="103"/>
      <c r="P409" s="103"/>
    </row>
    <row r="410" spans="1:18" s="102" customFormat="1" ht="18" outlineLevel="1" x14ac:dyDescent="0.25">
      <c r="A410" s="103"/>
      <c r="B410" s="611" t="s">
        <v>3809</v>
      </c>
      <c r="C410" s="1211" t="s">
        <v>3810</v>
      </c>
      <c r="D410" s="1212">
        <v>0.05</v>
      </c>
      <c r="E410" s="1212">
        <v>0</v>
      </c>
      <c r="F410" s="643">
        <v>0.14000000000000001</v>
      </c>
      <c r="G410" s="643" t="s">
        <v>3811</v>
      </c>
      <c r="H410" s="643">
        <v>3</v>
      </c>
      <c r="I410" s="702"/>
      <c r="J410" s="612"/>
      <c r="K410" s="103"/>
      <c r="L410" s="103"/>
      <c r="M410" s="103"/>
      <c r="N410" s="103"/>
      <c r="O410" s="103"/>
      <c r="P410" s="103"/>
    </row>
    <row r="411" spans="1:18" s="102" customFormat="1" ht="18.75" outlineLevel="1" thickBot="1" x14ac:dyDescent="0.3">
      <c r="A411" s="103"/>
      <c r="B411" s="555" t="s">
        <v>3812</v>
      </c>
      <c r="C411" s="1205" t="s">
        <v>3813</v>
      </c>
      <c r="D411" s="1206">
        <v>0.05</v>
      </c>
      <c r="E411" s="1206">
        <v>0</v>
      </c>
      <c r="F411" s="919">
        <v>0.15</v>
      </c>
      <c r="G411" s="919" t="s">
        <v>3814</v>
      </c>
      <c r="H411" s="919">
        <v>3</v>
      </c>
      <c r="I411" s="1143"/>
      <c r="J411" s="1165"/>
      <c r="K411" s="103"/>
      <c r="L411" s="103"/>
      <c r="M411" s="103"/>
      <c r="N411" s="103"/>
      <c r="O411" s="103"/>
      <c r="P411" s="103"/>
    </row>
    <row r="412" spans="1:18" ht="18" outlineLevel="1" x14ac:dyDescent="0.25">
      <c r="A412" s="2623"/>
      <c r="B412" s="914" t="s">
        <v>3260</v>
      </c>
      <c r="C412" s="773" t="s">
        <v>3262</v>
      </c>
      <c r="D412" s="774">
        <v>0.11</v>
      </c>
      <c r="E412" s="774">
        <v>0</v>
      </c>
      <c r="F412" s="774" t="s">
        <v>1254</v>
      </c>
      <c r="G412" s="774" t="s">
        <v>2111</v>
      </c>
      <c r="H412" s="774">
        <v>2</v>
      </c>
      <c r="I412" s="773"/>
      <c r="J412" s="1704"/>
    </row>
    <row r="413" spans="1:18" ht="18" outlineLevel="1" x14ac:dyDescent="0.25">
      <c r="A413" s="2623"/>
      <c r="B413" s="555" t="s">
        <v>3261</v>
      </c>
      <c r="C413" s="1143" t="s">
        <v>3263</v>
      </c>
      <c r="D413" s="919">
        <v>0.01</v>
      </c>
      <c r="E413" s="919">
        <v>0</v>
      </c>
      <c r="F413" s="919" t="s">
        <v>1254</v>
      </c>
      <c r="G413" s="919" t="s">
        <v>2111</v>
      </c>
      <c r="H413" s="919">
        <v>2</v>
      </c>
      <c r="I413" s="1143"/>
      <c r="J413" s="1165"/>
    </row>
    <row r="414" spans="1:18" s="102" customFormat="1" ht="18.75" outlineLevel="1" thickBot="1" x14ac:dyDescent="0.3">
      <c r="A414" s="103"/>
      <c r="B414" s="1207" t="s">
        <v>3815</v>
      </c>
      <c r="C414" s="1208" t="s">
        <v>3816</v>
      </c>
      <c r="D414" s="1209">
        <v>0.5</v>
      </c>
      <c r="E414" s="1209">
        <v>0</v>
      </c>
      <c r="F414" s="1210">
        <v>1</v>
      </c>
      <c r="G414" s="1210" t="s">
        <v>282</v>
      </c>
      <c r="H414" s="1210">
        <v>2</v>
      </c>
      <c r="I414" s="1693"/>
      <c r="J414" s="1694"/>
      <c r="K414" s="103"/>
      <c r="L414" s="103"/>
      <c r="M414" s="103"/>
      <c r="N414" s="103"/>
      <c r="O414" s="103"/>
      <c r="P414" s="103"/>
    </row>
    <row r="415" spans="1:18" ht="15.75" thickBot="1" x14ac:dyDescent="0.3">
      <c r="C415" s="1111"/>
      <c r="D415" s="187"/>
      <c r="E415" s="695"/>
      <c r="F415" s="695"/>
      <c r="G415" s="695"/>
      <c r="H415" s="695"/>
      <c r="I415" s="1111"/>
      <c r="J415" s="142"/>
      <c r="K415" s="102"/>
      <c r="L415" s="102"/>
      <c r="M415" s="102"/>
      <c r="N415" s="102"/>
      <c r="O415" s="102"/>
      <c r="P415" s="102"/>
      <c r="Q415" s="102"/>
      <c r="R415" s="102"/>
    </row>
    <row r="416" spans="1:18" s="102" customFormat="1" ht="15.75" thickBot="1" x14ac:dyDescent="0.3">
      <c r="B416" s="131"/>
      <c r="C416" s="1112" t="s">
        <v>3617</v>
      </c>
      <c r="D416" s="103" t="s">
        <v>319</v>
      </c>
      <c r="E416" s="103"/>
      <c r="F416" s="103"/>
      <c r="G416" s="103"/>
      <c r="H416" s="103"/>
      <c r="I416" s="131"/>
      <c r="J416" s="142"/>
    </row>
    <row r="417" spans="2:18" s="102" customFormat="1" ht="15.75" thickBot="1" x14ac:dyDescent="0.3">
      <c r="B417" s="343" t="s">
        <v>0</v>
      </c>
      <c r="C417" s="1445" t="s">
        <v>1</v>
      </c>
      <c r="D417" s="344" t="s">
        <v>842</v>
      </c>
      <c r="E417" s="344" t="s">
        <v>473</v>
      </c>
      <c r="F417" s="344" t="s">
        <v>474</v>
      </c>
      <c r="G417" s="344" t="s">
        <v>2</v>
      </c>
      <c r="H417" s="344" t="s">
        <v>302</v>
      </c>
      <c r="I417" s="1445" t="s">
        <v>116</v>
      </c>
      <c r="J417" s="348" t="s">
        <v>117</v>
      </c>
    </row>
    <row r="418" spans="2:18" s="102" customFormat="1" ht="18" outlineLevel="1" x14ac:dyDescent="0.25">
      <c r="B418" s="1122" t="s">
        <v>2081</v>
      </c>
      <c r="C418" s="1114" t="s">
        <v>350</v>
      </c>
      <c r="D418" s="1115">
        <v>0.95</v>
      </c>
      <c r="E418" s="981">
        <v>0</v>
      </c>
      <c r="F418" s="981">
        <v>1</v>
      </c>
      <c r="G418" s="1116" t="s">
        <v>2900</v>
      </c>
      <c r="H418" s="981">
        <v>2</v>
      </c>
      <c r="I418" s="980"/>
      <c r="J418" s="1695"/>
      <c r="K418" s="697"/>
      <c r="L418" s="697"/>
    </row>
    <row r="419" spans="2:18" s="102" customFormat="1" ht="18" outlineLevel="1" x14ac:dyDescent="0.25">
      <c r="B419" s="1123" t="s">
        <v>2901</v>
      </c>
      <c r="C419" s="983" t="s">
        <v>2902</v>
      </c>
      <c r="D419" s="630">
        <v>0.9</v>
      </c>
      <c r="E419" s="1117">
        <v>0</v>
      </c>
      <c r="F419" s="1117">
        <v>1</v>
      </c>
      <c r="G419" s="1118" t="s">
        <v>1976</v>
      </c>
      <c r="H419" s="1117">
        <v>2</v>
      </c>
      <c r="I419" s="1141"/>
      <c r="J419" s="1692"/>
      <c r="K419" s="697"/>
      <c r="L419" s="697"/>
    </row>
    <row r="420" spans="2:18" s="102" customFormat="1" ht="18" outlineLevel="1" x14ac:dyDescent="0.25">
      <c r="B420" s="1123" t="s">
        <v>2903</v>
      </c>
      <c r="C420" s="983" t="s">
        <v>2904</v>
      </c>
      <c r="D420" s="630">
        <v>0.6</v>
      </c>
      <c r="E420" s="1117">
        <v>0</v>
      </c>
      <c r="F420" s="1117">
        <v>1</v>
      </c>
      <c r="G420" s="1118" t="s">
        <v>1976</v>
      </c>
      <c r="H420" s="1117">
        <v>2</v>
      </c>
      <c r="I420" s="1141"/>
      <c r="J420" s="1692"/>
      <c r="K420" s="697"/>
      <c r="L420" s="697"/>
    </row>
    <row r="421" spans="2:18" s="102" customFormat="1" ht="18.75" outlineLevel="1" thickBot="1" x14ac:dyDescent="0.3">
      <c r="B421" s="1124" t="s">
        <v>2905</v>
      </c>
      <c r="C421" s="1119" t="s">
        <v>2906</v>
      </c>
      <c r="D421" s="1120">
        <v>0.5</v>
      </c>
      <c r="E421" s="651">
        <v>0</v>
      </c>
      <c r="F421" s="651">
        <v>1</v>
      </c>
      <c r="G421" s="1121" t="s">
        <v>1976</v>
      </c>
      <c r="H421" s="651">
        <v>2</v>
      </c>
      <c r="I421" s="985"/>
      <c r="J421" s="1696"/>
      <c r="K421" s="697"/>
      <c r="L421" s="697"/>
    </row>
    <row r="422" spans="2:18" ht="15.75" thickBot="1" x14ac:dyDescent="0.3">
      <c r="C422" s="1111"/>
      <c r="D422" s="187"/>
      <c r="E422" s="695"/>
      <c r="F422" s="695"/>
      <c r="G422" s="695"/>
      <c r="H422" s="695"/>
      <c r="I422" s="1111"/>
      <c r="J422" s="142"/>
      <c r="K422" s="102"/>
      <c r="L422" s="102"/>
      <c r="M422" s="102"/>
      <c r="N422" s="102"/>
      <c r="O422" s="102"/>
      <c r="P422" s="102"/>
      <c r="Q422" s="102"/>
      <c r="R422" s="102"/>
    </row>
    <row r="423" spans="2:18" s="102" customFormat="1" ht="15.75" thickBot="1" x14ac:dyDescent="0.3">
      <c r="B423" s="131"/>
      <c r="C423" s="289" t="s">
        <v>1973</v>
      </c>
      <c r="D423" s="103" t="s">
        <v>319</v>
      </c>
      <c r="E423" s="103"/>
      <c r="F423" s="103"/>
      <c r="G423" s="103"/>
      <c r="H423" s="103"/>
      <c r="I423" s="131"/>
      <c r="J423" s="142"/>
    </row>
    <row r="424" spans="2:18" s="102" customFormat="1" ht="15.75" thickBot="1" x14ac:dyDescent="0.3">
      <c r="B424" s="343" t="s">
        <v>0</v>
      </c>
      <c r="C424" s="1445" t="s">
        <v>1</v>
      </c>
      <c r="D424" s="344" t="s">
        <v>842</v>
      </c>
      <c r="E424" s="344" t="s">
        <v>473</v>
      </c>
      <c r="F424" s="344" t="s">
        <v>474</v>
      </c>
      <c r="G424" s="344" t="s">
        <v>2</v>
      </c>
      <c r="H424" s="344" t="s">
        <v>302</v>
      </c>
      <c r="I424" s="1445" t="s">
        <v>116</v>
      </c>
      <c r="J424" s="348" t="s">
        <v>117</v>
      </c>
      <c r="M424" s="102" t="s">
        <v>2934</v>
      </c>
      <c r="N424" s="102" t="s">
        <v>2935</v>
      </c>
    </row>
    <row r="425" spans="2:18" s="102" customFormat="1" ht="18" outlineLevel="1" x14ac:dyDescent="0.25">
      <c r="B425" s="278" t="s">
        <v>4370</v>
      </c>
      <c r="C425" s="1563" t="s">
        <v>883</v>
      </c>
      <c r="D425" s="256">
        <v>1.2</v>
      </c>
      <c r="E425" s="256">
        <v>0</v>
      </c>
      <c r="F425" s="256" t="s">
        <v>1254</v>
      </c>
      <c r="G425" s="349" t="s">
        <v>1891</v>
      </c>
      <c r="H425" s="256">
        <v>1</v>
      </c>
      <c r="I425" s="1563"/>
      <c r="J425" s="1697"/>
      <c r="L425" s="2124" t="s">
        <v>4275</v>
      </c>
      <c r="M425" s="2125">
        <f>A_MP/A_MFe</f>
        <v>0.55463805533172172</v>
      </c>
      <c r="N425" s="2125">
        <f>A_MP/A_MAl</f>
        <v>1.1479629449808202</v>
      </c>
    </row>
    <row r="426" spans="2:18" s="102" customFormat="1" ht="18" outlineLevel="1" x14ac:dyDescent="0.25">
      <c r="B426" s="555" t="s">
        <v>4365</v>
      </c>
      <c r="C426" s="646" t="s">
        <v>884</v>
      </c>
      <c r="D426" s="645">
        <v>0.2</v>
      </c>
      <c r="E426" s="645">
        <v>0</v>
      </c>
      <c r="F426" s="645" t="s">
        <v>1254</v>
      </c>
      <c r="G426" s="645" t="s">
        <v>1891</v>
      </c>
      <c r="H426" s="645">
        <v>1</v>
      </c>
      <c r="I426" s="646"/>
      <c r="J426" s="635"/>
      <c r="L426" s="2124" t="s">
        <v>4278</v>
      </c>
      <c r="M426" s="2125">
        <f>(A_MFe+3*(A_MH+A_MO))/A_MFe</f>
        <v>1.9136363147998925</v>
      </c>
      <c r="N426" s="2125">
        <f>(A_MAl+3*(A_MH+A_MO))/A_MP</f>
        <v>2.5183740837269033</v>
      </c>
    </row>
    <row r="427" spans="2:18" s="102" customFormat="1" ht="18" outlineLevel="1" x14ac:dyDescent="0.25">
      <c r="B427" s="611" t="s">
        <v>2928</v>
      </c>
      <c r="C427" s="702" t="s">
        <v>2929</v>
      </c>
      <c r="D427" s="643">
        <v>8.2900000000000001E-2</v>
      </c>
      <c r="E427" s="643">
        <v>0</v>
      </c>
      <c r="F427" s="643" t="s">
        <v>1254</v>
      </c>
      <c r="G427" s="643" t="s">
        <v>2930</v>
      </c>
      <c r="H427" s="643">
        <v>4</v>
      </c>
      <c r="I427" s="702"/>
      <c r="J427" s="612"/>
      <c r="L427" s="2124" t="s">
        <v>4282</v>
      </c>
      <c r="M427" s="2125">
        <f>(A_MFe+A_MP+4*A_MO)/A_MFe</f>
        <v>2.7006242671680543</v>
      </c>
      <c r="N427" s="2125">
        <f>(A_MAl+A_MP+4*A_MO)/A_MP</f>
        <v>3.9372957476893138</v>
      </c>
      <c r="O427" s="1027"/>
      <c r="P427" s="142"/>
    </row>
    <row r="428" spans="2:18" s="102" customFormat="1" ht="18.75" outlineLevel="1" thickBot="1" x14ac:dyDescent="0.3">
      <c r="B428" s="638" t="s">
        <v>2931</v>
      </c>
      <c r="C428" s="1564" t="s">
        <v>2932</v>
      </c>
      <c r="D428" s="2129">
        <v>0.25286491566808916</v>
      </c>
      <c r="E428" s="644">
        <v>0</v>
      </c>
      <c r="F428" s="644" t="s">
        <v>1254</v>
      </c>
      <c r="G428" s="644" t="s">
        <v>2930</v>
      </c>
      <c r="H428" s="644">
        <v>4</v>
      </c>
      <c r="I428" s="1564"/>
      <c r="J428" s="1641" t="s">
        <v>4543</v>
      </c>
      <c r="L428" s="2124" t="s">
        <v>2936</v>
      </c>
      <c r="M428" s="2125">
        <f>3*(2*A_MH+A_MO)/(2*(A_MFe+3*(A_MH+A_MO)))</f>
        <v>0.25286491566808916</v>
      </c>
      <c r="N428" s="2125">
        <f>3*(2*A_MH+A_MO)/(2*(A_MAl+3*(A_MH+A_MO)))</f>
        <v>0.34643205845069558</v>
      </c>
      <c r="O428" s="2126" t="s">
        <v>2933</v>
      </c>
      <c r="P428" s="2126" t="s">
        <v>2937</v>
      </c>
    </row>
    <row r="429" spans="2:18" ht="15.75" thickBot="1" x14ac:dyDescent="0.3">
      <c r="C429" s="1111"/>
      <c r="D429" s="187"/>
      <c r="E429" s="695"/>
      <c r="F429" s="695"/>
      <c r="G429" s="695"/>
      <c r="H429" s="695"/>
      <c r="I429" s="1111"/>
      <c r="J429" s="142"/>
      <c r="K429" s="102"/>
      <c r="L429" s="2124" t="s">
        <v>2936</v>
      </c>
      <c r="M429" s="2127">
        <v>0.17</v>
      </c>
      <c r="N429" s="2128">
        <f>M429*(A_MFe+3*A_MH+3*A_MO)/(A_MAl+3*A_MH+3*A_MO)</f>
        <v>0.23290478942488754</v>
      </c>
      <c r="O429" s="142" t="s">
        <v>2938</v>
      </c>
      <c r="P429" s="142" t="s">
        <v>2939</v>
      </c>
      <c r="Q429" s="102"/>
      <c r="R429" s="102"/>
    </row>
    <row r="430" spans="2:18" s="102" customFormat="1" ht="15.75" thickBot="1" x14ac:dyDescent="0.3">
      <c r="B430" s="131"/>
      <c r="C430" s="1112" t="s">
        <v>4271</v>
      </c>
      <c r="D430" s="103" t="s">
        <v>319</v>
      </c>
      <c r="E430" s="103"/>
      <c r="F430" s="103"/>
      <c r="G430" s="103"/>
      <c r="H430" s="103"/>
      <c r="I430" s="131"/>
      <c r="J430" s="142"/>
      <c r="L430" s="2124" t="s">
        <v>2936</v>
      </c>
      <c r="M430" s="2128">
        <f>M428-M429</f>
        <v>8.2864915668089151E-2</v>
      </c>
      <c r="N430" s="2128">
        <f>N428-N429</f>
        <v>0.11352726902580804</v>
      </c>
      <c r="O430" s="142" t="s">
        <v>4732</v>
      </c>
    </row>
    <row r="431" spans="2:18" s="102" customFormat="1" ht="15.75" thickBot="1" x14ac:dyDescent="0.3">
      <c r="B431" s="343" t="s">
        <v>0</v>
      </c>
      <c r="C431" s="1445" t="s">
        <v>1</v>
      </c>
      <c r="D431" s="344" t="s">
        <v>842</v>
      </c>
      <c r="E431" s="344" t="s">
        <v>473</v>
      </c>
      <c r="F431" s="344" t="s">
        <v>474</v>
      </c>
      <c r="G431" s="344" t="s">
        <v>2</v>
      </c>
      <c r="H431" s="344" t="s">
        <v>302</v>
      </c>
      <c r="I431" s="1445" t="s">
        <v>116</v>
      </c>
      <c r="J431" s="348" t="s">
        <v>117</v>
      </c>
    </row>
    <row r="432" spans="2:18" s="102" customFormat="1" ht="18" outlineLevel="1" x14ac:dyDescent="0.25">
      <c r="B432" s="1380" t="s">
        <v>4272</v>
      </c>
      <c r="C432" s="1396" t="s">
        <v>4273</v>
      </c>
      <c r="D432" s="1384">
        <v>1</v>
      </c>
      <c r="E432" s="1384">
        <v>0</v>
      </c>
      <c r="F432" s="1384" t="s">
        <v>1254</v>
      </c>
      <c r="G432" s="1384" t="s">
        <v>4274</v>
      </c>
      <c r="H432" s="1384">
        <v>1</v>
      </c>
      <c r="I432" s="1396"/>
      <c r="J432" s="1385"/>
      <c r="O432" s="537"/>
      <c r="P432" s="537"/>
    </row>
    <row r="433" spans="1:16" s="102" customFormat="1" ht="18" outlineLevel="1" x14ac:dyDescent="0.25">
      <c r="B433" s="743" t="s">
        <v>4276</v>
      </c>
      <c r="C433" s="615" t="s">
        <v>4277</v>
      </c>
      <c r="D433" s="1386">
        <v>0.1</v>
      </c>
      <c r="E433" s="1386">
        <v>0</v>
      </c>
      <c r="F433" s="1386" t="s">
        <v>1254</v>
      </c>
      <c r="G433" s="1386" t="s">
        <v>4274</v>
      </c>
      <c r="H433" s="1386">
        <v>1</v>
      </c>
      <c r="I433" s="615"/>
      <c r="J433" s="1387"/>
      <c r="O433" s="537"/>
      <c r="P433" s="537"/>
    </row>
    <row r="434" spans="1:16" s="102" customFormat="1" ht="18" outlineLevel="1" x14ac:dyDescent="0.25">
      <c r="B434" s="1397" t="s">
        <v>4279</v>
      </c>
      <c r="C434" s="1398" t="s">
        <v>4280</v>
      </c>
      <c r="D434" s="2130">
        <v>0.1135</v>
      </c>
      <c r="E434" s="1399">
        <v>0</v>
      </c>
      <c r="F434" s="1399" t="s">
        <v>1254</v>
      </c>
      <c r="G434" s="1399" t="s">
        <v>4281</v>
      </c>
      <c r="H434" s="1399">
        <v>4</v>
      </c>
      <c r="I434" s="1398"/>
      <c r="J434" s="1698"/>
      <c r="O434" s="537"/>
      <c r="P434" s="1400"/>
    </row>
    <row r="435" spans="1:16" s="102" customFormat="1" ht="18.75" outlineLevel="1" thickBot="1" x14ac:dyDescent="0.3">
      <c r="B435" s="1390" t="s">
        <v>4283</v>
      </c>
      <c r="C435" s="1401" t="s">
        <v>4284</v>
      </c>
      <c r="D435" s="2131">
        <v>0.34643205845069558</v>
      </c>
      <c r="E435" s="1394">
        <v>0</v>
      </c>
      <c r="F435" s="1394" t="s">
        <v>1254</v>
      </c>
      <c r="G435" s="1394" t="s">
        <v>4281</v>
      </c>
      <c r="H435" s="1394">
        <v>4</v>
      </c>
      <c r="I435" s="1401"/>
      <c r="J435" s="1395" t="s">
        <v>4285</v>
      </c>
      <c r="O435" s="1402"/>
      <c r="P435" s="1400"/>
    </row>
    <row r="436" spans="1:16" s="102" customFormat="1" ht="15.75" thickBot="1" x14ac:dyDescent="0.3">
      <c r="B436" s="138"/>
      <c r="C436" s="1111"/>
      <c r="D436" s="104"/>
      <c r="E436" s="695"/>
      <c r="F436" s="695"/>
      <c r="G436" s="695"/>
      <c r="H436" s="695"/>
      <c r="I436" s="1111"/>
      <c r="J436" s="142"/>
    </row>
    <row r="437" spans="1:16" s="102" customFormat="1" ht="15.75" thickBot="1" x14ac:dyDescent="0.3">
      <c r="B437" s="131"/>
      <c r="C437" s="289" t="s">
        <v>1253</v>
      </c>
      <c r="D437" s="103" t="s">
        <v>303</v>
      </c>
      <c r="E437" s="103"/>
      <c r="F437" s="103"/>
      <c r="G437" s="103"/>
      <c r="H437" s="103"/>
      <c r="I437" s="131"/>
      <c r="J437" s="142"/>
    </row>
    <row r="438" spans="1:16" s="102" customFormat="1" ht="15.75" thickBot="1" x14ac:dyDescent="0.3">
      <c r="B438" s="1565" t="s">
        <v>0</v>
      </c>
      <c r="C438" s="1566" t="s">
        <v>1</v>
      </c>
      <c r="D438" s="345" t="s">
        <v>842</v>
      </c>
      <c r="E438" s="345" t="s">
        <v>473</v>
      </c>
      <c r="F438" s="345" t="s">
        <v>474</v>
      </c>
      <c r="G438" s="345" t="s">
        <v>2</v>
      </c>
      <c r="H438" s="345" t="s">
        <v>302</v>
      </c>
      <c r="I438" s="1566" t="s">
        <v>116</v>
      </c>
      <c r="J438" s="1699" t="s">
        <v>117</v>
      </c>
    </row>
    <row r="439" spans="1:16" s="102" customFormat="1" ht="18" outlineLevel="1" x14ac:dyDescent="0.35">
      <c r="B439" s="1166" t="s">
        <v>3761</v>
      </c>
      <c r="C439" s="1167" t="s">
        <v>3759</v>
      </c>
      <c r="D439" s="1168">
        <v>13</v>
      </c>
      <c r="E439" s="1168">
        <v>0</v>
      </c>
      <c r="F439" s="1168" t="s">
        <v>1254</v>
      </c>
      <c r="G439" s="1168" t="s">
        <v>3465</v>
      </c>
      <c r="H439" s="1168">
        <v>2</v>
      </c>
      <c r="I439" s="1167"/>
      <c r="J439" s="1700"/>
    </row>
    <row r="440" spans="1:16" s="102" customFormat="1" ht="18" outlineLevel="1" x14ac:dyDescent="0.35">
      <c r="B440" s="1169" t="s">
        <v>3762</v>
      </c>
      <c r="C440" s="510" t="s">
        <v>3760</v>
      </c>
      <c r="D440" s="514">
        <v>7.6</v>
      </c>
      <c r="E440" s="514">
        <v>0</v>
      </c>
      <c r="F440" s="514" t="s">
        <v>1254</v>
      </c>
      <c r="G440" s="514" t="s">
        <v>3465</v>
      </c>
      <c r="H440" s="514">
        <v>2</v>
      </c>
      <c r="I440" s="510"/>
      <c r="J440" s="1701"/>
    </row>
    <row r="441" spans="1:16" s="102" customFormat="1" ht="18" outlineLevel="1" x14ac:dyDescent="0.35">
      <c r="A441" s="102" t="s">
        <v>3754</v>
      </c>
      <c r="B441" s="2243" t="s">
        <v>4822</v>
      </c>
      <c r="C441" s="2153" t="s">
        <v>4823</v>
      </c>
      <c r="D441" s="2244">
        <f>7.6 * 0.03</f>
        <v>0.22799999999999998</v>
      </c>
      <c r="E441" s="2244">
        <v>0</v>
      </c>
      <c r="F441" s="2244" t="s">
        <v>1254</v>
      </c>
      <c r="G441" s="2244" t="s">
        <v>3465</v>
      </c>
      <c r="H441" s="2244">
        <v>2</v>
      </c>
      <c r="I441" s="983"/>
      <c r="J441" s="1681"/>
    </row>
    <row r="442" spans="1:16" s="102" customFormat="1" ht="18" outlineLevel="1" x14ac:dyDescent="0.25">
      <c r="B442" s="982" t="s">
        <v>3516</v>
      </c>
      <c r="C442" s="983" t="s">
        <v>2594</v>
      </c>
      <c r="D442" s="741">
        <v>1</v>
      </c>
      <c r="E442" s="741">
        <v>0</v>
      </c>
      <c r="F442" s="741" t="s">
        <v>1254</v>
      </c>
      <c r="G442" s="741" t="s">
        <v>282</v>
      </c>
      <c r="H442" s="741">
        <v>2</v>
      </c>
      <c r="I442" s="983"/>
      <c r="J442" s="1681"/>
    </row>
    <row r="443" spans="1:16" s="102" customFormat="1" ht="18" outlineLevel="1" x14ac:dyDescent="0.25">
      <c r="B443" s="984" t="s">
        <v>3517</v>
      </c>
      <c r="C443" s="510" t="s">
        <v>2595</v>
      </c>
      <c r="D443" s="514">
        <v>1</v>
      </c>
      <c r="E443" s="741">
        <v>0</v>
      </c>
      <c r="F443" s="741" t="s">
        <v>1254</v>
      </c>
      <c r="G443" s="514" t="s">
        <v>282</v>
      </c>
      <c r="H443" s="514">
        <v>2</v>
      </c>
      <c r="I443" s="510"/>
      <c r="J443" s="1701"/>
    </row>
    <row r="444" spans="1:16" s="102" customFormat="1" ht="18" outlineLevel="1" x14ac:dyDescent="0.25">
      <c r="B444" s="984" t="s">
        <v>3518</v>
      </c>
      <c r="C444" s="510" t="s">
        <v>2596</v>
      </c>
      <c r="D444" s="514">
        <v>1</v>
      </c>
      <c r="E444" s="741">
        <v>0</v>
      </c>
      <c r="F444" s="741" t="s">
        <v>1254</v>
      </c>
      <c r="G444" s="514" t="s">
        <v>282</v>
      </c>
      <c r="H444" s="514">
        <v>2</v>
      </c>
      <c r="I444" s="510"/>
      <c r="J444" s="1701"/>
    </row>
    <row r="445" spans="1:16" s="102" customFormat="1" ht="18" outlineLevel="1" x14ac:dyDescent="0.25">
      <c r="B445" s="984" t="s">
        <v>3519</v>
      </c>
      <c r="C445" s="510" t="s">
        <v>2597</v>
      </c>
      <c r="D445" s="514">
        <v>1</v>
      </c>
      <c r="E445" s="741">
        <v>0</v>
      </c>
      <c r="F445" s="741" t="s">
        <v>1254</v>
      </c>
      <c r="G445" s="514" t="s">
        <v>282</v>
      </c>
      <c r="H445" s="514">
        <v>2</v>
      </c>
      <c r="I445" s="510"/>
      <c r="J445" s="1701"/>
    </row>
    <row r="446" spans="1:16" s="102" customFormat="1" ht="18" outlineLevel="1" x14ac:dyDescent="0.25">
      <c r="B446" s="1254" t="s">
        <v>3520</v>
      </c>
      <c r="C446" s="1255" t="s">
        <v>2598</v>
      </c>
      <c r="D446" s="1256">
        <v>0.05</v>
      </c>
      <c r="E446" s="1257">
        <v>0</v>
      </c>
      <c r="F446" s="1256" t="s">
        <v>1254</v>
      </c>
      <c r="G446" s="1256" t="s">
        <v>282</v>
      </c>
      <c r="H446" s="1256">
        <v>2</v>
      </c>
      <c r="I446" s="1255"/>
      <c r="J446" s="1702" t="s">
        <v>3521</v>
      </c>
    </row>
    <row r="447" spans="1:16" ht="18" outlineLevel="1" x14ac:dyDescent="0.25">
      <c r="B447" s="2043" t="s">
        <v>3920</v>
      </c>
      <c r="C447" s="2035" t="s">
        <v>4697</v>
      </c>
      <c r="D447" s="2036">
        <v>1.4E-3</v>
      </c>
      <c r="E447" s="2036">
        <v>0</v>
      </c>
      <c r="F447" s="2036" t="s">
        <v>1254</v>
      </c>
      <c r="G447" s="2036" t="s">
        <v>3921</v>
      </c>
      <c r="H447" s="2036">
        <v>4</v>
      </c>
      <c r="I447" s="2036"/>
      <c r="J447" s="2037"/>
    </row>
    <row r="448" spans="1:16" ht="18" outlineLevel="1" x14ac:dyDescent="0.25">
      <c r="B448" s="2043" t="s">
        <v>3922</v>
      </c>
      <c r="C448" s="2035" t="s">
        <v>4700</v>
      </c>
      <c r="D448" s="2036">
        <v>1</v>
      </c>
      <c r="E448" s="2036">
        <v>0</v>
      </c>
      <c r="F448" s="2036">
        <v>1</v>
      </c>
      <c r="G448" s="2036" t="s">
        <v>1976</v>
      </c>
      <c r="H448" s="2036">
        <v>1</v>
      </c>
      <c r="I448" s="2036"/>
      <c r="J448" s="2037"/>
    </row>
    <row r="449" spans="2:10" ht="18" outlineLevel="1" x14ac:dyDescent="0.25">
      <c r="B449" s="2043" t="s">
        <v>4698</v>
      </c>
      <c r="C449" s="2035" t="s">
        <v>4695</v>
      </c>
      <c r="D449" s="2036">
        <v>0.05</v>
      </c>
      <c r="E449" s="2036">
        <v>0</v>
      </c>
      <c r="F449" s="2036" t="s">
        <v>1254</v>
      </c>
      <c r="G449" s="2038" t="s">
        <v>2147</v>
      </c>
      <c r="H449" s="2036">
        <v>2</v>
      </c>
      <c r="I449" s="2036"/>
      <c r="J449" s="2037"/>
    </row>
    <row r="450" spans="2:10" ht="18" outlineLevel="1" x14ac:dyDescent="0.25">
      <c r="B450" s="2043" t="s">
        <v>4699</v>
      </c>
      <c r="C450" s="2035" t="s">
        <v>4696</v>
      </c>
      <c r="D450" s="2036">
        <v>2.5</v>
      </c>
      <c r="E450" s="2036">
        <v>0</v>
      </c>
      <c r="F450" s="2036" t="s">
        <v>1254</v>
      </c>
      <c r="G450" s="2036" t="s">
        <v>1976</v>
      </c>
      <c r="H450" s="2036">
        <v>1</v>
      </c>
      <c r="I450" s="2036"/>
      <c r="J450" s="2037"/>
    </row>
    <row r="451" spans="2:10" ht="18" outlineLevel="1" x14ac:dyDescent="0.25">
      <c r="B451" s="2043" t="s">
        <v>3923</v>
      </c>
      <c r="C451" s="2035" t="s">
        <v>4693</v>
      </c>
      <c r="D451" s="2036">
        <v>4.2</v>
      </c>
      <c r="E451" s="2036">
        <v>0</v>
      </c>
      <c r="F451" s="2036" t="s">
        <v>1254</v>
      </c>
      <c r="G451" s="2036" t="s">
        <v>1976</v>
      </c>
      <c r="H451" s="2036">
        <v>1</v>
      </c>
      <c r="I451" s="2036"/>
      <c r="J451" s="2037"/>
    </row>
    <row r="452" spans="2:10" ht="18" outlineLevel="1" x14ac:dyDescent="0.25">
      <c r="B452" s="2043" t="s">
        <v>3924</v>
      </c>
      <c r="C452" s="2035" t="s">
        <v>4694</v>
      </c>
      <c r="D452" s="2036">
        <v>7.3</v>
      </c>
      <c r="E452" s="2036">
        <v>0</v>
      </c>
      <c r="F452" s="2036" t="s">
        <v>1254</v>
      </c>
      <c r="G452" s="2036" t="s">
        <v>1976</v>
      </c>
      <c r="H452" s="2036">
        <v>1</v>
      </c>
      <c r="I452" s="2036"/>
      <c r="J452" s="2037"/>
    </row>
    <row r="453" spans="2:10" ht="18" outlineLevel="1" x14ac:dyDescent="0.25">
      <c r="B453" s="2043" t="s">
        <v>4682</v>
      </c>
      <c r="C453" s="2035" t="s">
        <v>4683</v>
      </c>
      <c r="D453" s="2036">
        <v>-0.28999999999999998</v>
      </c>
      <c r="E453" s="2039" t="s">
        <v>2162</v>
      </c>
      <c r="F453" s="2036" t="s">
        <v>1254</v>
      </c>
      <c r="G453" s="2036" t="s">
        <v>4684</v>
      </c>
      <c r="H453" s="2036">
        <v>2</v>
      </c>
      <c r="I453" s="2036"/>
      <c r="J453" s="2037"/>
    </row>
    <row r="454" spans="2:10" ht="18" outlineLevel="1" x14ac:dyDescent="0.25">
      <c r="B454" s="2043" t="s">
        <v>3925</v>
      </c>
      <c r="C454" s="2035" t="s">
        <v>4685</v>
      </c>
      <c r="D454" s="2036">
        <v>-7.1099999999999997E-2</v>
      </c>
      <c r="E454" s="2039" t="s">
        <v>2162</v>
      </c>
      <c r="F454" s="2036" t="s">
        <v>1254</v>
      </c>
      <c r="G454" s="2036" t="s">
        <v>4686</v>
      </c>
      <c r="H454" s="2036">
        <v>4</v>
      </c>
      <c r="I454" s="2036"/>
      <c r="J454" s="2037"/>
    </row>
    <row r="455" spans="2:10" ht="18" outlineLevel="1" x14ac:dyDescent="0.25">
      <c r="B455" s="2043" t="s">
        <v>3926</v>
      </c>
      <c r="C455" s="2035" t="s">
        <v>4687</v>
      </c>
      <c r="D455" s="2036">
        <v>-4.7399999999999998E-2</v>
      </c>
      <c r="E455" s="2039" t="s">
        <v>2162</v>
      </c>
      <c r="F455" s="2036" t="s">
        <v>1254</v>
      </c>
      <c r="G455" s="2036" t="s">
        <v>4688</v>
      </c>
      <c r="H455" s="2036">
        <v>4</v>
      </c>
      <c r="I455" s="2036"/>
      <c r="J455" s="2037"/>
    </row>
    <row r="456" spans="2:10" ht="18" outlineLevel="1" x14ac:dyDescent="0.25">
      <c r="B456" s="2043" t="s">
        <v>3927</v>
      </c>
      <c r="C456" s="2035" t="s">
        <v>4689</v>
      </c>
      <c r="D456" s="2036">
        <v>-7.8700000000000005E-4</v>
      </c>
      <c r="E456" s="2039" t="s">
        <v>2162</v>
      </c>
      <c r="F456" s="2036" t="s">
        <v>1254</v>
      </c>
      <c r="G456" s="2036" t="s">
        <v>4690</v>
      </c>
      <c r="H456" s="2036">
        <v>6</v>
      </c>
      <c r="I456" s="2036"/>
      <c r="J456" s="2037"/>
    </row>
    <row r="457" spans="2:10" ht="18" outlineLevel="1" x14ac:dyDescent="0.25">
      <c r="B457" s="2043" t="s">
        <v>3928</v>
      </c>
      <c r="C457" s="2035" t="s">
        <v>4691</v>
      </c>
      <c r="D457" s="2036">
        <v>2.3199999999999998E-2</v>
      </c>
      <c r="E457" s="2039" t="s">
        <v>2162</v>
      </c>
      <c r="F457" s="2036" t="s">
        <v>1254</v>
      </c>
      <c r="G457" s="2036" t="s">
        <v>4688</v>
      </c>
      <c r="H457" s="2036">
        <v>4</v>
      </c>
      <c r="I457" s="2036"/>
      <c r="J457" s="2037"/>
    </row>
    <row r="458" spans="2:10" ht="18.75" outlineLevel="1" thickBot="1" x14ac:dyDescent="0.3">
      <c r="B458" s="2044" t="s">
        <v>3929</v>
      </c>
      <c r="C458" s="2040" t="s">
        <v>4692</v>
      </c>
      <c r="D458" s="2041">
        <v>0.877</v>
      </c>
      <c r="E458" s="2041">
        <v>0</v>
      </c>
      <c r="F458" s="2041" t="s">
        <v>1254</v>
      </c>
      <c r="G458" s="2041" t="s">
        <v>1976</v>
      </c>
      <c r="H458" s="2041">
        <v>3</v>
      </c>
      <c r="I458" s="2041"/>
      <c r="J458" s="2042"/>
    </row>
    <row r="459" spans="2:10" ht="15.75" thickBot="1" x14ac:dyDescent="0.3">
      <c r="B459" s="103"/>
      <c r="C459" s="1441"/>
      <c r="I459" s="103"/>
      <c r="J459" s="103"/>
    </row>
    <row r="460" spans="2:10" ht="15.75" thickBot="1" x14ac:dyDescent="0.3">
      <c r="C460" s="497" t="s">
        <v>2122</v>
      </c>
      <c r="D460" s="103" t="s">
        <v>303</v>
      </c>
      <c r="J460" s="142"/>
    </row>
    <row r="461" spans="2:10" s="102" customFormat="1" ht="15.75" thickBot="1" x14ac:dyDescent="0.3">
      <c r="B461" s="343" t="s">
        <v>0</v>
      </c>
      <c r="C461" s="1445" t="s">
        <v>1</v>
      </c>
      <c r="D461" s="344" t="s">
        <v>842</v>
      </c>
      <c r="E461" s="344" t="s">
        <v>473</v>
      </c>
      <c r="F461" s="344" t="s">
        <v>474</v>
      </c>
      <c r="G461" s="344" t="s">
        <v>2</v>
      </c>
      <c r="H461" s="344" t="s">
        <v>302</v>
      </c>
      <c r="I461" s="1445" t="s">
        <v>116</v>
      </c>
      <c r="J461" s="348" t="s">
        <v>117</v>
      </c>
    </row>
    <row r="462" spans="2:10" ht="18" outlineLevel="1" x14ac:dyDescent="0.25">
      <c r="B462" s="885" t="s">
        <v>2123</v>
      </c>
      <c r="C462" s="1567" t="s">
        <v>2124</v>
      </c>
      <c r="D462" s="512">
        <v>-300</v>
      </c>
      <c r="E462" s="512" t="s">
        <v>2162</v>
      </c>
      <c r="F462" s="512" t="s">
        <v>1254</v>
      </c>
      <c r="G462" s="512" t="s">
        <v>2125</v>
      </c>
      <c r="H462" s="512">
        <v>1</v>
      </c>
      <c r="I462" s="1567"/>
      <c r="J462" s="1703"/>
    </row>
    <row r="463" spans="2:10" ht="18" outlineLevel="1" x14ac:dyDescent="0.25">
      <c r="B463" s="136" t="s">
        <v>2152</v>
      </c>
      <c r="C463" s="83" t="s">
        <v>2153</v>
      </c>
      <c r="D463" s="477">
        <v>300</v>
      </c>
      <c r="E463" s="477">
        <v>0</v>
      </c>
      <c r="F463" s="477" t="s">
        <v>1254</v>
      </c>
      <c r="G463" s="477" t="s">
        <v>2125</v>
      </c>
      <c r="H463" s="477">
        <v>1</v>
      </c>
      <c r="I463" s="83"/>
      <c r="J463" s="417"/>
    </row>
    <row r="464" spans="2:10" ht="18" outlineLevel="1" x14ac:dyDescent="0.25">
      <c r="B464" s="136" t="s">
        <v>2154</v>
      </c>
      <c r="C464" s="83" t="s">
        <v>2155</v>
      </c>
      <c r="D464" s="477">
        <v>70</v>
      </c>
      <c r="E464" s="477">
        <v>0</v>
      </c>
      <c r="F464" s="477" t="s">
        <v>1254</v>
      </c>
      <c r="G464" s="477" t="s">
        <v>2125</v>
      </c>
      <c r="H464" s="477">
        <v>1</v>
      </c>
      <c r="I464" s="83"/>
      <c r="J464" s="417"/>
    </row>
    <row r="465" spans="1:16" ht="18" outlineLevel="1" x14ac:dyDescent="0.25">
      <c r="B465" s="136" t="s">
        <v>2126</v>
      </c>
      <c r="C465" s="83" t="s">
        <v>2127</v>
      </c>
      <c r="D465" s="477">
        <v>0.05</v>
      </c>
      <c r="E465" s="477">
        <v>0</v>
      </c>
      <c r="F465" s="477" t="s">
        <v>1254</v>
      </c>
      <c r="G465" s="477" t="s">
        <v>2147</v>
      </c>
      <c r="H465" s="477">
        <v>2</v>
      </c>
      <c r="I465" s="83"/>
      <c r="J465" s="417"/>
    </row>
    <row r="466" spans="1:16" ht="18" outlineLevel="1" x14ac:dyDescent="0.25">
      <c r="B466" s="136" t="s">
        <v>2128</v>
      </c>
      <c r="C466" s="83" t="s">
        <v>2129</v>
      </c>
      <c r="D466" s="477">
        <v>0.1</v>
      </c>
      <c r="E466" s="477">
        <v>0</v>
      </c>
      <c r="F466" s="477" t="s">
        <v>1254</v>
      </c>
      <c r="G466" s="477" t="s">
        <v>886</v>
      </c>
      <c r="H466" s="477">
        <v>2</v>
      </c>
      <c r="I466" s="83"/>
      <c r="J466" s="417"/>
    </row>
    <row r="467" spans="1:16" ht="18.75" outlineLevel="1" thickBot="1" x14ac:dyDescent="0.3">
      <c r="B467" s="2640" t="s">
        <v>5405</v>
      </c>
      <c r="C467" s="2618" t="s">
        <v>5406</v>
      </c>
      <c r="D467" s="2641">
        <v>0.05</v>
      </c>
      <c r="E467" s="2641">
        <v>0</v>
      </c>
      <c r="F467" s="2641" t="s">
        <v>1254</v>
      </c>
      <c r="G467" s="2641" t="s">
        <v>1181</v>
      </c>
      <c r="H467" s="2641"/>
      <c r="I467" s="2618"/>
      <c r="J467" s="2642"/>
    </row>
    <row r="468" spans="1:16" ht="15.75" thickBot="1" x14ac:dyDescent="0.3"/>
    <row r="469" spans="1:16" ht="15.75" thickBot="1" x14ac:dyDescent="0.3">
      <c r="A469"/>
      <c r="B469" s="69"/>
      <c r="C469" s="1568" t="s">
        <v>3197</v>
      </c>
      <c r="D469" s="103" t="s">
        <v>303</v>
      </c>
      <c r="E469" s="148"/>
      <c r="F469" s="148"/>
      <c r="G469" s="148"/>
      <c r="H469" s="148"/>
      <c r="I469" s="69"/>
      <c r="J469" s="69"/>
      <c r="K469"/>
      <c r="L469"/>
      <c r="M469"/>
      <c r="N469"/>
      <c r="O469"/>
      <c r="P469"/>
    </row>
    <row r="470" spans="1:16" s="102" customFormat="1" ht="15.75" thickBot="1" x14ac:dyDescent="0.3">
      <c r="B470" s="343" t="s">
        <v>0</v>
      </c>
      <c r="C470" s="1445" t="s">
        <v>1</v>
      </c>
      <c r="D470" s="344" t="s">
        <v>842</v>
      </c>
      <c r="E470" s="344" t="s">
        <v>473</v>
      </c>
      <c r="F470" s="344" t="s">
        <v>474</v>
      </c>
      <c r="G470" s="344" t="s">
        <v>2</v>
      </c>
      <c r="H470" s="344" t="s">
        <v>302</v>
      </c>
      <c r="I470" s="1445" t="s">
        <v>116</v>
      </c>
      <c r="J470" s="348" t="s">
        <v>117</v>
      </c>
    </row>
    <row r="471" spans="1:16" ht="18" outlineLevel="1" x14ac:dyDescent="0.25">
      <c r="B471" s="555" t="s">
        <v>3243</v>
      </c>
      <c r="C471" s="1143" t="s">
        <v>3244</v>
      </c>
      <c r="D471" s="919">
        <v>0.5</v>
      </c>
      <c r="E471" s="919">
        <v>0</v>
      </c>
      <c r="F471" s="919" t="s">
        <v>1254</v>
      </c>
      <c r="G471" s="919" t="s">
        <v>1180</v>
      </c>
      <c r="H471" s="919">
        <v>2</v>
      </c>
      <c r="I471" s="1143"/>
      <c r="J471" s="1165"/>
    </row>
    <row r="472" spans="1:16" ht="18" outlineLevel="1" x14ac:dyDescent="0.25">
      <c r="B472" s="555" t="s">
        <v>3547</v>
      </c>
      <c r="C472" s="1143" t="s">
        <v>3548</v>
      </c>
      <c r="D472" s="919">
        <v>1E-3</v>
      </c>
      <c r="E472" s="919">
        <v>0</v>
      </c>
      <c r="F472" s="919" t="s">
        <v>1254</v>
      </c>
      <c r="G472" s="919" t="s">
        <v>1180</v>
      </c>
      <c r="H472" s="919">
        <v>2</v>
      </c>
      <c r="I472" s="1143"/>
      <c r="J472" s="1165"/>
    </row>
    <row r="473" spans="1:16" ht="18" outlineLevel="1" x14ac:dyDescent="0.25">
      <c r="B473" s="555" t="s">
        <v>3267</v>
      </c>
      <c r="C473" s="1143" t="s">
        <v>3265</v>
      </c>
      <c r="D473" s="919">
        <v>0.1</v>
      </c>
      <c r="E473" s="919">
        <v>0</v>
      </c>
      <c r="F473" s="919" t="s">
        <v>1254</v>
      </c>
      <c r="G473" s="919" t="s">
        <v>886</v>
      </c>
      <c r="H473" s="919">
        <v>2</v>
      </c>
      <c r="I473" s="1143"/>
      <c r="J473" s="1165"/>
    </row>
    <row r="474" spans="1:16" ht="18" outlineLevel="1" x14ac:dyDescent="0.25">
      <c r="B474" s="555" t="s">
        <v>3268</v>
      </c>
      <c r="C474" s="1143" t="s">
        <v>3266</v>
      </c>
      <c r="D474" s="919">
        <v>0.05</v>
      </c>
      <c r="E474" s="919">
        <v>0</v>
      </c>
      <c r="F474" s="919" t="s">
        <v>1254</v>
      </c>
      <c r="G474" s="919" t="s">
        <v>886</v>
      </c>
      <c r="H474" s="919">
        <v>2</v>
      </c>
      <c r="I474" s="1143"/>
      <c r="J474" s="1165"/>
    </row>
    <row r="475" spans="1:16" ht="18" outlineLevel="1" x14ac:dyDescent="0.25">
      <c r="B475" s="555" t="s">
        <v>3269</v>
      </c>
      <c r="C475" s="1143" t="s">
        <v>3115</v>
      </c>
      <c r="D475" s="919">
        <v>0.75</v>
      </c>
      <c r="E475" s="919">
        <v>0</v>
      </c>
      <c r="F475" s="919" t="s">
        <v>1254</v>
      </c>
      <c r="G475" s="919" t="s">
        <v>1976</v>
      </c>
      <c r="H475" s="919">
        <v>2</v>
      </c>
      <c r="I475" s="1143"/>
      <c r="J475" s="1165"/>
    </row>
    <row r="476" spans="1:16" ht="18.75" outlineLevel="1" thickBot="1" x14ac:dyDescent="0.3">
      <c r="B476" s="638" t="s">
        <v>3270</v>
      </c>
      <c r="C476" s="649" t="s">
        <v>3116</v>
      </c>
      <c r="D476" s="650">
        <v>0.5</v>
      </c>
      <c r="E476" s="650">
        <v>0</v>
      </c>
      <c r="F476" s="650" t="s">
        <v>1254</v>
      </c>
      <c r="G476" s="650" t="s">
        <v>1976</v>
      </c>
      <c r="H476" s="650">
        <v>2</v>
      </c>
      <c r="I476" s="649"/>
      <c r="J476" s="1641"/>
    </row>
    <row r="477" spans="1:16" ht="15.75" thickBot="1" x14ac:dyDescent="0.3"/>
    <row r="478" spans="1:16" ht="15.75" thickBot="1" x14ac:dyDescent="0.3">
      <c r="A478" s="102"/>
      <c r="C478" s="1112" t="s">
        <v>4981</v>
      </c>
      <c r="D478" s="103" t="s">
        <v>321</v>
      </c>
      <c r="J478" s="142"/>
    </row>
    <row r="479" spans="1:16" s="102" customFormat="1" ht="15.75" thickBot="1" x14ac:dyDescent="0.3">
      <c r="B479" s="2327" t="s">
        <v>0</v>
      </c>
      <c r="C479" s="2328" t="s">
        <v>1</v>
      </c>
      <c r="D479" s="2329" t="s">
        <v>842</v>
      </c>
      <c r="E479" s="2329" t="s">
        <v>473</v>
      </c>
      <c r="F479" s="2329" t="s">
        <v>474</v>
      </c>
      <c r="G479" s="2329" t="s">
        <v>2</v>
      </c>
      <c r="H479" s="2329" t="s">
        <v>302</v>
      </c>
      <c r="I479" s="2328" t="s">
        <v>116</v>
      </c>
      <c r="J479" s="2330" t="s">
        <v>117</v>
      </c>
    </row>
    <row r="480" spans="1:16" s="131" customFormat="1" ht="18.75" outlineLevel="1" thickBot="1" x14ac:dyDescent="0.3">
      <c r="B480" s="2331" t="s">
        <v>3600</v>
      </c>
      <c r="C480" s="2332" t="s">
        <v>3601</v>
      </c>
      <c r="D480" s="2333">
        <v>7</v>
      </c>
      <c r="E480" s="2334">
        <v>0</v>
      </c>
      <c r="F480" s="2334">
        <v>14</v>
      </c>
      <c r="G480" s="2333" t="s">
        <v>381</v>
      </c>
      <c r="H480" s="2335">
        <v>1</v>
      </c>
      <c r="I480" s="2332"/>
      <c r="J480" s="2336" t="s">
        <v>4982</v>
      </c>
    </row>
    <row r="481" spans="1:10" s="131" customFormat="1" ht="18" outlineLevel="1" x14ac:dyDescent="0.25">
      <c r="B481" s="2331" t="s">
        <v>4418</v>
      </c>
      <c r="C481" s="2332" t="s">
        <v>4423</v>
      </c>
      <c r="D481" s="2333">
        <v>0.02</v>
      </c>
      <c r="E481" s="2334">
        <v>0</v>
      </c>
      <c r="F481" s="2334" t="s">
        <v>1254</v>
      </c>
      <c r="G481" s="2333" t="s">
        <v>384</v>
      </c>
      <c r="H481" s="2335">
        <v>1</v>
      </c>
      <c r="I481" s="2332"/>
      <c r="J481" s="2336" t="s">
        <v>4983</v>
      </c>
    </row>
    <row r="482" spans="1:10" s="131" customFormat="1" ht="18" outlineLevel="1" x14ac:dyDescent="0.25">
      <c r="B482" s="2337" t="s">
        <v>4419</v>
      </c>
      <c r="C482" s="2338" t="s">
        <v>4424</v>
      </c>
      <c r="D482" s="2339">
        <v>0.1</v>
      </c>
      <c r="E482" s="2340">
        <v>0</v>
      </c>
      <c r="F482" s="2340" t="s">
        <v>1254</v>
      </c>
      <c r="G482" s="2339" t="s">
        <v>384</v>
      </c>
      <c r="H482" s="2341">
        <v>1</v>
      </c>
      <c r="I482" s="2338"/>
      <c r="J482" s="2342" t="s">
        <v>4983</v>
      </c>
    </row>
    <row r="483" spans="1:10" s="131" customFormat="1" ht="18.75" outlineLevel="1" thickBot="1" x14ac:dyDescent="0.3">
      <c r="B483" s="2343" t="s">
        <v>4421</v>
      </c>
      <c r="C483" s="2344" t="s">
        <v>4422</v>
      </c>
      <c r="D483" s="2345">
        <v>0.1</v>
      </c>
      <c r="E483" s="2346">
        <v>0</v>
      </c>
      <c r="F483" s="2346" t="s">
        <v>1254</v>
      </c>
      <c r="G483" s="2345" t="s">
        <v>384</v>
      </c>
      <c r="H483" s="2347">
        <v>1</v>
      </c>
      <c r="I483" s="2344"/>
      <c r="J483" s="2348" t="s">
        <v>4983</v>
      </c>
    </row>
    <row r="484" spans="1:10" s="131" customFormat="1" ht="18" outlineLevel="1" x14ac:dyDescent="0.25">
      <c r="B484" s="2349" t="s">
        <v>1862</v>
      </c>
      <c r="C484" s="2350" t="s">
        <v>3804</v>
      </c>
      <c r="D484" s="2351">
        <v>0.2</v>
      </c>
      <c r="E484" s="2352">
        <v>0</v>
      </c>
      <c r="F484" s="2352">
        <v>1</v>
      </c>
      <c r="G484" s="2351" t="s">
        <v>384</v>
      </c>
      <c r="H484" s="2353">
        <v>3</v>
      </c>
      <c r="I484" s="2350"/>
      <c r="J484" s="2354" t="s">
        <v>1863</v>
      </c>
    </row>
    <row r="485" spans="1:10" s="131" customFormat="1" ht="18.75" outlineLevel="1" thickBot="1" x14ac:dyDescent="0.3">
      <c r="B485" s="2355" t="s">
        <v>3524</v>
      </c>
      <c r="C485" s="2204" t="s">
        <v>3525</v>
      </c>
      <c r="D485" s="2356">
        <v>-1E-3</v>
      </c>
      <c r="E485" s="2357" t="s">
        <v>2162</v>
      </c>
      <c r="F485" s="2357" t="s">
        <v>1254</v>
      </c>
      <c r="G485" s="2356" t="s">
        <v>1976</v>
      </c>
      <c r="H485" s="2358">
        <v>3</v>
      </c>
      <c r="I485" s="2204"/>
      <c r="J485" s="2359"/>
    </row>
    <row r="486" spans="1:10" ht="15.75" thickBot="1" x14ac:dyDescent="0.3">
      <c r="B486" s="549"/>
      <c r="C486" s="549"/>
    </row>
    <row r="487" spans="1:10" ht="15.75" thickBot="1" x14ac:dyDescent="0.3">
      <c r="A487" s="102"/>
      <c r="C487" s="1246" t="s">
        <v>4198</v>
      </c>
      <c r="D487" s="103" t="s">
        <v>321</v>
      </c>
      <c r="J487" s="142"/>
    </row>
    <row r="488" spans="1:10" s="102" customFormat="1" ht="15.75" thickBot="1" x14ac:dyDescent="0.3">
      <c r="B488" s="343" t="s">
        <v>0</v>
      </c>
      <c r="C488" s="1445" t="s">
        <v>1</v>
      </c>
      <c r="D488" s="344" t="s">
        <v>842</v>
      </c>
      <c r="E488" s="344" t="s">
        <v>473</v>
      </c>
      <c r="F488" s="344" t="s">
        <v>474</v>
      </c>
      <c r="G488" s="344" t="s">
        <v>2</v>
      </c>
      <c r="H488" s="344" t="s">
        <v>302</v>
      </c>
      <c r="I488" s="1445" t="s">
        <v>116</v>
      </c>
      <c r="J488" s="348" t="s">
        <v>117</v>
      </c>
    </row>
    <row r="489" spans="1:10" s="131" customFormat="1" ht="18" outlineLevel="1" x14ac:dyDescent="0.25">
      <c r="B489" s="1330" t="s">
        <v>4199</v>
      </c>
      <c r="C489" s="1714" t="s">
        <v>4783</v>
      </c>
      <c r="D489" s="1332">
        <v>0.33444800000000002</v>
      </c>
      <c r="E489" s="1333" t="s">
        <v>2162</v>
      </c>
      <c r="F489" s="1333" t="s">
        <v>1254</v>
      </c>
      <c r="G489" s="1332" t="s">
        <v>4200</v>
      </c>
      <c r="H489" s="1334">
        <v>6</v>
      </c>
      <c r="I489" s="1331"/>
      <c r="J489" s="1335"/>
    </row>
    <row r="490" spans="1:10" s="131" customFormat="1" ht="18.75" outlineLevel="1" thickBot="1" x14ac:dyDescent="0.3">
      <c r="B490" s="1336" t="s">
        <v>4201</v>
      </c>
      <c r="C490" s="2204" t="s">
        <v>4784</v>
      </c>
      <c r="D490" s="1337">
        <v>2.42475</v>
      </c>
      <c r="E490" s="1338" t="s">
        <v>2162</v>
      </c>
      <c r="F490" s="1338" t="s">
        <v>1254</v>
      </c>
      <c r="G490" s="1337" t="s">
        <v>4202</v>
      </c>
      <c r="H490" s="1339">
        <v>6</v>
      </c>
      <c r="I490" s="1170"/>
      <c r="J490" s="1172"/>
    </row>
    <row r="491" spans="1:10" ht="15.75" thickBot="1" x14ac:dyDescent="0.3"/>
    <row r="492" spans="1:10" ht="15.75" thickBot="1" x14ac:dyDescent="0.3">
      <c r="C492" s="1246" t="s">
        <v>3882</v>
      </c>
      <c r="D492" s="103" t="s">
        <v>319</v>
      </c>
      <c r="J492" s="142"/>
    </row>
    <row r="493" spans="1:10" ht="15.75" thickBot="1" x14ac:dyDescent="0.3">
      <c r="B493" s="1247" t="s">
        <v>0</v>
      </c>
      <c r="C493" s="1248" t="s">
        <v>1</v>
      </c>
      <c r="D493" s="1249" t="s">
        <v>842</v>
      </c>
      <c r="E493" s="1249" t="s">
        <v>473</v>
      </c>
      <c r="F493" s="1249" t="s">
        <v>474</v>
      </c>
      <c r="G493" s="1249" t="s">
        <v>2</v>
      </c>
      <c r="H493" s="1249" t="s">
        <v>302</v>
      </c>
      <c r="I493" s="1248" t="s">
        <v>116</v>
      </c>
      <c r="J493" s="1705" t="s">
        <v>117</v>
      </c>
    </row>
    <row r="494" spans="1:10" ht="18.75" outlineLevel="1" thickBot="1" x14ac:dyDescent="0.3">
      <c r="B494" s="1299" t="s">
        <v>3883</v>
      </c>
      <c r="C494" s="1300" t="s">
        <v>5385</v>
      </c>
      <c r="D494" s="1301">
        <v>4</v>
      </c>
      <c r="E494" s="1302">
        <v>0</v>
      </c>
      <c r="F494" s="1302">
        <v>9</v>
      </c>
      <c r="G494" s="1302" t="s">
        <v>3881</v>
      </c>
      <c r="H494" s="1302">
        <v>2</v>
      </c>
      <c r="I494" s="1706"/>
      <c r="J494" s="1707" t="s">
        <v>5391</v>
      </c>
    </row>
    <row r="495" spans="1:10" ht="15.75" thickBot="1" x14ac:dyDescent="0.3"/>
    <row r="496" spans="1:10" ht="15.75" thickBot="1" x14ac:dyDescent="0.3">
      <c r="C496" s="1246" t="s">
        <v>3884</v>
      </c>
      <c r="D496" s="103" t="s">
        <v>319</v>
      </c>
      <c r="J496" s="142"/>
    </row>
    <row r="497" spans="2:10" ht="15.75" thickBot="1" x14ac:dyDescent="0.3">
      <c r="B497" s="1247" t="s">
        <v>0</v>
      </c>
      <c r="C497" s="1248" t="s">
        <v>1</v>
      </c>
      <c r="D497" s="1249" t="s">
        <v>842</v>
      </c>
      <c r="E497" s="1249" t="s">
        <v>473</v>
      </c>
      <c r="F497" s="1249" t="s">
        <v>474</v>
      </c>
      <c r="G497" s="1249" t="s">
        <v>2</v>
      </c>
      <c r="H497" s="1249" t="s">
        <v>302</v>
      </c>
      <c r="I497" s="1248" t="s">
        <v>116</v>
      </c>
      <c r="J497" s="1705" t="s">
        <v>117</v>
      </c>
    </row>
    <row r="498" spans="2:10" ht="18" outlineLevel="1" x14ac:dyDescent="0.25">
      <c r="B498" s="1250" t="s">
        <v>3885</v>
      </c>
      <c r="C498" s="1251" t="s">
        <v>3886</v>
      </c>
      <c r="D498" s="564">
        <v>5.1999999999999998E-2</v>
      </c>
      <c r="E498" s="563">
        <v>0</v>
      </c>
      <c r="F498" s="563">
        <v>5</v>
      </c>
      <c r="G498" s="563" t="s">
        <v>3881</v>
      </c>
      <c r="H498" s="563">
        <v>2</v>
      </c>
      <c r="I498" s="1388"/>
      <c r="J498" s="1708" t="s">
        <v>3887</v>
      </c>
    </row>
    <row r="499" spans="2:10" ht="18" outlineLevel="1" x14ac:dyDescent="0.25">
      <c r="B499" s="2601" t="s">
        <v>5329</v>
      </c>
      <c r="C499" s="2602" t="s">
        <v>5330</v>
      </c>
      <c r="D499" s="564">
        <v>5.1999999999999998E-2</v>
      </c>
      <c r="E499" s="2603">
        <v>0</v>
      </c>
      <c r="F499" s="2603">
        <v>5</v>
      </c>
      <c r="G499" s="2603" t="s">
        <v>3881</v>
      </c>
      <c r="H499" s="2603">
        <v>2</v>
      </c>
      <c r="I499" s="2604"/>
      <c r="J499" s="2605"/>
    </row>
    <row r="500" spans="2:10" ht="18" outlineLevel="1" x14ac:dyDescent="0.25">
      <c r="B500" s="1250" t="s">
        <v>3888</v>
      </c>
      <c r="C500" s="1251" t="s">
        <v>3889</v>
      </c>
      <c r="D500" s="564">
        <v>5.1999999999999998E-2</v>
      </c>
      <c r="E500" s="563">
        <v>0</v>
      </c>
      <c r="F500" s="563">
        <v>5</v>
      </c>
      <c r="G500" s="563" t="s">
        <v>3881</v>
      </c>
      <c r="H500" s="563">
        <v>2</v>
      </c>
      <c r="I500" s="1388"/>
      <c r="J500" s="1708"/>
    </row>
    <row r="501" spans="2:10" ht="18" outlineLevel="1" x14ac:dyDescent="0.25">
      <c r="B501" s="1250" t="s">
        <v>3890</v>
      </c>
      <c r="C501" s="1251" t="s">
        <v>3891</v>
      </c>
      <c r="D501" s="564">
        <v>5.1999999999999998E-2</v>
      </c>
      <c r="E501" s="563">
        <v>0</v>
      </c>
      <c r="F501" s="563">
        <v>5</v>
      </c>
      <c r="G501" s="563" t="s">
        <v>3881</v>
      </c>
      <c r="H501" s="563">
        <v>2</v>
      </c>
      <c r="I501" s="1388"/>
      <c r="J501" s="1708"/>
    </row>
    <row r="502" spans="2:10" ht="18" outlineLevel="1" x14ac:dyDescent="0.25">
      <c r="B502" s="1250" t="s">
        <v>3892</v>
      </c>
      <c r="C502" s="1251" t="s">
        <v>3893</v>
      </c>
      <c r="D502" s="564">
        <v>5.1999999999999998E-2</v>
      </c>
      <c r="E502" s="563">
        <v>0</v>
      </c>
      <c r="F502" s="563">
        <v>5</v>
      </c>
      <c r="G502" s="563" t="s">
        <v>3881</v>
      </c>
      <c r="H502" s="563">
        <v>2</v>
      </c>
      <c r="I502" s="1388"/>
      <c r="J502" s="1708"/>
    </row>
    <row r="503" spans="2:10" ht="18" outlineLevel="1" x14ac:dyDescent="0.25">
      <c r="B503" s="1250" t="s">
        <v>3894</v>
      </c>
      <c r="C503" s="1251" t="s">
        <v>3895</v>
      </c>
      <c r="D503" s="564">
        <v>5.1999999999999998E-2</v>
      </c>
      <c r="E503" s="563">
        <v>0</v>
      </c>
      <c r="F503" s="563">
        <v>5</v>
      </c>
      <c r="G503" s="563" t="s">
        <v>3881</v>
      </c>
      <c r="H503" s="563">
        <v>2</v>
      </c>
      <c r="I503" s="1388"/>
      <c r="J503" s="1708"/>
    </row>
    <row r="504" spans="2:10" ht="18" outlineLevel="1" x14ac:dyDescent="0.25">
      <c r="B504" s="1250" t="s">
        <v>3896</v>
      </c>
      <c r="C504" s="1251" t="s">
        <v>3897</v>
      </c>
      <c r="D504" s="564">
        <v>5.1999999999999998E-2</v>
      </c>
      <c r="E504" s="563">
        <v>0</v>
      </c>
      <c r="F504" s="563">
        <v>5</v>
      </c>
      <c r="G504" s="563" t="s">
        <v>3881</v>
      </c>
      <c r="H504" s="563">
        <v>2</v>
      </c>
      <c r="I504" s="1388"/>
      <c r="J504" s="1708"/>
    </row>
    <row r="505" spans="2:10" ht="18" outlineLevel="1" x14ac:dyDescent="0.25">
      <c r="B505" s="1250" t="s">
        <v>3898</v>
      </c>
      <c r="C505" s="1251" t="s">
        <v>3899</v>
      </c>
      <c r="D505" s="564">
        <v>5.1999999999999998E-2</v>
      </c>
      <c r="E505" s="563">
        <v>0</v>
      </c>
      <c r="F505" s="563">
        <v>5</v>
      </c>
      <c r="G505" s="563" t="s">
        <v>3881</v>
      </c>
      <c r="H505" s="563">
        <v>2</v>
      </c>
      <c r="I505" s="1388"/>
      <c r="J505" s="1708"/>
    </row>
    <row r="506" spans="2:10" ht="18.75" outlineLevel="1" thickBot="1" x14ac:dyDescent="0.3">
      <c r="B506" s="1299" t="s">
        <v>3900</v>
      </c>
      <c r="C506" s="1300" t="s">
        <v>3901</v>
      </c>
      <c r="D506" s="1301">
        <v>5.1999999999999998E-2</v>
      </c>
      <c r="E506" s="1302">
        <v>0</v>
      </c>
      <c r="F506" s="1302">
        <v>5</v>
      </c>
      <c r="G506" s="1302" t="s">
        <v>3881</v>
      </c>
      <c r="H506" s="1302">
        <v>2</v>
      </c>
      <c r="I506" s="1706"/>
      <c r="J506" s="1707"/>
    </row>
    <row r="507" spans="2:10" ht="15.75" thickBot="1" x14ac:dyDescent="0.3"/>
    <row r="508" spans="2:10" ht="15.75" thickBot="1" x14ac:dyDescent="0.3">
      <c r="C508" s="1246" t="s">
        <v>3902</v>
      </c>
      <c r="D508" s="103" t="s">
        <v>319</v>
      </c>
      <c r="J508" s="142"/>
    </row>
    <row r="509" spans="2:10" ht="15.75" thickBot="1" x14ac:dyDescent="0.3">
      <c r="B509" s="1247" t="s">
        <v>0</v>
      </c>
      <c r="C509" s="1248" t="s">
        <v>1</v>
      </c>
      <c r="D509" s="1249" t="s">
        <v>842</v>
      </c>
      <c r="E509" s="1249" t="s">
        <v>473</v>
      </c>
      <c r="F509" s="1249" t="s">
        <v>474</v>
      </c>
      <c r="G509" s="1249" t="s">
        <v>2</v>
      </c>
      <c r="H509" s="1249" t="s">
        <v>302</v>
      </c>
      <c r="I509" s="1248" t="s">
        <v>116</v>
      </c>
      <c r="J509" s="1705" t="s">
        <v>117</v>
      </c>
    </row>
    <row r="510" spans="2:10" ht="18" outlineLevel="1" x14ac:dyDescent="0.25">
      <c r="B510" s="1250" t="s">
        <v>3903</v>
      </c>
      <c r="C510" s="1251" t="s">
        <v>3904</v>
      </c>
      <c r="D510" s="564">
        <v>0.11</v>
      </c>
      <c r="E510" s="563">
        <v>0</v>
      </c>
      <c r="F510" s="563">
        <v>5</v>
      </c>
      <c r="G510" s="563" t="s">
        <v>3881</v>
      </c>
      <c r="H510" s="563">
        <v>2</v>
      </c>
      <c r="I510" s="1388"/>
      <c r="J510" s="1708" t="s">
        <v>3905</v>
      </c>
    </row>
    <row r="511" spans="2:10" ht="18" outlineLevel="1" x14ac:dyDescent="0.25">
      <c r="B511" s="2601" t="s">
        <v>5331</v>
      </c>
      <c r="C511" s="2602" t="s">
        <v>5332</v>
      </c>
      <c r="D511" s="564">
        <v>0.11</v>
      </c>
      <c r="E511" s="2603">
        <v>0</v>
      </c>
      <c r="F511" s="2603">
        <v>5</v>
      </c>
      <c r="G511" s="2603" t="s">
        <v>3881</v>
      </c>
      <c r="H511" s="2603">
        <v>2</v>
      </c>
      <c r="I511" s="2604"/>
      <c r="J511" s="2605"/>
    </row>
    <row r="512" spans="2:10" ht="18" outlineLevel="1" x14ac:dyDescent="0.25">
      <c r="B512" s="1250" t="s">
        <v>3906</v>
      </c>
      <c r="C512" s="1251" t="s">
        <v>3907</v>
      </c>
      <c r="D512" s="564">
        <v>0.11</v>
      </c>
      <c r="E512" s="563">
        <v>0</v>
      </c>
      <c r="F512" s="563">
        <v>5</v>
      </c>
      <c r="G512" s="563" t="s">
        <v>3881</v>
      </c>
      <c r="H512" s="563">
        <v>2</v>
      </c>
      <c r="I512" s="1388"/>
      <c r="J512" s="1708"/>
    </row>
    <row r="513" spans="2:10" ht="18" outlineLevel="1" x14ac:dyDescent="0.25">
      <c r="B513" s="1250" t="s">
        <v>3908</v>
      </c>
      <c r="C513" s="1251" t="s">
        <v>3909</v>
      </c>
      <c r="D513" s="564">
        <v>0.11</v>
      </c>
      <c r="E513" s="563">
        <v>0</v>
      </c>
      <c r="F513" s="563">
        <v>5</v>
      </c>
      <c r="G513" s="563" t="s">
        <v>3881</v>
      </c>
      <c r="H513" s="563">
        <v>2</v>
      </c>
      <c r="I513" s="1388"/>
      <c r="J513" s="1708"/>
    </row>
    <row r="514" spans="2:10" ht="18" outlineLevel="1" x14ac:dyDescent="0.25">
      <c r="B514" s="1250" t="s">
        <v>3910</v>
      </c>
      <c r="C514" s="1251" t="s">
        <v>3911</v>
      </c>
      <c r="D514" s="564">
        <v>0.11</v>
      </c>
      <c r="E514" s="563">
        <v>0</v>
      </c>
      <c r="F514" s="563">
        <v>5</v>
      </c>
      <c r="G514" s="563" t="s">
        <v>3881</v>
      </c>
      <c r="H514" s="563">
        <v>2</v>
      </c>
      <c r="I514" s="1388"/>
      <c r="J514" s="1708"/>
    </row>
    <row r="515" spans="2:10" ht="18" outlineLevel="1" x14ac:dyDescent="0.25">
      <c r="B515" s="1250" t="s">
        <v>3912</v>
      </c>
      <c r="C515" s="1251" t="s">
        <v>3913</v>
      </c>
      <c r="D515" s="564">
        <v>0.17</v>
      </c>
      <c r="E515" s="563">
        <v>0</v>
      </c>
      <c r="F515" s="563">
        <v>5</v>
      </c>
      <c r="G515" s="563" t="s">
        <v>3881</v>
      </c>
      <c r="H515" s="563">
        <v>2</v>
      </c>
      <c r="I515" s="1388"/>
      <c r="J515" s="1708" t="s">
        <v>3914</v>
      </c>
    </row>
    <row r="516" spans="2:10" ht="18.75" outlineLevel="1" thickBot="1" x14ac:dyDescent="0.3">
      <c r="B516" s="1299" t="s">
        <v>3915</v>
      </c>
      <c r="C516" s="1300" t="s">
        <v>3916</v>
      </c>
      <c r="D516" s="1301">
        <v>0.33</v>
      </c>
      <c r="E516" s="1302">
        <v>0</v>
      </c>
      <c r="F516" s="1302">
        <v>5</v>
      </c>
      <c r="G516" s="1302" t="s">
        <v>3881</v>
      </c>
      <c r="H516" s="1302">
        <v>2</v>
      </c>
      <c r="I516" s="1706"/>
      <c r="J516" s="1707" t="s">
        <v>3917</v>
      </c>
    </row>
  </sheetData>
  <phoneticPr fontId="33" type="noConversion"/>
  <pageMargins left="0.7" right="0.7" top="0.75" bottom="0.75" header="0.3" footer="0.3"/>
  <pageSetup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B1:O9"/>
  <sheetViews>
    <sheetView showGridLines="0" zoomScaleNormal="100" workbookViewId="0"/>
  </sheetViews>
  <sheetFormatPr baseColWidth="10" defaultColWidth="20.28515625" defaultRowHeight="15" x14ac:dyDescent="0.25"/>
  <cols>
    <col min="1" max="1" width="20.28515625" style="2626"/>
    <col min="2" max="2" width="6.85546875" style="2626" bestFit="1" customWidth="1"/>
    <col min="3" max="3" width="40.28515625" style="2626" bestFit="1" customWidth="1"/>
    <col min="4" max="4" width="9.7109375" style="2626" bestFit="1" customWidth="1"/>
    <col min="5" max="5" width="18.140625" style="2626" bestFit="1" customWidth="1"/>
    <col min="6" max="6" width="13.28515625" style="2626" bestFit="1" customWidth="1"/>
    <col min="7" max="7" width="9.7109375" style="2626" bestFit="1" customWidth="1"/>
    <col min="8" max="8" width="16.28515625" style="2626" bestFit="1" customWidth="1"/>
    <col min="9" max="9" width="11.28515625" style="2626" bestFit="1" customWidth="1"/>
    <col min="10" max="10" width="8.28515625" style="2626" bestFit="1" customWidth="1"/>
    <col min="11" max="11" width="8.7109375" style="2626" bestFit="1" customWidth="1"/>
    <col min="12" max="12" width="5.7109375" style="2626" bestFit="1" customWidth="1"/>
    <col min="13" max="13" width="8.28515625" style="2626" bestFit="1" customWidth="1"/>
    <col min="14" max="14" width="4.28515625" style="2626" bestFit="1" customWidth="1"/>
    <col min="15" max="15" width="17" style="2626" bestFit="1" customWidth="1"/>
    <col min="16" max="16384" width="20.28515625" style="2626"/>
  </cols>
  <sheetData>
    <row r="1" spans="2:15" ht="15.75" thickBot="1" x14ac:dyDescent="0.3"/>
    <row r="2" spans="2:15" s="1231" customFormat="1" ht="15.75" thickBot="1" x14ac:dyDescent="0.3">
      <c r="B2" s="1229"/>
      <c r="C2" s="1230" t="s">
        <v>3861</v>
      </c>
      <c r="D2" s="1229"/>
      <c r="E2" s="1229"/>
      <c r="F2" s="1229"/>
      <c r="G2" s="1229"/>
      <c r="H2" s="1229"/>
      <c r="I2" s="1229"/>
      <c r="J2" s="1229"/>
    </row>
    <row r="3" spans="2:15" s="1229" customFormat="1" ht="45.75" thickBot="1" x14ac:dyDescent="0.3">
      <c r="B3" s="1232" t="s">
        <v>0</v>
      </c>
      <c r="C3" s="1233" t="s">
        <v>1</v>
      </c>
      <c r="D3" s="1234" t="s">
        <v>3862</v>
      </c>
      <c r="E3" s="1234" t="s">
        <v>3863</v>
      </c>
      <c r="F3" s="1234" t="s">
        <v>3864</v>
      </c>
      <c r="G3" s="1234" t="s">
        <v>3865</v>
      </c>
      <c r="H3" s="1234" t="s">
        <v>3878</v>
      </c>
      <c r="I3" s="1252" t="s">
        <v>3918</v>
      </c>
      <c r="J3" s="1234" t="s">
        <v>473</v>
      </c>
      <c r="K3" s="1234" t="s">
        <v>474</v>
      </c>
      <c r="L3" s="1234" t="s">
        <v>2</v>
      </c>
      <c r="M3" s="1234" t="s">
        <v>302</v>
      </c>
      <c r="N3" s="1234" t="s">
        <v>116</v>
      </c>
      <c r="O3" s="1235" t="s">
        <v>117</v>
      </c>
    </row>
    <row r="4" spans="2:15" s="1231" customFormat="1" ht="34.5" x14ac:dyDescent="0.25">
      <c r="B4" s="2627" t="s">
        <v>3866</v>
      </c>
      <c r="C4" s="1236" t="s">
        <v>3867</v>
      </c>
      <c r="D4" s="1237">
        <v>0.04</v>
      </c>
      <c r="E4" s="1237">
        <v>1.54</v>
      </c>
      <c r="F4" s="2628">
        <v>2.2999999999999998</v>
      </c>
      <c r="G4" s="2628">
        <v>34.799999999999997</v>
      </c>
      <c r="H4" s="2628" t="s">
        <v>1211</v>
      </c>
      <c r="I4" s="2629">
        <v>2.61</v>
      </c>
      <c r="J4" s="1237">
        <v>0</v>
      </c>
      <c r="K4" s="1237">
        <v>100</v>
      </c>
      <c r="L4" s="2624" t="s">
        <v>5392</v>
      </c>
      <c r="M4" s="1237"/>
      <c r="N4" s="1237"/>
      <c r="O4" s="1238"/>
    </row>
    <row r="5" spans="2:15" s="1231" customFormat="1" ht="34.5" x14ac:dyDescent="0.25">
      <c r="B5" s="2630" t="s">
        <v>3868</v>
      </c>
      <c r="C5" s="1239" t="s">
        <v>3869</v>
      </c>
      <c r="D5" s="1240" t="s">
        <v>1211</v>
      </c>
      <c r="E5" s="1240" t="s">
        <v>1211</v>
      </c>
      <c r="F5" s="2631">
        <v>0.04</v>
      </c>
      <c r="G5" s="2631">
        <v>65</v>
      </c>
      <c r="H5" s="2631" t="s">
        <v>1211</v>
      </c>
      <c r="I5" s="2631" t="s">
        <v>1211</v>
      </c>
      <c r="J5" s="1240">
        <v>0</v>
      </c>
      <c r="K5" s="1240">
        <v>100</v>
      </c>
      <c r="L5" s="2624" t="s">
        <v>5392</v>
      </c>
      <c r="M5" s="1240"/>
      <c r="N5" s="1240"/>
      <c r="O5" s="1241"/>
    </row>
    <row r="6" spans="2:15" s="1231" customFormat="1" ht="34.5" x14ac:dyDescent="0.25">
      <c r="B6" s="2630" t="s">
        <v>3870</v>
      </c>
      <c r="C6" s="1239" t="s">
        <v>3871</v>
      </c>
      <c r="D6" s="1240" t="s">
        <v>1211</v>
      </c>
      <c r="E6" s="1240" t="s">
        <v>1211</v>
      </c>
      <c r="F6" s="2631">
        <v>3.16</v>
      </c>
      <c r="G6" s="2631">
        <v>0.12</v>
      </c>
      <c r="H6" s="2631" t="s">
        <v>1211</v>
      </c>
      <c r="I6" s="2631" t="s">
        <v>1211</v>
      </c>
      <c r="J6" s="1240">
        <v>0</v>
      </c>
      <c r="K6" s="1240">
        <v>100</v>
      </c>
      <c r="L6" s="2624" t="s">
        <v>5392</v>
      </c>
      <c r="M6" s="1240"/>
      <c r="N6" s="1240"/>
      <c r="O6" s="1241"/>
    </row>
    <row r="7" spans="2:15" s="1231" customFormat="1" ht="34.5" x14ac:dyDescent="0.25">
      <c r="B7" s="2630" t="s">
        <v>3872</v>
      </c>
      <c r="C7" s="1239" t="s">
        <v>3873</v>
      </c>
      <c r="D7" s="1240">
        <v>20.95</v>
      </c>
      <c r="E7" s="1240">
        <v>18.84</v>
      </c>
      <c r="F7" s="2631" t="s">
        <v>1211</v>
      </c>
      <c r="G7" s="2631" t="s">
        <v>1211</v>
      </c>
      <c r="H7" s="2631">
        <v>97</v>
      </c>
      <c r="I7" s="2631">
        <v>5.22</v>
      </c>
      <c r="J7" s="1240">
        <v>0</v>
      </c>
      <c r="K7" s="1240">
        <v>100</v>
      </c>
      <c r="L7" s="2624" t="s">
        <v>5392</v>
      </c>
      <c r="M7" s="1240"/>
      <c r="N7" s="1240"/>
      <c r="O7" s="1241"/>
    </row>
    <row r="8" spans="2:15" s="1231" customFormat="1" ht="34.5" x14ac:dyDescent="0.25">
      <c r="B8" s="2630" t="s">
        <v>3874</v>
      </c>
      <c r="C8" s="1239" t="s">
        <v>3875</v>
      </c>
      <c r="D8" s="1240" t="s">
        <v>1211</v>
      </c>
      <c r="E8" s="1240" t="s">
        <v>1211</v>
      </c>
      <c r="F8" s="2631" t="s">
        <v>1211</v>
      </c>
      <c r="G8" s="1242">
        <v>0.01</v>
      </c>
      <c r="H8" s="1242" t="s">
        <v>1211</v>
      </c>
      <c r="I8" s="1242" t="s">
        <v>1211</v>
      </c>
      <c r="J8" s="1240">
        <v>0</v>
      </c>
      <c r="K8" s="1240">
        <v>100</v>
      </c>
      <c r="L8" s="2624" t="s">
        <v>5392</v>
      </c>
      <c r="M8" s="1240"/>
      <c r="N8" s="1240"/>
      <c r="O8" s="1241"/>
    </row>
    <row r="9" spans="2:15" s="1231" customFormat="1" ht="35.25" thickBot="1" x14ac:dyDescent="0.3">
      <c r="B9" s="2632" t="s">
        <v>3876</v>
      </c>
      <c r="C9" s="1243" t="s">
        <v>3877</v>
      </c>
      <c r="D9" s="1244">
        <v>79.010000000000005</v>
      </c>
      <c r="E9" s="1244">
        <v>79.62</v>
      </c>
      <c r="F9" s="2633">
        <v>94.5</v>
      </c>
      <c r="G9" s="2633">
        <v>7.0000000000000007E-2</v>
      </c>
      <c r="H9" s="2633">
        <v>3</v>
      </c>
      <c r="I9" s="2633">
        <v>92.17</v>
      </c>
      <c r="J9" s="1244">
        <v>0</v>
      </c>
      <c r="K9" s="1244">
        <v>100</v>
      </c>
      <c r="L9" s="2625" t="s">
        <v>5392</v>
      </c>
      <c r="M9" s="1244"/>
      <c r="N9" s="1244"/>
      <c r="O9" s="1245"/>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Munka3"/>
  <dimension ref="A1:DA258"/>
  <sheetViews>
    <sheetView showGridLines="0" zoomScaleNormal="100" workbookViewId="0">
      <pane xSplit="4" ySplit="3" topLeftCell="CN9" activePane="bottomRight" state="frozen"/>
      <selection activeCell="E8" sqref="E8"/>
      <selection pane="topRight" activeCell="E8" sqref="E8"/>
      <selection pane="bottomLeft" activeCell="E8" sqref="E8"/>
      <selection pane="bottomRight" activeCell="A2" sqref="A2"/>
    </sheetView>
  </sheetViews>
  <sheetFormatPr baseColWidth="10" defaultColWidth="9.28515625" defaultRowHeight="15" x14ac:dyDescent="0.25"/>
  <cols>
    <col min="1" max="1" width="3.28515625" customWidth="1"/>
    <col min="2" max="2" width="5.28515625" style="71" bestFit="1" customWidth="1"/>
    <col min="3" max="3" width="7.5703125" style="71" bestFit="1" customWidth="1"/>
    <col min="4" max="4" width="54.7109375" bestFit="1" customWidth="1"/>
    <col min="5" max="5" width="39.28515625" style="148" bestFit="1" customWidth="1"/>
    <col min="6" max="6" width="8.7109375" style="148" bestFit="1" customWidth="1"/>
    <col min="7" max="7" width="23.5703125" style="148" bestFit="1" customWidth="1"/>
    <col min="8" max="8" width="14.5703125" style="148" customWidth="1"/>
    <col min="9" max="9" width="14.140625" style="148" bestFit="1" customWidth="1"/>
    <col min="10" max="10" width="19" style="148" bestFit="1" customWidth="1"/>
    <col min="11" max="11" width="19" style="148" customWidth="1"/>
    <col min="12" max="14" width="7.7109375" style="148" bestFit="1" customWidth="1"/>
    <col min="15" max="15" width="12.7109375" style="148" bestFit="1" customWidth="1"/>
    <col min="16" max="16" width="23.7109375" style="148" bestFit="1" customWidth="1"/>
    <col min="17" max="17" width="24.140625" style="148" bestFit="1" customWidth="1"/>
    <col min="18" max="19" width="7.28515625" style="148" bestFit="1" customWidth="1"/>
    <col min="20" max="20" width="16.140625" style="148" bestFit="1" customWidth="1"/>
    <col min="21" max="21" width="16" style="148" bestFit="1" customWidth="1"/>
    <col min="22" max="22" width="17.28515625" style="148" bestFit="1" customWidth="1"/>
    <col min="23" max="23" width="17.7109375" style="148" bestFit="1" customWidth="1"/>
    <col min="24" max="24" width="15.7109375" style="148" bestFit="1" customWidth="1"/>
    <col min="25" max="26" width="16" style="148" bestFit="1" customWidth="1"/>
    <col min="27" max="28" width="17.7109375" style="148" bestFit="1" customWidth="1"/>
    <col min="29" max="29" width="17.28515625" style="148" bestFit="1" customWidth="1"/>
    <col min="30" max="30" width="56.28515625" style="148" bestFit="1" customWidth="1"/>
    <col min="31" max="31" width="54.5703125" style="148" bestFit="1" customWidth="1"/>
    <col min="32" max="32" width="53.28515625" style="148" bestFit="1" customWidth="1"/>
    <col min="33" max="33" width="100.140625" style="148" bestFit="1" customWidth="1"/>
    <col min="34" max="34" width="12" style="148" bestFit="1" customWidth="1"/>
    <col min="35" max="35" width="15.140625" style="148" bestFit="1" customWidth="1"/>
    <col min="36" max="36" width="16" style="148" customWidth="1"/>
    <col min="37" max="37" width="9.28515625" style="148" customWidth="1"/>
    <col min="38" max="38" width="95.7109375" style="148" bestFit="1" customWidth="1"/>
    <col min="39" max="39" width="14.7109375" style="148" bestFit="1" customWidth="1"/>
    <col min="40" max="40" width="12" style="148" bestFit="1" customWidth="1"/>
    <col min="41" max="41" width="14.7109375" style="148" bestFit="1" customWidth="1"/>
    <col min="42" max="42" width="15.28515625" style="148" customWidth="1"/>
    <col min="43" max="43" width="7.28515625" style="148" bestFit="1" customWidth="1"/>
    <col min="44" max="44" width="41.28515625" style="148" bestFit="1" customWidth="1"/>
    <col min="45" max="45" width="15.140625" style="148" bestFit="1" customWidth="1"/>
    <col min="46" max="46" width="24.28515625" style="148" bestFit="1" customWidth="1"/>
    <col min="47" max="47" width="91.7109375" style="148" bestFit="1" customWidth="1"/>
    <col min="48" max="48" width="104.7109375" style="148" bestFit="1" customWidth="1"/>
    <col min="49" max="49" width="83.7109375" style="148" customWidth="1"/>
    <col min="50" max="50" width="125.28515625" style="148" customWidth="1"/>
    <col min="51" max="51" width="38.7109375" style="148" customWidth="1"/>
    <col min="52" max="52" width="38.140625" style="148" customWidth="1"/>
    <col min="53" max="53" width="25.7109375" style="148" bestFit="1" customWidth="1"/>
    <col min="54" max="54" width="14.28515625" style="148" bestFit="1" customWidth="1"/>
    <col min="55" max="55" width="24.28515625" style="148" bestFit="1" customWidth="1"/>
    <col min="56" max="56" width="21.7109375" style="148" bestFit="1" customWidth="1"/>
    <col min="57" max="57" width="18.140625" style="148" bestFit="1" customWidth="1"/>
    <col min="58" max="58" width="21.28515625" style="148" bestFit="1" customWidth="1"/>
    <col min="59" max="59" width="20.7109375" style="148" bestFit="1" customWidth="1"/>
    <col min="60" max="60" width="28.7109375" style="148" bestFit="1" customWidth="1"/>
    <col min="61" max="61" width="28.28515625" style="148" bestFit="1" customWidth="1"/>
    <col min="62" max="62" width="21.7109375" style="148" bestFit="1" customWidth="1"/>
    <col min="63" max="63" width="21.5703125" style="148" bestFit="1" customWidth="1"/>
    <col min="64" max="64" width="18.28515625" style="148" bestFit="1" customWidth="1"/>
    <col min="65" max="65" width="21.140625" style="148" bestFit="1" customWidth="1"/>
    <col min="66" max="66" width="20.7109375" style="148" bestFit="1" customWidth="1"/>
    <col min="67" max="67" width="29" style="148" bestFit="1" customWidth="1"/>
    <col min="68" max="68" width="28.7109375" style="148" bestFit="1" customWidth="1"/>
    <col min="69" max="69" width="13.140625" style="148" bestFit="1" customWidth="1"/>
    <col min="70" max="70" width="13.5703125" style="148" bestFit="1" customWidth="1"/>
    <col min="71" max="71" width="11.7109375" style="148" bestFit="1" customWidth="1"/>
    <col min="72" max="72" width="12" style="148" bestFit="1" customWidth="1"/>
    <col min="73" max="73" width="20.28515625" style="148" bestFit="1" customWidth="1"/>
    <col min="74" max="74" width="5" style="148" bestFit="1" customWidth="1"/>
    <col min="75" max="75" width="5.140625" style="148" bestFit="1" customWidth="1"/>
    <col min="76" max="76" width="4.7109375" style="148" bestFit="1" customWidth="1"/>
    <col min="77" max="77" width="5" style="148" bestFit="1" customWidth="1"/>
    <col min="78" max="78" width="2.7109375" style="148" bestFit="1" customWidth="1"/>
    <col min="79" max="79" width="6.140625" style="148" bestFit="1" customWidth="1"/>
    <col min="80" max="80" width="8.28515625" style="148" bestFit="1" customWidth="1"/>
    <col min="81" max="81" width="4.28515625" style="148" bestFit="1" customWidth="1"/>
    <col min="82" max="82" width="6" style="148" bestFit="1" customWidth="1"/>
    <col min="83" max="84" width="3.7109375" style="148" bestFit="1" customWidth="1"/>
    <col min="85" max="85" width="4.7109375" style="148" bestFit="1" customWidth="1"/>
    <col min="86" max="86" width="12.7109375" style="148" customWidth="1"/>
    <col min="87" max="87" width="7" style="148" bestFit="1" customWidth="1"/>
    <col min="88" max="88" width="10" style="148" bestFit="1" customWidth="1"/>
    <col min="89" max="89" width="6.28515625" style="148" bestFit="1" customWidth="1"/>
    <col min="90" max="90" width="7.140625" style="148" bestFit="1" customWidth="1"/>
    <col min="91" max="91" width="7.28515625" style="148" bestFit="1" customWidth="1"/>
    <col min="92" max="92" width="12.7109375" style="148" customWidth="1"/>
    <col min="93" max="93" width="120.28515625" style="69" customWidth="1"/>
    <col min="94" max="94" width="9.28515625" style="4" bestFit="1" customWidth="1"/>
    <col min="95" max="95" width="69" style="4" bestFit="1" customWidth="1"/>
    <col min="96" max="96" width="18.28515625" style="4" bestFit="1" customWidth="1"/>
    <col min="97" max="97" width="7.7109375" style="80" customWidth="1"/>
    <col min="98" max="98" width="12.5703125" bestFit="1" customWidth="1"/>
    <col min="99" max="102" width="9.28515625" bestFit="1" customWidth="1"/>
  </cols>
  <sheetData>
    <row r="1" spans="1:105" s="47" customFormat="1" ht="54" customHeight="1" thickBot="1" x14ac:dyDescent="0.4">
      <c r="A1" s="48"/>
      <c r="B1" s="91"/>
      <c r="C1" s="91"/>
      <c r="E1" s="146"/>
      <c r="F1" s="146"/>
      <c r="G1" s="146"/>
      <c r="H1" s="146"/>
      <c r="I1" s="146"/>
      <c r="J1" s="146"/>
      <c r="K1" s="146"/>
      <c r="L1" s="146"/>
      <c r="M1" s="146"/>
      <c r="N1" s="146"/>
      <c r="O1" s="146"/>
      <c r="P1" s="146"/>
      <c r="Q1" s="146"/>
      <c r="R1" s="146"/>
      <c r="S1" s="146"/>
      <c r="T1" s="146"/>
      <c r="U1" s="146"/>
      <c r="V1" s="146"/>
      <c r="W1" s="146"/>
      <c r="X1" s="146"/>
      <c r="Y1" s="146"/>
      <c r="Z1" s="146"/>
      <c r="AA1" s="146"/>
      <c r="AB1" s="146"/>
      <c r="AC1" s="146"/>
      <c r="AD1" s="146"/>
      <c r="AE1" s="146"/>
      <c r="AF1" s="146"/>
      <c r="AG1" s="146"/>
      <c r="AH1" s="146"/>
      <c r="AI1" s="146"/>
      <c r="AJ1" s="146"/>
      <c r="AK1" s="146"/>
      <c r="AL1" s="146"/>
      <c r="AM1" s="146"/>
      <c r="AN1" s="146"/>
      <c r="AO1" s="146"/>
      <c r="AP1" s="146"/>
      <c r="AQ1" s="146"/>
      <c r="AR1" s="146"/>
      <c r="AS1" s="146"/>
      <c r="AT1" s="146"/>
      <c r="AU1" s="146"/>
      <c r="AV1" s="146"/>
      <c r="AW1" s="146"/>
      <c r="AX1" s="146"/>
      <c r="AY1" s="146"/>
      <c r="AZ1" s="146"/>
      <c r="BA1" s="146"/>
      <c r="BB1" s="987"/>
      <c r="BC1" s="987"/>
      <c r="BD1" s="146"/>
      <c r="BE1" s="987"/>
      <c r="BF1" s="987"/>
      <c r="BG1" s="987"/>
      <c r="BH1" s="987"/>
      <c r="BI1" s="987"/>
      <c r="BJ1" s="987"/>
      <c r="BK1" s="987"/>
      <c r="BL1" s="987"/>
      <c r="BM1" s="987"/>
      <c r="BN1" s="987"/>
      <c r="BO1" s="987"/>
      <c r="BP1" s="987"/>
      <c r="BQ1" s="987"/>
      <c r="BR1" s="987"/>
      <c r="BS1" s="987"/>
      <c r="BT1" s="987"/>
      <c r="BU1" s="987"/>
      <c r="BV1" s="987"/>
      <c r="BW1" s="987"/>
      <c r="BX1" s="987"/>
      <c r="BY1" s="987"/>
      <c r="BZ1" s="987"/>
      <c r="CA1" s="987"/>
      <c r="CB1" s="987"/>
      <c r="CC1" s="987"/>
      <c r="CD1" s="987"/>
      <c r="CE1" s="987"/>
      <c r="CF1" s="987"/>
      <c r="CG1" s="987"/>
      <c r="CH1" s="987"/>
      <c r="CI1" s="987"/>
      <c r="CJ1" s="987"/>
      <c r="CK1" s="987"/>
      <c r="CL1" s="987"/>
      <c r="CM1" s="987"/>
      <c r="CN1" s="987"/>
      <c r="CO1" s="483"/>
      <c r="CP1" s="119"/>
      <c r="CQ1" s="119"/>
      <c r="CR1" s="119"/>
      <c r="CS1" s="79"/>
    </row>
    <row r="2" spans="1:105" ht="18.75" customHeight="1" thickBot="1" x14ac:dyDescent="0.3">
      <c r="D2" s="1416" t="s">
        <v>128</v>
      </c>
      <c r="E2" s="664"/>
      <c r="F2" s="664"/>
      <c r="G2" s="664"/>
      <c r="H2" s="664"/>
      <c r="I2" s="664"/>
      <c r="J2" s="664"/>
      <c r="K2" s="664"/>
      <c r="L2" s="664"/>
      <c r="M2" s="664"/>
      <c r="N2" s="664"/>
      <c r="O2" s="664"/>
      <c r="P2" s="664"/>
      <c r="Q2" s="664"/>
      <c r="R2" s="664"/>
      <c r="S2" s="664"/>
      <c r="T2" s="664"/>
      <c r="U2" s="664"/>
      <c r="V2" s="664"/>
      <c r="W2" s="664"/>
      <c r="X2" s="664"/>
      <c r="Y2" s="664"/>
      <c r="Z2" s="664"/>
      <c r="AA2" s="664"/>
      <c r="AB2" s="664"/>
      <c r="AC2" s="664"/>
      <c r="AD2" s="664"/>
      <c r="AE2" s="664"/>
      <c r="AF2" s="664"/>
      <c r="AG2" s="664"/>
      <c r="AH2" s="664"/>
      <c r="AI2" s="664"/>
      <c r="AJ2" s="664"/>
      <c r="AK2" s="664"/>
      <c r="AL2" s="664"/>
      <c r="AM2" s="664"/>
      <c r="AN2" s="664"/>
      <c r="AO2" s="664"/>
      <c r="AP2" s="664"/>
      <c r="AQ2" s="664"/>
      <c r="AR2" s="664"/>
      <c r="AS2" s="664"/>
      <c r="AT2" s="664"/>
      <c r="AU2" s="664"/>
      <c r="AV2" s="664"/>
      <c r="AW2" s="664"/>
      <c r="AX2" s="664"/>
      <c r="AY2" s="664"/>
      <c r="AZ2" s="664"/>
      <c r="BA2" s="664"/>
      <c r="BB2" s="664"/>
      <c r="BC2" s="664"/>
      <c r="BD2" s="664"/>
      <c r="BE2" s="664"/>
      <c r="BF2" s="664"/>
      <c r="BG2" s="664"/>
      <c r="BH2" s="664"/>
      <c r="BI2" s="664"/>
      <c r="BJ2" s="664"/>
      <c r="BK2" s="664"/>
      <c r="BL2" s="664"/>
      <c r="BM2" s="664"/>
      <c r="BN2" s="664"/>
      <c r="BO2" s="664"/>
      <c r="BP2" s="664"/>
      <c r="BQ2" s="664"/>
      <c r="BR2" s="664"/>
      <c r="BS2" s="664"/>
      <c r="BT2" s="664"/>
      <c r="BU2" s="664"/>
      <c r="BV2" s="664"/>
      <c r="BW2" s="664"/>
      <c r="BX2" s="664"/>
      <c r="BY2" s="664"/>
      <c r="BZ2" s="664"/>
      <c r="CA2" s="664"/>
      <c r="CB2" s="664"/>
      <c r="CC2" s="664"/>
      <c r="CD2" s="664"/>
      <c r="CE2" s="664"/>
      <c r="CF2" s="664"/>
      <c r="CG2" s="664"/>
      <c r="CH2" s="664"/>
      <c r="CI2" s="664"/>
      <c r="CJ2" s="664"/>
      <c r="CK2" s="664"/>
      <c r="CL2" s="664"/>
      <c r="CM2" s="664"/>
      <c r="CN2" s="664"/>
      <c r="CO2" s="127"/>
      <c r="CP2" s="127"/>
      <c r="CQ2" s="127"/>
      <c r="CR2" s="127"/>
    </row>
    <row r="3" spans="1:105" s="1" customFormat="1" ht="38.25" thickBot="1" x14ac:dyDescent="0.3">
      <c r="B3" s="745" t="s">
        <v>93</v>
      </c>
      <c r="C3" s="744" t="s">
        <v>0</v>
      </c>
      <c r="D3" s="746" t="s">
        <v>1</v>
      </c>
      <c r="E3" s="480" t="s">
        <v>807</v>
      </c>
      <c r="F3" s="668" t="s">
        <v>3055</v>
      </c>
      <c r="G3" s="668" t="s">
        <v>3056</v>
      </c>
      <c r="H3" s="480" t="s">
        <v>808</v>
      </c>
      <c r="I3" s="480" t="s">
        <v>809</v>
      </c>
      <c r="J3" s="480" t="s">
        <v>810</v>
      </c>
      <c r="K3" s="2597" t="s">
        <v>5318</v>
      </c>
      <c r="L3" s="480" t="s">
        <v>811</v>
      </c>
      <c r="M3" s="480" t="s">
        <v>812</v>
      </c>
      <c r="N3" s="480" t="s">
        <v>813</v>
      </c>
      <c r="O3" s="480" t="s">
        <v>3044</v>
      </c>
      <c r="P3" s="480" t="s">
        <v>5249</v>
      </c>
      <c r="Q3" s="480" t="s">
        <v>5250</v>
      </c>
      <c r="R3" s="480" t="s">
        <v>814</v>
      </c>
      <c r="S3" s="480" t="s">
        <v>1733</v>
      </c>
      <c r="T3" s="480" t="s">
        <v>815</v>
      </c>
      <c r="U3" s="480" t="s">
        <v>3046</v>
      </c>
      <c r="V3" s="480" t="s">
        <v>4002</v>
      </c>
      <c r="W3" s="480" t="s">
        <v>816</v>
      </c>
      <c r="X3" s="480" t="s">
        <v>2176</v>
      </c>
      <c r="Y3" s="480" t="s">
        <v>2175</v>
      </c>
      <c r="Z3" s="480" t="s">
        <v>2195</v>
      </c>
      <c r="AA3" s="480" t="s">
        <v>817</v>
      </c>
      <c r="AB3" s="480" t="s">
        <v>818</v>
      </c>
      <c r="AC3" s="1404" t="s">
        <v>4824</v>
      </c>
      <c r="AD3" s="480" t="s">
        <v>819</v>
      </c>
      <c r="AE3" s="480" t="s">
        <v>2173</v>
      </c>
      <c r="AF3" s="480" t="s">
        <v>2174</v>
      </c>
      <c r="AG3" s="480" t="s">
        <v>820</v>
      </c>
      <c r="AH3" s="480" t="s">
        <v>821</v>
      </c>
      <c r="AI3" s="480" t="s">
        <v>823</v>
      </c>
      <c r="AJ3" s="2597" t="s">
        <v>5319</v>
      </c>
      <c r="AK3" s="480" t="s">
        <v>824</v>
      </c>
      <c r="AL3" s="480" t="s">
        <v>825</v>
      </c>
      <c r="AM3" s="480" t="s">
        <v>2091</v>
      </c>
      <c r="AN3" s="480" t="s">
        <v>826</v>
      </c>
      <c r="AO3" s="480" t="s">
        <v>827</v>
      </c>
      <c r="AP3" s="2597" t="s">
        <v>5320</v>
      </c>
      <c r="AQ3" s="480" t="s">
        <v>828</v>
      </c>
      <c r="AR3" s="480" t="s">
        <v>829</v>
      </c>
      <c r="AS3" s="480" t="s">
        <v>831</v>
      </c>
      <c r="AT3" s="480" t="s">
        <v>832</v>
      </c>
      <c r="AU3" s="480" t="s">
        <v>833</v>
      </c>
      <c r="AV3" s="480" t="s">
        <v>834</v>
      </c>
      <c r="AW3" s="480" t="s">
        <v>1159</v>
      </c>
      <c r="AX3" s="480" t="s">
        <v>1160</v>
      </c>
      <c r="AY3" s="480" t="s">
        <v>999</v>
      </c>
      <c r="AZ3" s="480" t="s">
        <v>1646</v>
      </c>
      <c r="BA3" s="480" t="s">
        <v>1045</v>
      </c>
      <c r="BB3" s="480" t="s">
        <v>1611</v>
      </c>
      <c r="BC3" s="480" t="s">
        <v>1647</v>
      </c>
      <c r="BD3" s="480" t="s">
        <v>1648</v>
      </c>
      <c r="BE3" s="480" t="s">
        <v>1649</v>
      </c>
      <c r="BF3" s="480" t="s">
        <v>1650</v>
      </c>
      <c r="BG3" s="480" t="s">
        <v>1651</v>
      </c>
      <c r="BH3" s="480" t="s">
        <v>1652</v>
      </c>
      <c r="BI3" s="480" t="s">
        <v>1653</v>
      </c>
      <c r="BJ3" s="1404" t="s">
        <v>4301</v>
      </c>
      <c r="BK3" s="1404" t="s">
        <v>4302</v>
      </c>
      <c r="BL3" s="1404" t="s">
        <v>4303</v>
      </c>
      <c r="BM3" s="1404" t="s">
        <v>4304</v>
      </c>
      <c r="BN3" s="1404" t="s">
        <v>4305</v>
      </c>
      <c r="BO3" s="1404" t="s">
        <v>4306</v>
      </c>
      <c r="BP3" s="1404" t="s">
        <v>4307</v>
      </c>
      <c r="BQ3" s="481" t="s">
        <v>1001</v>
      </c>
      <c r="BR3" s="481" t="s">
        <v>1133</v>
      </c>
      <c r="BS3" s="1356" t="s">
        <v>4218</v>
      </c>
      <c r="BT3" s="481" t="s">
        <v>358</v>
      </c>
      <c r="BU3" s="480" t="s">
        <v>1115</v>
      </c>
      <c r="BV3" s="480" t="s">
        <v>5088</v>
      </c>
      <c r="BW3" s="480" t="s">
        <v>5092</v>
      </c>
      <c r="BX3" s="480" t="s">
        <v>5094</v>
      </c>
      <c r="BY3" s="480" t="s">
        <v>5096</v>
      </c>
      <c r="BZ3" s="480" t="s">
        <v>4958</v>
      </c>
      <c r="CA3" s="1274" t="s">
        <v>3945</v>
      </c>
      <c r="CB3" s="2074" t="s">
        <v>4725</v>
      </c>
      <c r="CC3" s="744" t="s">
        <v>1654</v>
      </c>
      <c r="CD3" s="744" t="s">
        <v>1655</v>
      </c>
      <c r="CE3" s="744" t="s">
        <v>1656</v>
      </c>
      <c r="CF3" s="744" t="s">
        <v>1657</v>
      </c>
      <c r="CG3" s="744" t="s">
        <v>1052</v>
      </c>
      <c r="CH3" s="744" t="s">
        <v>1658</v>
      </c>
      <c r="CI3" s="744" t="s">
        <v>3523</v>
      </c>
      <c r="CJ3" s="744" t="s">
        <v>3478</v>
      </c>
      <c r="CK3" s="744" t="s">
        <v>3479</v>
      </c>
      <c r="CL3" s="744" t="s">
        <v>3480</v>
      </c>
      <c r="CM3" s="744" t="s">
        <v>3481</v>
      </c>
      <c r="CN3" s="744" t="s">
        <v>3482</v>
      </c>
      <c r="CO3" s="746" t="s">
        <v>1220</v>
      </c>
      <c r="CP3" s="387" t="s">
        <v>2</v>
      </c>
      <c r="CQ3" s="482" t="s">
        <v>9</v>
      </c>
      <c r="CR3" s="482" t="s">
        <v>116</v>
      </c>
      <c r="CS3" s="128"/>
    </row>
    <row r="4" spans="1:105" ht="18" x14ac:dyDescent="0.35">
      <c r="B4" s="776">
        <v>1</v>
      </c>
      <c r="C4" s="777" t="s">
        <v>223</v>
      </c>
      <c r="D4" s="778" t="s">
        <v>1659</v>
      </c>
      <c r="E4" s="779" t="s">
        <v>1735</v>
      </c>
      <c r="F4" s="779"/>
      <c r="G4" s="780"/>
      <c r="H4" s="780"/>
      <c r="I4" s="780"/>
      <c r="J4" s="780"/>
      <c r="K4" s="780"/>
      <c r="L4" s="780"/>
      <c r="M4" s="780"/>
      <c r="N4" s="780"/>
      <c r="O4" s="780"/>
      <c r="P4" s="780"/>
      <c r="Q4" s="780"/>
      <c r="R4" s="780"/>
      <c r="S4" s="780"/>
      <c r="T4" s="780">
        <v>1</v>
      </c>
      <c r="U4" s="780"/>
      <c r="V4" s="780"/>
      <c r="W4" s="780"/>
      <c r="X4" s="780"/>
      <c r="Y4" s="780"/>
      <c r="Z4" s="780"/>
      <c r="AA4" s="780"/>
      <c r="AB4" s="780"/>
      <c r="AC4" s="2245"/>
      <c r="AD4" s="779" t="s">
        <v>1660</v>
      </c>
      <c r="AE4" s="780"/>
      <c r="AF4" s="780"/>
      <c r="AG4" s="780"/>
      <c r="AH4" s="780"/>
      <c r="AI4" s="780"/>
      <c r="AJ4" s="780"/>
      <c r="AK4" s="780"/>
      <c r="AL4" s="779" t="s">
        <v>1661</v>
      </c>
      <c r="AM4" s="780"/>
      <c r="AN4" s="780"/>
      <c r="AO4" s="780"/>
      <c r="AP4" s="780"/>
      <c r="AQ4" s="780"/>
      <c r="AR4" s="779" t="s">
        <v>1738</v>
      </c>
      <c r="AS4" s="779"/>
      <c r="AT4" s="779"/>
      <c r="AU4" s="779" t="s">
        <v>1952</v>
      </c>
      <c r="AV4" s="1213" t="s">
        <v>2424</v>
      </c>
      <c r="AW4" s="1213" t="s">
        <v>3830</v>
      </c>
      <c r="AX4" s="1213" t="s">
        <v>3831</v>
      </c>
      <c r="AY4" s="1213" t="s">
        <v>3832</v>
      </c>
      <c r="AZ4" s="1213" t="s">
        <v>3833</v>
      </c>
      <c r="BA4" s="779"/>
      <c r="BB4" s="779"/>
      <c r="BC4" s="779"/>
      <c r="BD4" s="779"/>
      <c r="BE4" s="779"/>
      <c r="BF4" s="779"/>
      <c r="BG4" s="779"/>
      <c r="BH4" s="779"/>
      <c r="BI4" s="779"/>
      <c r="BJ4" s="1268"/>
      <c r="BK4" s="1268"/>
      <c r="BL4" s="1268"/>
      <c r="BM4" s="1268"/>
      <c r="BN4" s="1268"/>
      <c r="BO4" s="1268"/>
      <c r="BP4" s="1268"/>
      <c r="BQ4" s="779"/>
      <c r="BR4" s="779"/>
      <c r="BS4" s="1268"/>
      <c r="BT4" s="779"/>
      <c r="BU4" s="779"/>
      <c r="BV4" s="2492"/>
      <c r="BW4" s="2492"/>
      <c r="BX4" s="2492"/>
      <c r="BY4" s="2492"/>
      <c r="BZ4" s="779"/>
      <c r="CA4" s="1268"/>
      <c r="CB4" s="1268"/>
      <c r="CC4" s="779"/>
      <c r="CD4" s="779"/>
      <c r="CE4" s="779"/>
      <c r="CF4" s="779"/>
      <c r="CG4" s="779"/>
      <c r="CH4" s="779"/>
      <c r="CI4" s="779"/>
      <c r="CJ4" s="779"/>
      <c r="CK4" s="779"/>
      <c r="CL4" s="779"/>
      <c r="CM4" s="779"/>
      <c r="CN4" s="779"/>
      <c r="CO4" s="781" t="s">
        <v>3840</v>
      </c>
      <c r="CP4" s="780" t="s">
        <v>1991</v>
      </c>
      <c r="CQ4" s="782"/>
      <c r="CR4" s="783"/>
    </row>
    <row r="5" spans="1:105" ht="18" x14ac:dyDescent="0.35">
      <c r="B5" s="784">
        <v>2</v>
      </c>
      <c r="C5" s="785" t="s">
        <v>224</v>
      </c>
      <c r="D5" s="786" t="s">
        <v>2200</v>
      </c>
      <c r="E5" s="787" t="s">
        <v>1736</v>
      </c>
      <c r="F5" s="665"/>
      <c r="G5" s="663"/>
      <c r="H5" s="663"/>
      <c r="I5" s="663"/>
      <c r="J5" s="663"/>
      <c r="K5" s="663"/>
      <c r="L5" s="663"/>
      <c r="M5" s="663"/>
      <c r="N5" s="663"/>
      <c r="O5" s="663"/>
      <c r="P5" s="663"/>
      <c r="Q5" s="663"/>
      <c r="R5" s="663"/>
      <c r="S5" s="663"/>
      <c r="T5" s="663">
        <v>1</v>
      </c>
      <c r="U5" s="663"/>
      <c r="V5" s="663"/>
      <c r="W5" s="663"/>
      <c r="X5" s="663"/>
      <c r="Y5" s="663"/>
      <c r="Z5" s="663"/>
      <c r="AA5" s="663"/>
      <c r="AB5" s="663"/>
      <c r="AC5" s="663"/>
      <c r="AD5" s="665" t="s">
        <v>1660</v>
      </c>
      <c r="AE5" s="787" t="s">
        <v>2204</v>
      </c>
      <c r="AF5" s="787"/>
      <c r="AG5" s="787" t="s">
        <v>2205</v>
      </c>
      <c r="AH5" s="663"/>
      <c r="AI5" s="663"/>
      <c r="AJ5" s="663"/>
      <c r="AK5" s="663"/>
      <c r="AL5" s="787" t="s">
        <v>1661</v>
      </c>
      <c r="AM5" s="663"/>
      <c r="AN5" s="663"/>
      <c r="AO5" s="663"/>
      <c r="AP5" s="663"/>
      <c r="AQ5" s="663"/>
      <c r="AR5" s="665"/>
      <c r="AS5" s="665"/>
      <c r="AT5" s="665"/>
      <c r="AU5" s="787" t="s">
        <v>1953</v>
      </c>
      <c r="AV5" s="787" t="s">
        <v>2424</v>
      </c>
      <c r="AW5" s="787" t="s">
        <v>3830</v>
      </c>
      <c r="AX5" s="787" t="s">
        <v>3831</v>
      </c>
      <c r="AY5" s="787" t="s">
        <v>3832</v>
      </c>
      <c r="AZ5" s="787" t="s">
        <v>3833</v>
      </c>
      <c r="BA5" s="665"/>
      <c r="BB5" s="665"/>
      <c r="BC5" s="665"/>
      <c r="BD5" s="665"/>
      <c r="BE5" s="665"/>
      <c r="BF5" s="665"/>
      <c r="BG5" s="665"/>
      <c r="BH5" s="665"/>
      <c r="BI5" s="665"/>
      <c r="BJ5" s="665"/>
      <c r="BK5" s="665"/>
      <c r="BL5" s="665"/>
      <c r="BM5" s="665"/>
      <c r="BN5" s="665"/>
      <c r="BO5" s="665"/>
      <c r="BP5" s="665"/>
      <c r="BQ5" s="665"/>
      <c r="BR5" s="665"/>
      <c r="BS5" s="665"/>
      <c r="BT5" s="665"/>
      <c r="BU5" s="665"/>
      <c r="BV5" s="665"/>
      <c r="BW5" s="665"/>
      <c r="BX5" s="665"/>
      <c r="BY5" s="665"/>
      <c r="BZ5" s="665"/>
      <c r="CA5" s="665"/>
      <c r="CB5" s="2075"/>
      <c r="CC5" s="665"/>
      <c r="CD5" s="665"/>
      <c r="CE5" s="665"/>
      <c r="CF5" s="665"/>
      <c r="CG5" s="665"/>
      <c r="CH5" s="665"/>
      <c r="CI5" s="665"/>
      <c r="CJ5" s="665"/>
      <c r="CK5" s="665"/>
      <c r="CL5" s="665"/>
      <c r="CM5" s="665"/>
      <c r="CN5" s="665"/>
      <c r="CO5" s="788" t="s">
        <v>5424</v>
      </c>
      <c r="CP5" s="791" t="s">
        <v>1991</v>
      </c>
      <c r="CQ5" s="789"/>
      <c r="CR5" s="790"/>
    </row>
    <row r="6" spans="1:105" ht="18" x14ac:dyDescent="0.35">
      <c r="B6" s="784">
        <v>3</v>
      </c>
      <c r="C6" s="785" t="s">
        <v>225</v>
      </c>
      <c r="D6" s="786" t="s">
        <v>1662</v>
      </c>
      <c r="E6" s="787" t="s">
        <v>1736</v>
      </c>
      <c r="F6" s="787"/>
      <c r="G6" s="791"/>
      <c r="H6" s="791"/>
      <c r="I6" s="791"/>
      <c r="J6" s="791"/>
      <c r="K6" s="791"/>
      <c r="L6" s="791"/>
      <c r="M6" s="791"/>
      <c r="N6" s="791"/>
      <c r="O6" s="791"/>
      <c r="P6" s="791"/>
      <c r="Q6" s="791"/>
      <c r="R6" s="791"/>
      <c r="S6" s="791"/>
      <c r="T6" s="791">
        <v>1</v>
      </c>
      <c r="U6" s="791"/>
      <c r="V6" s="791"/>
      <c r="W6" s="791"/>
      <c r="X6" s="791"/>
      <c r="Y6" s="791"/>
      <c r="Z6" s="791"/>
      <c r="AA6" s="791"/>
      <c r="AB6" s="791"/>
      <c r="AC6" s="2246"/>
      <c r="AD6" s="787" t="s">
        <v>1660</v>
      </c>
      <c r="AE6" s="787" t="s">
        <v>2206</v>
      </c>
      <c r="AF6" s="787" t="s">
        <v>2207</v>
      </c>
      <c r="AG6" s="787"/>
      <c r="AH6" s="791"/>
      <c r="AI6" s="791"/>
      <c r="AJ6" s="791"/>
      <c r="AK6" s="791"/>
      <c r="AL6" s="787" t="s">
        <v>1661</v>
      </c>
      <c r="AM6" s="791"/>
      <c r="AN6" s="791"/>
      <c r="AO6" s="791"/>
      <c r="AP6" s="791"/>
      <c r="AQ6" s="791"/>
      <c r="AR6" s="787"/>
      <c r="AS6" s="787"/>
      <c r="AT6" s="787"/>
      <c r="AU6" s="787" t="s">
        <v>1953</v>
      </c>
      <c r="AV6" s="787" t="s">
        <v>2424</v>
      </c>
      <c r="AW6" s="787" t="s">
        <v>3830</v>
      </c>
      <c r="AX6" s="787" t="s">
        <v>3831</v>
      </c>
      <c r="AY6" s="787" t="s">
        <v>3832</v>
      </c>
      <c r="AZ6" s="787" t="s">
        <v>3833</v>
      </c>
      <c r="BA6" s="787"/>
      <c r="BB6" s="787"/>
      <c r="BC6" s="787"/>
      <c r="BD6" s="787"/>
      <c r="BE6" s="787"/>
      <c r="BF6" s="787"/>
      <c r="BG6" s="787"/>
      <c r="BH6" s="787"/>
      <c r="BI6" s="787"/>
      <c r="BJ6" s="1357"/>
      <c r="BK6" s="1357"/>
      <c r="BL6" s="1357"/>
      <c r="BM6" s="1357"/>
      <c r="BN6" s="1357"/>
      <c r="BO6" s="1357"/>
      <c r="BP6" s="1357"/>
      <c r="BQ6" s="787"/>
      <c r="BR6" s="787"/>
      <c r="BS6" s="1357"/>
      <c r="BT6" s="787"/>
      <c r="BU6" s="787"/>
      <c r="BV6" s="2493"/>
      <c r="BW6" s="2493"/>
      <c r="BX6" s="2493"/>
      <c r="BY6" s="2493"/>
      <c r="BZ6" s="787"/>
      <c r="CA6" s="787"/>
      <c r="CB6" s="2076"/>
      <c r="CC6" s="787"/>
      <c r="CD6" s="787"/>
      <c r="CE6" s="787"/>
      <c r="CF6" s="787"/>
      <c r="CG6" s="787"/>
      <c r="CH6" s="787"/>
      <c r="CI6" s="787"/>
      <c r="CJ6" s="787"/>
      <c r="CK6" s="787"/>
      <c r="CL6" s="787"/>
      <c r="CM6" s="787"/>
      <c r="CN6" s="787"/>
      <c r="CO6" s="788" t="s">
        <v>5393</v>
      </c>
      <c r="CP6" s="791" t="s">
        <v>1991</v>
      </c>
      <c r="CQ6" s="789"/>
      <c r="CR6" s="792"/>
    </row>
    <row r="7" spans="1:105" ht="18" x14ac:dyDescent="0.35">
      <c r="B7" s="784">
        <v>4</v>
      </c>
      <c r="C7" s="785" t="s">
        <v>226</v>
      </c>
      <c r="D7" s="786" t="s">
        <v>1663</v>
      </c>
      <c r="E7" s="791"/>
      <c r="F7" s="791"/>
      <c r="G7" s="787" t="s">
        <v>3083</v>
      </c>
      <c r="H7" s="791"/>
      <c r="I7" s="791"/>
      <c r="J7" s="791"/>
      <c r="K7" s="791"/>
      <c r="L7" s="791"/>
      <c r="M7" s="791"/>
      <c r="N7" s="791"/>
      <c r="O7" s="791"/>
      <c r="P7" s="791"/>
      <c r="Q7" s="791"/>
      <c r="R7" s="791"/>
      <c r="S7" s="791"/>
      <c r="T7" s="791">
        <v>1</v>
      </c>
      <c r="U7" s="791"/>
      <c r="V7" s="791"/>
      <c r="W7" s="791"/>
      <c r="X7" s="791"/>
      <c r="Y7" s="791"/>
      <c r="Z7" s="791"/>
      <c r="AA7" s="791"/>
      <c r="AB7" s="791"/>
      <c r="AC7" s="2246"/>
      <c r="AD7" s="787" t="s">
        <v>1660</v>
      </c>
      <c r="AE7" s="787"/>
      <c r="AF7" s="787"/>
      <c r="AG7" s="791"/>
      <c r="AH7" s="791"/>
      <c r="AI7" s="791"/>
      <c r="AJ7" s="791"/>
      <c r="AK7" s="791"/>
      <c r="AL7" s="787" t="s">
        <v>1661</v>
      </c>
      <c r="AM7" s="791"/>
      <c r="AN7" s="791"/>
      <c r="AO7" s="791"/>
      <c r="AP7" s="791"/>
      <c r="AQ7" s="791"/>
      <c r="AR7" s="787" t="s">
        <v>3090</v>
      </c>
      <c r="AS7" s="787"/>
      <c r="AT7" s="787"/>
      <c r="AU7" s="787" t="s">
        <v>3092</v>
      </c>
      <c r="AV7" s="787" t="s">
        <v>2424</v>
      </c>
      <c r="AW7" s="787" t="s">
        <v>3830</v>
      </c>
      <c r="AX7" s="787" t="s">
        <v>3831</v>
      </c>
      <c r="AY7" s="787" t="s">
        <v>3832</v>
      </c>
      <c r="AZ7" s="787" t="s">
        <v>3833</v>
      </c>
      <c r="BA7" s="787"/>
      <c r="BB7" s="787"/>
      <c r="BC7" s="787"/>
      <c r="BD7" s="787"/>
      <c r="BE7" s="787"/>
      <c r="BF7" s="787"/>
      <c r="BG7" s="787"/>
      <c r="BH7" s="787"/>
      <c r="BI7" s="787"/>
      <c r="BJ7" s="1357"/>
      <c r="BK7" s="1357"/>
      <c r="BL7" s="1357"/>
      <c r="BM7" s="1357"/>
      <c r="BN7" s="1357"/>
      <c r="BO7" s="1357"/>
      <c r="BP7" s="1357"/>
      <c r="BQ7" s="787"/>
      <c r="BR7" s="787"/>
      <c r="BS7" s="1357"/>
      <c r="BT7" s="787"/>
      <c r="BU7" s="787"/>
      <c r="BV7" s="2493"/>
      <c r="BW7" s="2493"/>
      <c r="BX7" s="2493"/>
      <c r="BY7" s="2493"/>
      <c r="BZ7" s="787"/>
      <c r="CA7" s="787"/>
      <c r="CB7" s="2076"/>
      <c r="CC7" s="787"/>
      <c r="CD7" s="787"/>
      <c r="CE7" s="787"/>
      <c r="CF7" s="787"/>
      <c r="CG7" s="787"/>
      <c r="CH7" s="787"/>
      <c r="CI7" s="787"/>
      <c r="CJ7" s="787"/>
      <c r="CK7" s="787"/>
      <c r="CL7" s="787"/>
      <c r="CM7" s="787"/>
      <c r="CN7" s="787"/>
      <c r="CO7" s="788" t="s">
        <v>3841</v>
      </c>
      <c r="CP7" s="791" t="s">
        <v>1991</v>
      </c>
      <c r="CQ7" s="789"/>
      <c r="CR7" s="792"/>
      <c r="CT7" s="77"/>
    </row>
    <row r="8" spans="1:105" ht="18" customHeight="1" x14ac:dyDescent="0.35">
      <c r="B8" s="784">
        <v>5</v>
      </c>
      <c r="C8" s="785" t="s">
        <v>227</v>
      </c>
      <c r="D8" s="786" t="s">
        <v>2201</v>
      </c>
      <c r="E8" s="791"/>
      <c r="F8" s="791"/>
      <c r="G8" s="787" t="s">
        <v>3084</v>
      </c>
      <c r="H8" s="791"/>
      <c r="I8" s="791"/>
      <c r="J8" s="791"/>
      <c r="K8" s="791"/>
      <c r="L8" s="791"/>
      <c r="M8" s="791"/>
      <c r="N8" s="791"/>
      <c r="O8" s="791"/>
      <c r="P8" s="791"/>
      <c r="Q8" s="791"/>
      <c r="R8" s="791"/>
      <c r="S8" s="791"/>
      <c r="T8" s="791">
        <v>1</v>
      </c>
      <c r="U8" s="791"/>
      <c r="V8" s="791"/>
      <c r="W8" s="791"/>
      <c r="X8" s="791"/>
      <c r="Y8" s="791"/>
      <c r="Z8" s="791"/>
      <c r="AA8" s="791"/>
      <c r="AB8" s="791"/>
      <c r="AC8" s="663"/>
      <c r="AD8" s="665" t="s">
        <v>1660</v>
      </c>
      <c r="AE8" s="787" t="s">
        <v>3086</v>
      </c>
      <c r="AF8" s="787"/>
      <c r="AG8" s="787" t="s">
        <v>3089</v>
      </c>
      <c r="AH8" s="791"/>
      <c r="AI8" s="791"/>
      <c r="AJ8" s="791"/>
      <c r="AK8" s="791"/>
      <c r="AL8" s="787" t="s">
        <v>1661</v>
      </c>
      <c r="AM8" s="791"/>
      <c r="AN8" s="791"/>
      <c r="AO8" s="791"/>
      <c r="AP8" s="791"/>
      <c r="AQ8" s="791"/>
      <c r="AR8" s="787"/>
      <c r="AS8" s="787"/>
      <c r="AT8" s="787"/>
      <c r="AU8" s="787" t="s">
        <v>3093</v>
      </c>
      <c r="AV8" s="793" t="s">
        <v>2424</v>
      </c>
      <c r="AW8" s="787" t="s">
        <v>3830</v>
      </c>
      <c r="AX8" s="787" t="s">
        <v>3831</v>
      </c>
      <c r="AY8" s="787" t="s">
        <v>3832</v>
      </c>
      <c r="AZ8" s="787" t="s">
        <v>3833</v>
      </c>
      <c r="BA8" s="787"/>
      <c r="BB8" s="787"/>
      <c r="BC8" s="787"/>
      <c r="BD8" s="787"/>
      <c r="BE8" s="787"/>
      <c r="BF8" s="787"/>
      <c r="BG8" s="787"/>
      <c r="BH8" s="787"/>
      <c r="BI8" s="787"/>
      <c r="BJ8" s="1357"/>
      <c r="BK8" s="1357"/>
      <c r="BL8" s="1357"/>
      <c r="BM8" s="1357"/>
      <c r="BN8" s="1357"/>
      <c r="BO8" s="1357"/>
      <c r="BP8" s="1357"/>
      <c r="BQ8" s="787"/>
      <c r="BR8" s="787"/>
      <c r="BS8" s="1357"/>
      <c r="BT8" s="787"/>
      <c r="BU8" s="787"/>
      <c r="BV8" s="2493"/>
      <c r="BW8" s="2493"/>
      <c r="BX8" s="2493"/>
      <c r="BY8" s="2493"/>
      <c r="BZ8" s="787"/>
      <c r="CA8" s="787"/>
      <c r="CB8" s="2076"/>
      <c r="CC8" s="787"/>
      <c r="CD8" s="787"/>
      <c r="CE8" s="787"/>
      <c r="CF8" s="787"/>
      <c r="CG8" s="787"/>
      <c r="CH8" s="787"/>
      <c r="CI8" s="787"/>
      <c r="CJ8" s="787"/>
      <c r="CK8" s="787"/>
      <c r="CL8" s="787"/>
      <c r="CM8" s="787"/>
      <c r="CN8" s="787"/>
      <c r="CO8" s="788" t="s">
        <v>3842</v>
      </c>
      <c r="CP8" s="791" t="s">
        <v>1991</v>
      </c>
      <c r="CQ8" s="789"/>
      <c r="CR8" s="792"/>
      <c r="CT8" s="77"/>
    </row>
    <row r="9" spans="1:105" ht="18" x14ac:dyDescent="0.35">
      <c r="B9" s="784">
        <v>6</v>
      </c>
      <c r="C9" s="785" t="s">
        <v>228</v>
      </c>
      <c r="D9" s="786" t="s">
        <v>1664</v>
      </c>
      <c r="E9" s="791"/>
      <c r="F9" s="791"/>
      <c r="G9" s="787" t="s">
        <v>3084</v>
      </c>
      <c r="H9" s="791"/>
      <c r="I9" s="791"/>
      <c r="J9" s="791"/>
      <c r="K9" s="791"/>
      <c r="L9" s="791"/>
      <c r="M9" s="791"/>
      <c r="N9" s="791"/>
      <c r="O9" s="791"/>
      <c r="P9" s="791"/>
      <c r="Q9" s="791"/>
      <c r="R9" s="791"/>
      <c r="S9" s="791"/>
      <c r="T9" s="791">
        <v>1</v>
      </c>
      <c r="U9" s="791"/>
      <c r="V9" s="791"/>
      <c r="W9" s="791"/>
      <c r="X9" s="791"/>
      <c r="Y9" s="791"/>
      <c r="Z9" s="791"/>
      <c r="AA9" s="791"/>
      <c r="AB9" s="791"/>
      <c r="AC9" s="2246"/>
      <c r="AD9" s="787" t="s">
        <v>1660</v>
      </c>
      <c r="AE9" s="787" t="s">
        <v>3087</v>
      </c>
      <c r="AF9" s="787" t="s">
        <v>3088</v>
      </c>
      <c r="AG9" s="787"/>
      <c r="AH9" s="791"/>
      <c r="AI9" s="791"/>
      <c r="AJ9" s="791"/>
      <c r="AK9" s="791"/>
      <c r="AL9" s="787" t="s">
        <v>1661</v>
      </c>
      <c r="AM9" s="791"/>
      <c r="AN9" s="791"/>
      <c r="AO9" s="791"/>
      <c r="AP9" s="791"/>
      <c r="AQ9" s="791"/>
      <c r="AR9" s="791"/>
      <c r="AS9" s="791"/>
      <c r="AT9" s="791"/>
      <c r="AU9" s="787" t="s">
        <v>3093</v>
      </c>
      <c r="AV9" s="787" t="s">
        <v>2424</v>
      </c>
      <c r="AW9" s="787" t="s">
        <v>3830</v>
      </c>
      <c r="AX9" s="787" t="s">
        <v>3831</v>
      </c>
      <c r="AY9" s="787" t="s">
        <v>3832</v>
      </c>
      <c r="AZ9" s="787" t="s">
        <v>3833</v>
      </c>
      <c r="BA9" s="787"/>
      <c r="BB9" s="787"/>
      <c r="BC9" s="787"/>
      <c r="BD9" s="787"/>
      <c r="BE9" s="787"/>
      <c r="BF9" s="787"/>
      <c r="BG9" s="787"/>
      <c r="BH9" s="787"/>
      <c r="BI9" s="787"/>
      <c r="BJ9" s="1357"/>
      <c r="BK9" s="1357"/>
      <c r="BL9" s="1357"/>
      <c r="BM9" s="1357"/>
      <c r="BN9" s="1357"/>
      <c r="BO9" s="1357"/>
      <c r="BP9" s="1357"/>
      <c r="BQ9" s="787"/>
      <c r="BR9" s="787"/>
      <c r="BS9" s="1357"/>
      <c r="BT9" s="787"/>
      <c r="BU9" s="787"/>
      <c r="BV9" s="2493"/>
      <c r="BW9" s="2493"/>
      <c r="BX9" s="2493"/>
      <c r="BY9" s="2493"/>
      <c r="BZ9" s="787"/>
      <c r="CA9" s="787"/>
      <c r="CB9" s="2076"/>
      <c r="CC9" s="787"/>
      <c r="CD9" s="787"/>
      <c r="CE9" s="787"/>
      <c r="CF9" s="787"/>
      <c r="CG9" s="787"/>
      <c r="CH9" s="787"/>
      <c r="CI9" s="787"/>
      <c r="CJ9" s="787"/>
      <c r="CK9" s="787"/>
      <c r="CL9" s="787"/>
      <c r="CM9" s="787"/>
      <c r="CN9" s="787"/>
      <c r="CO9" s="788" t="s">
        <v>3843</v>
      </c>
      <c r="CP9" s="791" t="s">
        <v>1991</v>
      </c>
      <c r="CQ9" s="789"/>
      <c r="CR9" s="792"/>
      <c r="CT9" s="77"/>
    </row>
    <row r="10" spans="1:105" ht="18" customHeight="1" x14ac:dyDescent="0.35">
      <c r="B10" s="784">
        <v>7</v>
      </c>
      <c r="C10" s="785" t="s">
        <v>229</v>
      </c>
      <c r="D10" s="786" t="s">
        <v>2137</v>
      </c>
      <c r="E10" s="791" t="s">
        <v>3162</v>
      </c>
      <c r="F10" s="791"/>
      <c r="G10" s="787" t="s">
        <v>3085</v>
      </c>
      <c r="H10" s="791"/>
      <c r="I10" s="791"/>
      <c r="J10" s="791"/>
      <c r="K10" s="791"/>
      <c r="L10" s="791"/>
      <c r="M10" s="791"/>
      <c r="N10" s="791"/>
      <c r="O10" s="791"/>
      <c r="P10" s="791"/>
      <c r="Q10" s="791"/>
      <c r="R10" s="791"/>
      <c r="S10" s="791"/>
      <c r="T10" s="791">
        <v>1</v>
      </c>
      <c r="U10" s="791"/>
      <c r="V10" s="791"/>
      <c r="W10" s="791"/>
      <c r="X10" s="791"/>
      <c r="Y10" s="791"/>
      <c r="Z10" s="791"/>
      <c r="AA10" s="791"/>
      <c r="AB10" s="791"/>
      <c r="AC10" s="2246"/>
      <c r="AD10" s="787" t="s">
        <v>1660</v>
      </c>
      <c r="AE10" s="791"/>
      <c r="AF10" s="791"/>
      <c r="AG10" s="791"/>
      <c r="AH10" s="791"/>
      <c r="AI10" s="791"/>
      <c r="AJ10" s="791"/>
      <c r="AK10" s="791"/>
      <c r="AL10" s="787" t="s">
        <v>1661</v>
      </c>
      <c r="AM10" s="791"/>
      <c r="AN10" s="791"/>
      <c r="AO10" s="791"/>
      <c r="AP10" s="791"/>
      <c r="AQ10" s="791"/>
      <c r="AR10" s="791"/>
      <c r="AS10" s="791"/>
      <c r="AT10" s="791" t="s">
        <v>3171</v>
      </c>
      <c r="AU10" s="793" t="s">
        <v>3175</v>
      </c>
      <c r="AV10" s="787" t="s">
        <v>2424</v>
      </c>
      <c r="AW10" s="787" t="s">
        <v>3830</v>
      </c>
      <c r="AX10" s="787" t="s">
        <v>3831</v>
      </c>
      <c r="AY10" s="787" t="s">
        <v>3832</v>
      </c>
      <c r="AZ10" s="787" t="s">
        <v>3833</v>
      </c>
      <c r="BA10" s="787"/>
      <c r="BB10" s="787"/>
      <c r="BC10" s="787"/>
      <c r="BD10" s="787"/>
      <c r="BE10" s="787"/>
      <c r="BF10" s="787"/>
      <c r="BG10" s="787"/>
      <c r="BH10" s="787"/>
      <c r="BI10" s="787"/>
      <c r="BJ10" s="1357"/>
      <c r="BK10" s="1357"/>
      <c r="BL10" s="1357"/>
      <c r="BM10" s="1357"/>
      <c r="BN10" s="1357"/>
      <c r="BO10" s="1357"/>
      <c r="BP10" s="1357"/>
      <c r="BQ10" s="787"/>
      <c r="BR10" s="787"/>
      <c r="BS10" s="1357"/>
      <c r="BT10" s="787"/>
      <c r="BU10" s="787"/>
      <c r="BV10" s="2493"/>
      <c r="BW10" s="2493"/>
      <c r="BX10" s="2493"/>
      <c r="BY10" s="2493"/>
      <c r="BZ10" s="787"/>
      <c r="CA10" s="787"/>
      <c r="CB10" s="2076"/>
      <c r="CC10" s="787"/>
      <c r="CD10" s="787"/>
      <c r="CE10" s="787"/>
      <c r="CF10" s="787"/>
      <c r="CG10" s="787"/>
      <c r="CH10" s="787"/>
      <c r="CI10" s="787"/>
      <c r="CJ10" s="787"/>
      <c r="CK10" s="787"/>
      <c r="CL10" s="787"/>
      <c r="CM10" s="787"/>
      <c r="CN10" s="787"/>
      <c r="CO10" s="788" t="s">
        <v>3844</v>
      </c>
      <c r="CP10" s="791" t="s">
        <v>1991</v>
      </c>
      <c r="CQ10" s="789"/>
      <c r="CR10" s="794"/>
    </row>
    <row r="11" spans="1:105" ht="18" customHeight="1" x14ac:dyDescent="0.35">
      <c r="B11" s="784">
        <v>8</v>
      </c>
      <c r="C11" s="785" t="s">
        <v>230</v>
      </c>
      <c r="D11" s="786" t="s">
        <v>2835</v>
      </c>
      <c r="E11" s="791" t="s">
        <v>3163</v>
      </c>
      <c r="F11" s="791"/>
      <c r="G11" s="787" t="s">
        <v>3085</v>
      </c>
      <c r="H11" s="791"/>
      <c r="I11" s="791"/>
      <c r="J11" s="791"/>
      <c r="K11" s="791"/>
      <c r="L11" s="791"/>
      <c r="M11" s="791"/>
      <c r="N11" s="791"/>
      <c r="O11" s="791"/>
      <c r="P11" s="791"/>
      <c r="Q11" s="791"/>
      <c r="R11" s="791"/>
      <c r="S11" s="791"/>
      <c r="T11" s="791">
        <v>1</v>
      </c>
      <c r="U11" s="791"/>
      <c r="V11" s="791"/>
      <c r="W11" s="791"/>
      <c r="X11" s="791"/>
      <c r="Y11" s="791"/>
      <c r="Z11" s="791"/>
      <c r="AA11" s="791"/>
      <c r="AB11" s="791"/>
      <c r="AC11" s="2246"/>
      <c r="AD11" s="787" t="s">
        <v>1660</v>
      </c>
      <c r="AE11" s="791"/>
      <c r="AF11" s="791"/>
      <c r="AG11" s="791"/>
      <c r="AH11" s="791"/>
      <c r="AI11" s="791"/>
      <c r="AJ11" s="791"/>
      <c r="AK11" s="791"/>
      <c r="AL11" s="787" t="s">
        <v>1661</v>
      </c>
      <c r="AM11" s="791"/>
      <c r="AN11" s="791"/>
      <c r="AO11" s="791"/>
      <c r="AP11" s="791"/>
      <c r="AQ11" s="791"/>
      <c r="AR11" s="791"/>
      <c r="AS11" s="791"/>
      <c r="AT11" s="791" t="s">
        <v>3172</v>
      </c>
      <c r="AU11" s="793" t="s">
        <v>3091</v>
      </c>
      <c r="AV11" s="787" t="s">
        <v>2424</v>
      </c>
      <c r="AW11" s="787" t="s">
        <v>3830</v>
      </c>
      <c r="AX11" s="787" t="s">
        <v>3831</v>
      </c>
      <c r="AY11" s="787" t="s">
        <v>3832</v>
      </c>
      <c r="AZ11" s="787" t="s">
        <v>3833</v>
      </c>
      <c r="BA11" s="787"/>
      <c r="BB11" s="787"/>
      <c r="BC11" s="787"/>
      <c r="BD11" s="787"/>
      <c r="BE11" s="787"/>
      <c r="BF11" s="787"/>
      <c r="BG11" s="787"/>
      <c r="BH11" s="787"/>
      <c r="BI11" s="787"/>
      <c r="BJ11" s="1357"/>
      <c r="BK11" s="1357"/>
      <c r="BL11" s="1357"/>
      <c r="BM11" s="1357"/>
      <c r="BN11" s="1357"/>
      <c r="BO11" s="1357"/>
      <c r="BP11" s="1357"/>
      <c r="BQ11" s="787"/>
      <c r="BR11" s="787"/>
      <c r="BS11" s="1357"/>
      <c r="BT11" s="787"/>
      <c r="BU11" s="787"/>
      <c r="BV11" s="2493"/>
      <c r="BW11" s="2493"/>
      <c r="BX11" s="2493"/>
      <c r="BY11" s="2493"/>
      <c r="BZ11" s="787"/>
      <c r="CA11" s="787"/>
      <c r="CB11" s="2076"/>
      <c r="CC11" s="787"/>
      <c r="CD11" s="787"/>
      <c r="CE11" s="787"/>
      <c r="CF11" s="787"/>
      <c r="CG11" s="787"/>
      <c r="CH11" s="787"/>
      <c r="CI11" s="787"/>
      <c r="CJ11" s="787"/>
      <c r="CK11" s="787"/>
      <c r="CL11" s="787"/>
      <c r="CM11" s="787"/>
      <c r="CN11" s="787"/>
      <c r="CO11" s="788" t="s">
        <v>3845</v>
      </c>
      <c r="CP11" s="791" t="s">
        <v>1991</v>
      </c>
      <c r="CQ11" s="789"/>
      <c r="CR11" s="794"/>
    </row>
    <row r="12" spans="1:105" ht="18" x14ac:dyDescent="0.35">
      <c r="B12" s="784">
        <v>9</v>
      </c>
      <c r="C12" s="785" t="s">
        <v>231</v>
      </c>
      <c r="D12" s="786" t="s">
        <v>1665</v>
      </c>
      <c r="E12" s="791"/>
      <c r="F12" s="791"/>
      <c r="G12" s="791"/>
      <c r="H12" s="787" t="s">
        <v>1737</v>
      </c>
      <c r="I12" s="791"/>
      <c r="J12" s="791"/>
      <c r="K12" s="791"/>
      <c r="L12" s="791"/>
      <c r="M12" s="791"/>
      <c r="N12" s="791"/>
      <c r="O12" s="791"/>
      <c r="P12" s="791"/>
      <c r="Q12" s="791"/>
      <c r="R12" s="791"/>
      <c r="S12" s="791"/>
      <c r="T12" s="791">
        <v>1</v>
      </c>
      <c r="U12" s="791"/>
      <c r="V12" s="791"/>
      <c r="W12" s="791"/>
      <c r="X12" s="791"/>
      <c r="Y12" s="791"/>
      <c r="Z12" s="791"/>
      <c r="AA12" s="791"/>
      <c r="AB12" s="791"/>
      <c r="AC12" s="2246"/>
      <c r="AD12" s="787" t="s">
        <v>1660</v>
      </c>
      <c r="AE12" s="791"/>
      <c r="AF12" s="791"/>
      <c r="AG12" s="791"/>
      <c r="AH12" s="791"/>
      <c r="AI12" s="791"/>
      <c r="AJ12" s="791"/>
      <c r="AK12" s="791"/>
      <c r="AL12" s="787" t="s">
        <v>1661</v>
      </c>
      <c r="AM12" s="791"/>
      <c r="AN12" s="791"/>
      <c r="AO12" s="791"/>
      <c r="AP12" s="791"/>
      <c r="AQ12" s="791"/>
      <c r="AR12" s="787" t="s">
        <v>1739</v>
      </c>
      <c r="AS12" s="787"/>
      <c r="AT12" s="787"/>
      <c r="AU12" s="787" t="s">
        <v>1955</v>
      </c>
      <c r="AV12" s="787" t="s">
        <v>2424</v>
      </c>
      <c r="AW12" s="787" t="s">
        <v>3830</v>
      </c>
      <c r="AX12" s="787" t="s">
        <v>3831</v>
      </c>
      <c r="AY12" s="787" t="s">
        <v>3832</v>
      </c>
      <c r="AZ12" s="787" t="s">
        <v>3833</v>
      </c>
      <c r="BA12" s="787"/>
      <c r="BB12" s="787"/>
      <c r="BC12" s="787"/>
      <c r="BD12" s="787"/>
      <c r="BE12" s="787"/>
      <c r="BF12" s="787"/>
      <c r="BG12" s="787"/>
      <c r="BH12" s="787"/>
      <c r="BI12" s="787"/>
      <c r="BJ12" s="1357"/>
      <c r="BK12" s="1357"/>
      <c r="BL12" s="1357"/>
      <c r="BM12" s="1357"/>
      <c r="BN12" s="1357"/>
      <c r="BO12" s="1357"/>
      <c r="BP12" s="1357"/>
      <c r="BQ12" s="787"/>
      <c r="BR12" s="787"/>
      <c r="BS12" s="1357"/>
      <c r="BT12" s="787"/>
      <c r="BU12" s="787"/>
      <c r="BV12" s="2493"/>
      <c r="BW12" s="2493"/>
      <c r="BX12" s="2493"/>
      <c r="BY12" s="2493"/>
      <c r="BZ12" s="787"/>
      <c r="CA12" s="787"/>
      <c r="CB12" s="2076"/>
      <c r="CC12" s="787"/>
      <c r="CD12" s="787"/>
      <c r="CE12" s="787"/>
      <c r="CF12" s="787"/>
      <c r="CG12" s="787"/>
      <c r="CH12" s="787"/>
      <c r="CI12" s="787"/>
      <c r="CJ12" s="787"/>
      <c r="CK12" s="787"/>
      <c r="CL12" s="787"/>
      <c r="CM12" s="787"/>
      <c r="CN12" s="787"/>
      <c r="CO12" s="788" t="s">
        <v>3846</v>
      </c>
      <c r="CP12" s="791" t="s">
        <v>1991</v>
      </c>
      <c r="CQ12" s="789"/>
      <c r="CR12" s="792"/>
    </row>
    <row r="13" spans="1:105" ht="18" x14ac:dyDescent="0.25">
      <c r="B13" s="784">
        <v>10</v>
      </c>
      <c r="C13" s="785" t="s">
        <v>232</v>
      </c>
      <c r="D13" s="786" t="s">
        <v>288</v>
      </c>
      <c r="E13" s="791"/>
      <c r="F13" s="791"/>
      <c r="G13" s="791"/>
      <c r="H13" s="791"/>
      <c r="I13" s="906" t="s">
        <v>3241</v>
      </c>
      <c r="J13" s="791"/>
      <c r="K13" s="791" t="s">
        <v>3170</v>
      </c>
      <c r="L13" s="791"/>
      <c r="M13" s="791"/>
      <c r="N13" s="791"/>
      <c r="O13" s="791"/>
      <c r="P13" s="791"/>
      <c r="Q13" s="791"/>
      <c r="R13" s="791" t="s">
        <v>3052</v>
      </c>
      <c r="S13" s="791"/>
      <c r="T13" s="791">
        <v>-1</v>
      </c>
      <c r="U13" s="791"/>
      <c r="V13" s="791"/>
      <c r="W13" s="791"/>
      <c r="X13" s="791"/>
      <c r="Y13" s="791"/>
      <c r="Z13" s="791"/>
      <c r="AA13" s="791"/>
      <c r="AB13" s="791"/>
      <c r="AC13" s="2246"/>
      <c r="AD13" s="791" t="s">
        <v>3250</v>
      </c>
      <c r="AE13" s="791"/>
      <c r="AF13" s="791"/>
      <c r="AG13" s="791"/>
      <c r="AH13" s="791"/>
      <c r="AI13" s="791"/>
      <c r="AJ13" s="791" t="s">
        <v>3185</v>
      </c>
      <c r="AK13" s="791"/>
      <c r="AL13" s="791" t="s">
        <v>3252</v>
      </c>
      <c r="AM13" s="791"/>
      <c r="AN13" s="791"/>
      <c r="AO13" s="791"/>
      <c r="AP13" s="791" t="s">
        <v>3186</v>
      </c>
      <c r="AQ13" s="791"/>
      <c r="AR13" s="791"/>
      <c r="AS13" s="791"/>
      <c r="AT13" s="791"/>
      <c r="AU13" s="791" t="s">
        <v>5355</v>
      </c>
      <c r="AV13" s="791"/>
      <c r="AW13" s="787"/>
      <c r="AX13" s="787"/>
      <c r="AY13" s="787"/>
      <c r="AZ13" s="787"/>
      <c r="BA13" s="787"/>
      <c r="BB13" s="787"/>
      <c r="BC13" s="787"/>
      <c r="BD13" s="787"/>
      <c r="BE13" s="787"/>
      <c r="BF13" s="787"/>
      <c r="BG13" s="787"/>
      <c r="BH13" s="787"/>
      <c r="BI13" s="787"/>
      <c r="BJ13" s="1357"/>
      <c r="BK13" s="1357"/>
      <c r="BL13" s="1357"/>
      <c r="BM13" s="1357"/>
      <c r="BN13" s="1357"/>
      <c r="BO13" s="1357"/>
      <c r="BP13" s="1357"/>
      <c r="BQ13" s="787"/>
      <c r="BR13" s="787"/>
      <c r="BS13" s="1357"/>
      <c r="BT13" s="787"/>
      <c r="BU13" s="787"/>
      <c r="BV13" s="2493"/>
      <c r="BW13" s="2493"/>
      <c r="BX13" s="2493"/>
      <c r="BY13" s="2493"/>
      <c r="BZ13" s="787"/>
      <c r="CA13" s="787"/>
      <c r="CB13" s="2076"/>
      <c r="CC13" s="787"/>
      <c r="CD13" s="787"/>
      <c r="CE13" s="787"/>
      <c r="CF13" s="787"/>
      <c r="CG13" s="787"/>
      <c r="CH13" s="787"/>
      <c r="CI13" s="787"/>
      <c r="CJ13" s="787"/>
      <c r="CK13" s="787"/>
      <c r="CL13" s="787"/>
      <c r="CM13" s="787"/>
      <c r="CN13" s="787"/>
      <c r="CO13" s="788" t="s">
        <v>2960</v>
      </c>
      <c r="CP13" s="791" t="s">
        <v>1991</v>
      </c>
      <c r="CQ13" s="789"/>
      <c r="CR13" s="792"/>
    </row>
    <row r="14" spans="1:105" ht="18" x14ac:dyDescent="0.25">
      <c r="B14" s="784">
        <v>11</v>
      </c>
      <c r="C14" s="785" t="s">
        <v>233</v>
      </c>
      <c r="D14" s="786" t="s">
        <v>2953</v>
      </c>
      <c r="E14" s="791"/>
      <c r="F14" s="791"/>
      <c r="G14" s="791"/>
      <c r="H14" s="791"/>
      <c r="I14" s="906" t="s">
        <v>3241</v>
      </c>
      <c r="J14" s="791"/>
      <c r="K14" s="791" t="s">
        <v>3170</v>
      </c>
      <c r="L14" s="791"/>
      <c r="M14" s="791"/>
      <c r="N14" s="791"/>
      <c r="O14" s="791"/>
      <c r="P14" s="791"/>
      <c r="Q14" s="791"/>
      <c r="R14" s="791"/>
      <c r="S14" s="791" t="s">
        <v>3052</v>
      </c>
      <c r="T14" s="791">
        <v>-1</v>
      </c>
      <c r="U14" s="791"/>
      <c r="V14" s="791"/>
      <c r="W14" s="791"/>
      <c r="X14" s="791"/>
      <c r="Y14" s="791"/>
      <c r="Z14" s="791"/>
      <c r="AA14" s="791"/>
      <c r="AB14" s="791"/>
      <c r="AC14" s="2246"/>
      <c r="AD14" s="791" t="s">
        <v>3250</v>
      </c>
      <c r="AE14" s="791"/>
      <c r="AF14" s="791"/>
      <c r="AG14" s="791"/>
      <c r="AH14" s="791"/>
      <c r="AI14" s="791"/>
      <c r="AJ14" s="791" t="s">
        <v>3185</v>
      </c>
      <c r="AK14" s="791"/>
      <c r="AL14" s="791" t="s">
        <v>3252</v>
      </c>
      <c r="AM14" s="791"/>
      <c r="AN14" s="791"/>
      <c r="AO14" s="791"/>
      <c r="AP14" s="791" t="s">
        <v>3186</v>
      </c>
      <c r="AQ14" s="791"/>
      <c r="AR14" s="791"/>
      <c r="AS14" s="791"/>
      <c r="AT14" s="791"/>
      <c r="AU14" s="791" t="s">
        <v>5355</v>
      </c>
      <c r="AV14" s="791"/>
      <c r="AW14" s="787"/>
      <c r="AX14" s="787"/>
      <c r="AY14" s="787"/>
      <c r="AZ14" s="787"/>
      <c r="BA14" s="787"/>
      <c r="BB14" s="787"/>
      <c r="BC14" s="787"/>
      <c r="BD14" s="787"/>
      <c r="BE14" s="787"/>
      <c r="BF14" s="787"/>
      <c r="BG14" s="787"/>
      <c r="BH14" s="787"/>
      <c r="BI14" s="787"/>
      <c r="BJ14" s="1357"/>
      <c r="BK14" s="1357"/>
      <c r="BL14" s="1357"/>
      <c r="BM14" s="1357"/>
      <c r="BN14" s="1357"/>
      <c r="BO14" s="1357"/>
      <c r="BP14" s="1357"/>
      <c r="BQ14" s="787"/>
      <c r="BR14" s="787"/>
      <c r="BS14" s="1357"/>
      <c r="BT14" s="787"/>
      <c r="BU14" s="787"/>
      <c r="BV14" s="2493"/>
      <c r="BW14" s="2493"/>
      <c r="BX14" s="2493"/>
      <c r="BY14" s="2493"/>
      <c r="BZ14" s="787"/>
      <c r="CA14" s="787"/>
      <c r="CB14" s="2076"/>
      <c r="CC14" s="787"/>
      <c r="CD14" s="787"/>
      <c r="CE14" s="787"/>
      <c r="CF14" s="787"/>
      <c r="CG14" s="787"/>
      <c r="CH14" s="787"/>
      <c r="CI14" s="787"/>
      <c r="CJ14" s="787"/>
      <c r="CK14" s="787"/>
      <c r="CL14" s="787"/>
      <c r="CM14" s="787"/>
      <c r="CN14" s="787"/>
      <c r="CO14" s="788" t="s">
        <v>2961</v>
      </c>
      <c r="CP14" s="791" t="s">
        <v>1991</v>
      </c>
      <c r="CQ14" s="789"/>
      <c r="CR14" s="792"/>
    </row>
    <row r="15" spans="1:105" ht="18.75" x14ac:dyDescent="0.35">
      <c r="B15" s="1081">
        <v>12</v>
      </c>
      <c r="C15" s="1071" t="s">
        <v>234</v>
      </c>
      <c r="D15" s="795" t="s">
        <v>3549</v>
      </c>
      <c r="E15" s="1420"/>
      <c r="F15" s="1420">
        <v>-1</v>
      </c>
      <c r="G15" s="1421"/>
      <c r="H15" s="1421"/>
      <c r="I15" s="1421"/>
      <c r="J15" s="1421"/>
      <c r="K15" s="1421"/>
      <c r="L15" s="1421"/>
      <c r="M15" s="1421"/>
      <c r="N15" s="1421"/>
      <c r="O15" s="1421">
        <v>1</v>
      </c>
      <c r="P15" s="1421"/>
      <c r="Q15" s="1421"/>
      <c r="R15" s="1421"/>
      <c r="S15" s="1421"/>
      <c r="T15" s="1421"/>
      <c r="U15" s="1421"/>
      <c r="V15" s="1421"/>
      <c r="W15" s="1421"/>
      <c r="X15" s="1421"/>
      <c r="Y15" s="1421"/>
      <c r="Z15" s="1421"/>
      <c r="AA15" s="1421"/>
      <c r="AB15" s="1421"/>
      <c r="AC15" s="2247"/>
      <c r="AD15" s="1421"/>
      <c r="AE15" s="1421"/>
      <c r="AF15" s="1421"/>
      <c r="AG15" s="1421"/>
      <c r="AH15" s="1421"/>
      <c r="AI15" s="1421"/>
      <c r="AJ15" s="1421"/>
      <c r="AK15" s="1421"/>
      <c r="AL15" s="1421"/>
      <c r="AM15" s="1421"/>
      <c r="AN15" s="1421"/>
      <c r="AO15" s="1421"/>
      <c r="AP15" s="1421"/>
      <c r="AQ15" s="1421"/>
      <c r="AR15" s="1421"/>
      <c r="AS15" s="1421"/>
      <c r="AT15" s="1421"/>
      <c r="AU15" s="1421" t="s">
        <v>3255</v>
      </c>
      <c r="AV15" s="1421"/>
      <c r="AW15" s="1421"/>
      <c r="AX15" s="1421"/>
      <c r="AY15" s="1421"/>
      <c r="AZ15" s="1421"/>
      <c r="BA15" s="1421"/>
      <c r="BB15" s="1421"/>
      <c r="BC15" s="1421"/>
      <c r="BD15" s="1421"/>
      <c r="BE15" s="1421"/>
      <c r="BF15" s="1421"/>
      <c r="BG15" s="1421"/>
      <c r="BH15" s="1421"/>
      <c r="BI15" s="1421"/>
      <c r="BJ15" s="1422"/>
      <c r="BK15" s="1422"/>
      <c r="BL15" s="1422"/>
      <c r="BM15" s="1422"/>
      <c r="BN15" s="1422"/>
      <c r="BO15" s="1422"/>
      <c r="BP15" s="1422"/>
      <c r="BQ15" s="1421"/>
      <c r="BR15" s="1421"/>
      <c r="BS15" s="1422"/>
      <c r="BT15" s="1421"/>
      <c r="BU15" s="1421"/>
      <c r="BV15" s="2247"/>
      <c r="BW15" s="2247"/>
      <c r="BX15" s="2247"/>
      <c r="BY15" s="2247"/>
      <c r="BZ15" s="1421"/>
      <c r="CA15" s="1421"/>
      <c r="CB15" s="2077"/>
      <c r="CC15" s="1421"/>
      <c r="CD15" s="1421"/>
      <c r="CE15" s="1421"/>
      <c r="CF15" s="1421"/>
      <c r="CG15" s="1421"/>
      <c r="CH15" s="1421"/>
      <c r="CI15" s="1421"/>
      <c r="CJ15" s="1421"/>
      <c r="CK15" s="1421"/>
      <c r="CL15" s="1421"/>
      <c r="CM15" s="1421"/>
      <c r="CN15" s="1421"/>
      <c r="CO15" s="988" t="s">
        <v>3551</v>
      </c>
      <c r="CP15" s="796" t="s">
        <v>3048</v>
      </c>
      <c r="CQ15" s="1414"/>
      <c r="CR15" s="1415"/>
      <c r="CT15" s="669"/>
      <c r="CU15" s="669"/>
      <c r="CV15" s="669"/>
      <c r="CW15" s="669"/>
      <c r="CX15" s="669"/>
      <c r="CY15" s="669"/>
      <c r="CZ15" s="669"/>
      <c r="DA15" s="669"/>
    </row>
    <row r="16" spans="1:105" ht="18.75" x14ac:dyDescent="0.35">
      <c r="B16" s="1081">
        <v>13</v>
      </c>
      <c r="C16" s="1071" t="s">
        <v>235</v>
      </c>
      <c r="D16" s="795" t="s">
        <v>3550</v>
      </c>
      <c r="E16" s="1420">
        <v>-1</v>
      </c>
      <c r="F16" s="1420"/>
      <c r="G16" s="1421"/>
      <c r="H16" s="1421"/>
      <c r="I16" s="1421"/>
      <c r="J16" s="1421"/>
      <c r="K16" s="1421"/>
      <c r="L16" s="1421"/>
      <c r="M16" s="1421"/>
      <c r="N16" s="1421"/>
      <c r="O16" s="1421">
        <v>1</v>
      </c>
      <c r="P16" s="1421"/>
      <c r="Q16" s="1421"/>
      <c r="R16" s="1421"/>
      <c r="S16" s="1421"/>
      <c r="T16" s="1421"/>
      <c r="U16" s="1421"/>
      <c r="V16" s="1421"/>
      <c r="W16" s="1421"/>
      <c r="X16" s="1421"/>
      <c r="Y16" s="1421"/>
      <c r="Z16" s="1421"/>
      <c r="AA16" s="1421"/>
      <c r="AB16" s="1421"/>
      <c r="AC16" s="2247"/>
      <c r="AD16" s="1421"/>
      <c r="AE16" s="1421"/>
      <c r="AF16" s="1421"/>
      <c r="AG16" s="1421"/>
      <c r="AH16" s="1421"/>
      <c r="AI16" s="1421"/>
      <c r="AJ16" s="1421"/>
      <c r="AK16" s="1421"/>
      <c r="AL16" s="1421"/>
      <c r="AM16" s="1421"/>
      <c r="AN16" s="1421"/>
      <c r="AO16" s="1421"/>
      <c r="AP16" s="1421"/>
      <c r="AQ16" s="1421"/>
      <c r="AR16" s="1421"/>
      <c r="AS16" s="1421"/>
      <c r="AT16" s="1421"/>
      <c r="AU16" s="1421" t="s">
        <v>3256</v>
      </c>
      <c r="AV16" s="1421"/>
      <c r="AW16" s="1421"/>
      <c r="AX16" s="1421"/>
      <c r="AY16" s="1421"/>
      <c r="AZ16" s="1421"/>
      <c r="BA16" s="1421"/>
      <c r="BB16" s="1421"/>
      <c r="BC16" s="1421"/>
      <c r="BD16" s="1421"/>
      <c r="BE16" s="1421"/>
      <c r="BF16" s="1421"/>
      <c r="BG16" s="1421"/>
      <c r="BH16" s="1421"/>
      <c r="BI16" s="1421"/>
      <c r="BJ16" s="1422"/>
      <c r="BK16" s="1422"/>
      <c r="BL16" s="1422"/>
      <c r="BM16" s="1422"/>
      <c r="BN16" s="1422"/>
      <c r="BO16" s="1422"/>
      <c r="BP16" s="1422"/>
      <c r="BQ16" s="1421"/>
      <c r="BR16" s="1421"/>
      <c r="BS16" s="1422"/>
      <c r="BT16" s="1421"/>
      <c r="BU16" s="1421"/>
      <c r="BV16" s="2247"/>
      <c r="BW16" s="2247"/>
      <c r="BX16" s="2247"/>
      <c r="BY16" s="2247"/>
      <c r="BZ16" s="1421"/>
      <c r="CA16" s="1421"/>
      <c r="CB16" s="2077"/>
      <c r="CC16" s="1421"/>
      <c r="CD16" s="1421"/>
      <c r="CE16" s="1421"/>
      <c r="CF16" s="1421"/>
      <c r="CG16" s="1421"/>
      <c r="CH16" s="1421"/>
      <c r="CI16" s="1421"/>
      <c r="CJ16" s="1421"/>
      <c r="CK16" s="1421"/>
      <c r="CL16" s="1421"/>
      <c r="CM16" s="1421"/>
      <c r="CN16" s="1421"/>
      <c r="CO16" s="988" t="s">
        <v>3552</v>
      </c>
      <c r="CP16" s="796" t="s">
        <v>3048</v>
      </c>
      <c r="CQ16" s="1414"/>
      <c r="CR16" s="1415"/>
      <c r="CT16" s="669"/>
      <c r="CU16" s="669"/>
      <c r="CV16" s="669"/>
      <c r="CW16" s="669"/>
      <c r="CX16" s="669"/>
      <c r="CY16" s="669"/>
      <c r="CZ16" s="669"/>
      <c r="DA16" s="669"/>
    </row>
    <row r="17" spans="2:105" ht="18.75" x14ac:dyDescent="0.35">
      <c r="B17" s="1081">
        <v>14</v>
      </c>
      <c r="C17" s="1071" t="s">
        <v>236</v>
      </c>
      <c r="D17" s="795" t="s">
        <v>3047</v>
      </c>
      <c r="E17" s="1421"/>
      <c r="F17" s="1421"/>
      <c r="G17" s="1421"/>
      <c r="H17" s="1421"/>
      <c r="I17" s="1421"/>
      <c r="J17" s="1421"/>
      <c r="K17" s="1421"/>
      <c r="L17" s="1421"/>
      <c r="M17" s="1421"/>
      <c r="N17" s="1421"/>
      <c r="O17" s="1420" t="s">
        <v>3182</v>
      </c>
      <c r="P17" s="1421"/>
      <c r="Q17" s="1421"/>
      <c r="R17" s="1421"/>
      <c r="S17" s="1421"/>
      <c r="T17" s="1421"/>
      <c r="U17" s="1421">
        <v>1</v>
      </c>
      <c r="V17" s="1421"/>
      <c r="W17" s="1421"/>
      <c r="X17" s="1421"/>
      <c r="Y17" s="1421"/>
      <c r="Z17" s="1421"/>
      <c r="AA17" s="1421"/>
      <c r="AB17" s="1421"/>
      <c r="AC17" s="2247"/>
      <c r="AD17" s="1420" t="s">
        <v>3201</v>
      </c>
      <c r="AE17" s="1421"/>
      <c r="AF17" s="1421"/>
      <c r="AG17" s="1421"/>
      <c r="AH17" s="1421"/>
      <c r="AI17" s="1421"/>
      <c r="AJ17" s="1421"/>
      <c r="AK17" s="1421"/>
      <c r="AL17" s="1420" t="s">
        <v>4397</v>
      </c>
      <c r="AM17" s="1421"/>
      <c r="AN17" s="1421"/>
      <c r="AO17" s="1421"/>
      <c r="AP17" s="1421"/>
      <c r="AQ17" s="1421"/>
      <c r="AR17" s="1420" t="s">
        <v>3183</v>
      </c>
      <c r="AS17" s="1421"/>
      <c r="AT17" s="1421"/>
      <c r="AU17" s="1421" t="s">
        <v>3184</v>
      </c>
      <c r="AV17" s="1421" t="s">
        <v>2424</v>
      </c>
      <c r="AW17" s="1421" t="s">
        <v>3830</v>
      </c>
      <c r="AX17" s="1421" t="s">
        <v>3831</v>
      </c>
      <c r="AY17" s="1421" t="s">
        <v>3832</v>
      </c>
      <c r="AZ17" s="1421" t="s">
        <v>3833</v>
      </c>
      <c r="BA17" s="1421"/>
      <c r="BB17" s="1421"/>
      <c r="BC17" s="1421"/>
      <c r="BD17" s="1421"/>
      <c r="BE17" s="1421"/>
      <c r="BF17" s="1421"/>
      <c r="BG17" s="1421"/>
      <c r="BH17" s="1421"/>
      <c r="BI17" s="1421"/>
      <c r="BJ17" s="1422"/>
      <c r="BK17" s="1422"/>
      <c r="BL17" s="1422"/>
      <c r="BM17" s="1422"/>
      <c r="BN17" s="1422"/>
      <c r="BO17" s="1422"/>
      <c r="BP17" s="1422"/>
      <c r="BQ17" s="1421"/>
      <c r="BR17" s="1421"/>
      <c r="BS17" s="1422"/>
      <c r="BT17" s="1421"/>
      <c r="BU17" s="1421"/>
      <c r="BV17" s="2247"/>
      <c r="BW17" s="2247"/>
      <c r="BX17" s="2247"/>
      <c r="BY17" s="2247"/>
      <c r="BZ17" s="1421"/>
      <c r="CA17" s="1421"/>
      <c r="CB17" s="2077"/>
      <c r="CC17" s="1421"/>
      <c r="CD17" s="1421"/>
      <c r="CE17" s="1421"/>
      <c r="CF17" s="1421"/>
      <c r="CG17" s="1421"/>
      <c r="CH17" s="1421"/>
      <c r="CI17" s="1421"/>
      <c r="CJ17" s="1421"/>
      <c r="CK17" s="1421"/>
      <c r="CL17" s="1421"/>
      <c r="CM17" s="1421"/>
      <c r="CN17" s="1421"/>
      <c r="CO17" s="988" t="s">
        <v>3847</v>
      </c>
      <c r="CP17" s="796" t="s">
        <v>3048</v>
      </c>
      <c r="CQ17" s="1414"/>
      <c r="CR17" s="1415"/>
      <c r="CT17" s="669"/>
      <c r="CU17" s="669"/>
      <c r="CV17" s="669"/>
      <c r="CW17" s="669"/>
      <c r="CX17" s="669"/>
      <c r="CY17" s="669"/>
      <c r="CZ17" s="669"/>
      <c r="DA17" s="669"/>
    </row>
    <row r="18" spans="2:105" ht="18.75" x14ac:dyDescent="0.35">
      <c r="B18" s="1081">
        <v>15</v>
      </c>
      <c r="C18" s="1071" t="s">
        <v>237</v>
      </c>
      <c r="D18" s="795" t="s">
        <v>3049</v>
      </c>
      <c r="E18" s="1421"/>
      <c r="F18" s="1421"/>
      <c r="G18" s="1421"/>
      <c r="H18" s="1421"/>
      <c r="I18" s="1421" t="s">
        <v>3242</v>
      </c>
      <c r="J18" s="1421"/>
      <c r="K18" s="1421" t="s">
        <v>3050</v>
      </c>
      <c r="L18" s="1421"/>
      <c r="M18" s="1421"/>
      <c r="N18" s="1421"/>
      <c r="O18" s="1421" t="s">
        <v>3051</v>
      </c>
      <c r="P18" s="1421"/>
      <c r="Q18" s="1421"/>
      <c r="R18" s="1421" t="s">
        <v>3052</v>
      </c>
      <c r="S18" s="1421"/>
      <c r="T18" s="1421"/>
      <c r="U18" s="1421">
        <v>-1</v>
      </c>
      <c r="V18" s="1421"/>
      <c r="W18" s="1421"/>
      <c r="X18" s="1421"/>
      <c r="Y18" s="1421"/>
      <c r="Z18" s="1421"/>
      <c r="AA18" s="1421"/>
      <c r="AB18" s="1421"/>
      <c r="AC18" s="2247"/>
      <c r="AD18" s="1421" t="s">
        <v>3251</v>
      </c>
      <c r="AE18" s="1421"/>
      <c r="AF18" s="1421"/>
      <c r="AG18" s="1421"/>
      <c r="AH18" s="1421"/>
      <c r="AI18" s="1421"/>
      <c r="AJ18" s="1421" t="s">
        <v>3053</v>
      </c>
      <c r="AK18" s="1421"/>
      <c r="AL18" s="1421" t="s">
        <v>4398</v>
      </c>
      <c r="AM18" s="1421"/>
      <c r="AN18" s="1421"/>
      <c r="AO18" s="1421"/>
      <c r="AP18" s="1421" t="s">
        <v>3054</v>
      </c>
      <c r="AQ18" s="1421"/>
      <c r="AR18" s="1421"/>
      <c r="AS18" s="1421"/>
      <c r="AT18" s="1421"/>
      <c r="AU18" s="1421" t="s">
        <v>5357</v>
      </c>
      <c r="AV18" s="1421"/>
      <c r="AW18" s="1421"/>
      <c r="AX18" s="1421"/>
      <c r="AY18" s="1421"/>
      <c r="AZ18" s="1421"/>
      <c r="BA18" s="1421"/>
      <c r="BB18" s="1421"/>
      <c r="BC18" s="1421"/>
      <c r="BD18" s="1421"/>
      <c r="BE18" s="1421"/>
      <c r="BF18" s="1421"/>
      <c r="BG18" s="1421"/>
      <c r="BH18" s="1421"/>
      <c r="BI18" s="1421"/>
      <c r="BJ18" s="1422"/>
      <c r="BK18" s="1422"/>
      <c r="BL18" s="1422"/>
      <c r="BM18" s="1422"/>
      <c r="BN18" s="1422"/>
      <c r="BO18" s="1422"/>
      <c r="BP18" s="1422"/>
      <c r="BQ18" s="1421"/>
      <c r="BR18" s="1421"/>
      <c r="BS18" s="1422"/>
      <c r="BT18" s="1421"/>
      <c r="BU18" s="1421"/>
      <c r="BV18" s="2247"/>
      <c r="BW18" s="2247"/>
      <c r="BX18" s="2247"/>
      <c r="BY18" s="2247"/>
      <c r="BZ18" s="1421"/>
      <c r="CA18" s="1421"/>
      <c r="CB18" s="2077"/>
      <c r="CC18" s="1421"/>
      <c r="CD18" s="1421"/>
      <c r="CE18" s="1421"/>
      <c r="CF18" s="1421"/>
      <c r="CG18" s="1421"/>
      <c r="CH18" s="1421"/>
      <c r="CI18" s="1421"/>
      <c r="CJ18" s="1421"/>
      <c r="CK18" s="1421"/>
      <c r="CL18" s="1421"/>
      <c r="CM18" s="1421"/>
      <c r="CN18" s="1421"/>
      <c r="CO18" s="988" t="s">
        <v>3207</v>
      </c>
      <c r="CP18" s="796" t="s">
        <v>3048</v>
      </c>
      <c r="CQ18" s="1414"/>
      <c r="CR18" s="1415"/>
      <c r="CT18" s="669"/>
      <c r="CU18" s="669"/>
      <c r="CV18" s="669"/>
      <c r="CW18" s="669"/>
      <c r="CX18" s="669"/>
      <c r="CY18" s="669"/>
      <c r="CZ18" s="669"/>
      <c r="DA18" s="669"/>
    </row>
    <row r="19" spans="2:105" ht="18.75" x14ac:dyDescent="0.35">
      <c r="B19" s="1081">
        <v>16</v>
      </c>
      <c r="C19" s="1071" t="s">
        <v>238</v>
      </c>
      <c r="D19" s="795" t="s">
        <v>3173</v>
      </c>
      <c r="E19" s="1421"/>
      <c r="F19" s="1421"/>
      <c r="G19" s="1421"/>
      <c r="H19" s="1421"/>
      <c r="I19" s="1421" t="s">
        <v>3242</v>
      </c>
      <c r="J19" s="1421"/>
      <c r="K19" s="1421" t="s">
        <v>3050</v>
      </c>
      <c r="L19" s="1421"/>
      <c r="M19" s="1421"/>
      <c r="N19" s="1421"/>
      <c r="O19" s="1421" t="s">
        <v>3051</v>
      </c>
      <c r="P19" s="1421"/>
      <c r="Q19" s="1421"/>
      <c r="R19" s="1421"/>
      <c r="S19" s="1421" t="s">
        <v>3052</v>
      </c>
      <c r="T19" s="1421"/>
      <c r="U19" s="1421">
        <v>-1</v>
      </c>
      <c r="V19" s="1421"/>
      <c r="W19" s="1421"/>
      <c r="X19" s="1421"/>
      <c r="Y19" s="1421"/>
      <c r="Z19" s="1421"/>
      <c r="AA19" s="1421"/>
      <c r="AB19" s="1421"/>
      <c r="AC19" s="2247"/>
      <c r="AD19" s="1421" t="s">
        <v>3251</v>
      </c>
      <c r="AE19" s="1421"/>
      <c r="AF19" s="1421"/>
      <c r="AG19" s="1421"/>
      <c r="AH19" s="1421"/>
      <c r="AI19" s="1421"/>
      <c r="AJ19" s="1421" t="s">
        <v>3053</v>
      </c>
      <c r="AK19" s="1421"/>
      <c r="AL19" s="1421" t="s">
        <v>4398</v>
      </c>
      <c r="AM19" s="1421"/>
      <c r="AN19" s="1421"/>
      <c r="AO19" s="1421"/>
      <c r="AP19" s="1421" t="s">
        <v>3054</v>
      </c>
      <c r="AQ19" s="1421"/>
      <c r="AR19" s="1421"/>
      <c r="AS19" s="1421"/>
      <c r="AT19" s="1421"/>
      <c r="AU19" s="1421" t="s">
        <v>5357</v>
      </c>
      <c r="AV19" s="1421"/>
      <c r="AW19" s="1421"/>
      <c r="AX19" s="1421"/>
      <c r="AY19" s="1421"/>
      <c r="AZ19" s="1421"/>
      <c r="BA19" s="1421"/>
      <c r="BB19" s="1421"/>
      <c r="BC19" s="1421"/>
      <c r="BD19" s="1421"/>
      <c r="BE19" s="1421"/>
      <c r="BF19" s="1421"/>
      <c r="BG19" s="1421"/>
      <c r="BH19" s="1421"/>
      <c r="BI19" s="1421"/>
      <c r="BJ19" s="1422"/>
      <c r="BK19" s="1422"/>
      <c r="BL19" s="1422"/>
      <c r="BM19" s="1422"/>
      <c r="BN19" s="1422"/>
      <c r="BO19" s="1422"/>
      <c r="BP19" s="1422"/>
      <c r="BQ19" s="1421"/>
      <c r="BR19" s="1421"/>
      <c r="BS19" s="1422"/>
      <c r="BT19" s="1421"/>
      <c r="BU19" s="1421"/>
      <c r="BV19" s="2247"/>
      <c r="BW19" s="2247"/>
      <c r="BX19" s="2247"/>
      <c r="BY19" s="2247"/>
      <c r="BZ19" s="1421"/>
      <c r="CA19" s="1421"/>
      <c r="CB19" s="2077"/>
      <c r="CC19" s="1421"/>
      <c r="CD19" s="1421"/>
      <c r="CE19" s="1421"/>
      <c r="CF19" s="1421"/>
      <c r="CG19" s="1421"/>
      <c r="CH19" s="1421"/>
      <c r="CI19" s="1421"/>
      <c r="CJ19" s="1421"/>
      <c r="CK19" s="1421"/>
      <c r="CL19" s="1421"/>
      <c r="CM19" s="1421"/>
      <c r="CN19" s="1421"/>
      <c r="CO19" s="988" t="s">
        <v>3208</v>
      </c>
      <c r="CP19" s="796" t="s">
        <v>3048</v>
      </c>
      <c r="CQ19" s="1414"/>
      <c r="CR19" s="1415"/>
      <c r="CT19" s="669"/>
      <c r="CU19" s="669"/>
      <c r="CV19" s="669"/>
      <c r="CW19" s="669"/>
      <c r="CX19" s="669"/>
      <c r="CY19" s="669"/>
      <c r="CZ19" s="669"/>
      <c r="DA19" s="669"/>
    </row>
    <row r="20" spans="2:105" ht="18" x14ac:dyDescent="0.35">
      <c r="B20" s="1082">
        <v>17</v>
      </c>
      <c r="C20" s="1072" t="s">
        <v>239</v>
      </c>
      <c r="D20" s="797" t="s">
        <v>2202</v>
      </c>
      <c r="E20" s="798"/>
      <c r="F20" s="798"/>
      <c r="G20" s="798"/>
      <c r="H20" s="799" t="s">
        <v>1667</v>
      </c>
      <c r="I20" s="798"/>
      <c r="J20" s="798"/>
      <c r="K20" s="798"/>
      <c r="L20" s="798"/>
      <c r="M20" s="798"/>
      <c r="N20" s="798"/>
      <c r="O20" s="798"/>
      <c r="P20" s="798"/>
      <c r="Q20" s="798"/>
      <c r="R20" s="798"/>
      <c r="S20" s="798"/>
      <c r="T20" s="798"/>
      <c r="U20" s="798"/>
      <c r="V20" s="798"/>
      <c r="W20" s="798">
        <v>1</v>
      </c>
      <c r="X20" s="798"/>
      <c r="Y20" s="798"/>
      <c r="Z20" s="798"/>
      <c r="AA20" s="798"/>
      <c r="AB20" s="798"/>
      <c r="AC20" s="2248"/>
      <c r="AD20" s="798" t="s">
        <v>1660</v>
      </c>
      <c r="AE20" s="799" t="s">
        <v>2208</v>
      </c>
      <c r="AF20" s="799"/>
      <c r="AG20" s="799" t="s">
        <v>2209</v>
      </c>
      <c r="AH20" s="798"/>
      <c r="AI20" s="798"/>
      <c r="AJ20" s="798"/>
      <c r="AK20" s="798"/>
      <c r="AL20" s="799" t="s">
        <v>1661</v>
      </c>
      <c r="AM20" s="798"/>
      <c r="AN20" s="798"/>
      <c r="AO20" s="798"/>
      <c r="AP20" s="798"/>
      <c r="AQ20" s="798"/>
      <c r="AR20" s="798"/>
      <c r="AS20" s="798"/>
      <c r="AT20" s="798"/>
      <c r="AU20" s="799" t="s">
        <v>1954</v>
      </c>
      <c r="AV20" s="799" t="s">
        <v>2424</v>
      </c>
      <c r="AW20" s="799" t="s">
        <v>3830</v>
      </c>
      <c r="AX20" s="799" t="s">
        <v>3831</v>
      </c>
      <c r="AY20" s="799" t="s">
        <v>3832</v>
      </c>
      <c r="AZ20" s="799" t="s">
        <v>3833</v>
      </c>
      <c r="BA20" s="799"/>
      <c r="BB20" s="799"/>
      <c r="BC20" s="799"/>
      <c r="BD20" s="799"/>
      <c r="BE20" s="799"/>
      <c r="BF20" s="799"/>
      <c r="BG20" s="799"/>
      <c r="BH20" s="799"/>
      <c r="BI20" s="799"/>
      <c r="BJ20" s="1358"/>
      <c r="BK20" s="1358"/>
      <c r="BL20" s="1358"/>
      <c r="BM20" s="1358"/>
      <c r="BN20" s="1358"/>
      <c r="BO20" s="1358"/>
      <c r="BP20" s="1358"/>
      <c r="BQ20" s="799"/>
      <c r="BR20" s="799"/>
      <c r="BS20" s="1358"/>
      <c r="BT20" s="799"/>
      <c r="BU20" s="799"/>
      <c r="BV20" s="2494"/>
      <c r="BW20" s="2494"/>
      <c r="BX20" s="2494"/>
      <c r="BY20" s="2494"/>
      <c r="BZ20" s="799"/>
      <c r="CA20" s="799"/>
      <c r="CB20" s="2078"/>
      <c r="CC20" s="799"/>
      <c r="CD20" s="799"/>
      <c r="CE20" s="799"/>
      <c r="CF20" s="799"/>
      <c r="CG20" s="799"/>
      <c r="CH20" s="799"/>
      <c r="CI20" s="799"/>
      <c r="CJ20" s="799"/>
      <c r="CK20" s="799"/>
      <c r="CL20" s="799"/>
      <c r="CM20" s="799"/>
      <c r="CN20" s="799"/>
      <c r="CO20" s="775" t="s">
        <v>5425</v>
      </c>
      <c r="CP20" s="798" t="s">
        <v>1991</v>
      </c>
      <c r="CQ20" s="800"/>
      <c r="CR20" s="801"/>
    </row>
    <row r="21" spans="2:105" ht="18" x14ac:dyDescent="0.35">
      <c r="B21" s="1082">
        <v>18</v>
      </c>
      <c r="C21" s="1072" t="s">
        <v>240</v>
      </c>
      <c r="D21" s="797" t="s">
        <v>1666</v>
      </c>
      <c r="E21" s="798"/>
      <c r="F21" s="798"/>
      <c r="G21" s="798"/>
      <c r="H21" s="799" t="s">
        <v>1667</v>
      </c>
      <c r="I21" s="798"/>
      <c r="J21" s="798"/>
      <c r="K21" s="798"/>
      <c r="L21" s="798"/>
      <c r="M21" s="798"/>
      <c r="N21" s="798"/>
      <c r="O21" s="798"/>
      <c r="P21" s="798"/>
      <c r="Q21" s="798"/>
      <c r="R21" s="798"/>
      <c r="S21" s="798"/>
      <c r="T21" s="798"/>
      <c r="U21" s="798"/>
      <c r="V21" s="798"/>
      <c r="W21" s="798">
        <v>1</v>
      </c>
      <c r="X21" s="798"/>
      <c r="Y21" s="798"/>
      <c r="Z21" s="798"/>
      <c r="AA21" s="798"/>
      <c r="AB21" s="798"/>
      <c r="AC21" s="2248"/>
      <c r="AD21" s="798" t="s">
        <v>1660</v>
      </c>
      <c r="AE21" s="799" t="s">
        <v>2210</v>
      </c>
      <c r="AF21" s="799" t="s">
        <v>2211</v>
      </c>
      <c r="AG21" s="799"/>
      <c r="AH21" s="798"/>
      <c r="AI21" s="798"/>
      <c r="AJ21" s="798"/>
      <c r="AK21" s="798"/>
      <c r="AL21" s="799" t="s">
        <v>1661</v>
      </c>
      <c r="AM21" s="798"/>
      <c r="AN21" s="798"/>
      <c r="AO21" s="798"/>
      <c r="AP21" s="798"/>
      <c r="AQ21" s="798"/>
      <c r="AR21" s="798"/>
      <c r="AS21" s="798"/>
      <c r="AT21" s="798"/>
      <c r="AU21" s="799" t="s">
        <v>1954</v>
      </c>
      <c r="AV21" s="799" t="s">
        <v>2424</v>
      </c>
      <c r="AW21" s="799" t="s">
        <v>3830</v>
      </c>
      <c r="AX21" s="799" t="s">
        <v>3831</v>
      </c>
      <c r="AY21" s="799" t="s">
        <v>3832</v>
      </c>
      <c r="AZ21" s="799" t="s">
        <v>3833</v>
      </c>
      <c r="BA21" s="799"/>
      <c r="BB21" s="799"/>
      <c r="BC21" s="799"/>
      <c r="BD21" s="799"/>
      <c r="BE21" s="799"/>
      <c r="BF21" s="799"/>
      <c r="BG21" s="799"/>
      <c r="BH21" s="799"/>
      <c r="BI21" s="799"/>
      <c r="BJ21" s="1358"/>
      <c r="BK21" s="1358"/>
      <c r="BL21" s="1358"/>
      <c r="BM21" s="1358"/>
      <c r="BN21" s="1358"/>
      <c r="BO21" s="1358"/>
      <c r="BP21" s="1358"/>
      <c r="BQ21" s="799"/>
      <c r="BR21" s="799"/>
      <c r="BS21" s="1358"/>
      <c r="BT21" s="799"/>
      <c r="BU21" s="799"/>
      <c r="BV21" s="2494"/>
      <c r="BW21" s="2494"/>
      <c r="BX21" s="2494"/>
      <c r="BY21" s="2494"/>
      <c r="BZ21" s="799"/>
      <c r="CA21" s="799"/>
      <c r="CB21" s="2078"/>
      <c r="CC21" s="799"/>
      <c r="CD21" s="799"/>
      <c r="CE21" s="799"/>
      <c r="CF21" s="799"/>
      <c r="CG21" s="799"/>
      <c r="CH21" s="799"/>
      <c r="CI21" s="799"/>
      <c r="CJ21" s="799"/>
      <c r="CK21" s="799"/>
      <c r="CL21" s="799"/>
      <c r="CM21" s="799"/>
      <c r="CN21" s="799"/>
      <c r="CO21" s="775" t="s">
        <v>5394</v>
      </c>
      <c r="CP21" s="798" t="s">
        <v>1991</v>
      </c>
      <c r="CQ21" s="800"/>
      <c r="CR21" s="801"/>
    </row>
    <row r="22" spans="2:105" ht="18" x14ac:dyDescent="0.25">
      <c r="B22" s="1082">
        <v>19</v>
      </c>
      <c r="C22" s="1072" t="s">
        <v>241</v>
      </c>
      <c r="D22" s="797" t="s">
        <v>289</v>
      </c>
      <c r="E22" s="798"/>
      <c r="F22" s="798"/>
      <c r="G22" s="798"/>
      <c r="H22" s="798"/>
      <c r="I22" s="907" t="s">
        <v>3241</v>
      </c>
      <c r="J22" s="798"/>
      <c r="K22" s="798" t="s">
        <v>3170</v>
      </c>
      <c r="L22" s="798"/>
      <c r="M22" s="798"/>
      <c r="N22" s="798"/>
      <c r="O22" s="798"/>
      <c r="P22" s="798"/>
      <c r="Q22" s="798"/>
      <c r="R22" s="798" t="s">
        <v>3052</v>
      </c>
      <c r="S22" s="798"/>
      <c r="T22" s="798"/>
      <c r="U22" s="798"/>
      <c r="V22" s="798"/>
      <c r="W22" s="798">
        <v>-1</v>
      </c>
      <c r="X22" s="798"/>
      <c r="Y22" s="798"/>
      <c r="Z22" s="798"/>
      <c r="AA22" s="798"/>
      <c r="AB22" s="798"/>
      <c r="AC22" s="2248"/>
      <c r="AD22" s="798" t="s">
        <v>3250</v>
      </c>
      <c r="AE22" s="798"/>
      <c r="AF22" s="798"/>
      <c r="AG22" s="798"/>
      <c r="AH22" s="798"/>
      <c r="AI22" s="798"/>
      <c r="AJ22" s="798" t="s">
        <v>3185</v>
      </c>
      <c r="AK22" s="798"/>
      <c r="AL22" s="798" t="s">
        <v>3252</v>
      </c>
      <c r="AM22" s="798"/>
      <c r="AN22" s="798"/>
      <c r="AO22" s="798"/>
      <c r="AP22" s="798" t="s">
        <v>3186</v>
      </c>
      <c r="AQ22" s="798"/>
      <c r="AR22" s="798"/>
      <c r="AS22" s="798"/>
      <c r="AT22" s="798"/>
      <c r="AU22" s="798" t="s">
        <v>5355</v>
      </c>
      <c r="AV22" s="799"/>
      <c r="AW22" s="799"/>
      <c r="AX22" s="799"/>
      <c r="AY22" s="799"/>
      <c r="AZ22" s="799"/>
      <c r="BA22" s="799"/>
      <c r="BB22" s="799"/>
      <c r="BC22" s="799"/>
      <c r="BD22" s="799"/>
      <c r="BE22" s="799"/>
      <c r="BF22" s="799"/>
      <c r="BG22" s="799"/>
      <c r="BH22" s="799"/>
      <c r="BI22" s="799"/>
      <c r="BJ22" s="1358"/>
      <c r="BK22" s="1358"/>
      <c r="BL22" s="1358"/>
      <c r="BM22" s="1358"/>
      <c r="BN22" s="1358"/>
      <c r="BO22" s="1358"/>
      <c r="BP22" s="1358"/>
      <c r="BQ22" s="799"/>
      <c r="BR22" s="799"/>
      <c r="BS22" s="1358"/>
      <c r="BT22" s="799"/>
      <c r="BU22" s="799"/>
      <c r="BV22" s="2494"/>
      <c r="BW22" s="2494"/>
      <c r="BX22" s="2494"/>
      <c r="BY22" s="2494"/>
      <c r="BZ22" s="799"/>
      <c r="CA22" s="799"/>
      <c r="CB22" s="2078"/>
      <c r="CC22" s="799"/>
      <c r="CD22" s="799"/>
      <c r="CE22" s="799"/>
      <c r="CF22" s="799"/>
      <c r="CG22" s="799"/>
      <c r="CH22" s="799"/>
      <c r="CI22" s="799"/>
      <c r="CJ22" s="799"/>
      <c r="CK22" s="799"/>
      <c r="CL22" s="799"/>
      <c r="CM22" s="799"/>
      <c r="CN22" s="799"/>
      <c r="CO22" s="775" t="s">
        <v>3757</v>
      </c>
      <c r="CP22" s="798" t="s">
        <v>1991</v>
      </c>
      <c r="CQ22" s="800"/>
      <c r="CR22" s="801"/>
    </row>
    <row r="23" spans="2:105" ht="18" x14ac:dyDescent="0.25">
      <c r="B23" s="1082">
        <v>20</v>
      </c>
      <c r="C23" s="1072" t="s">
        <v>242</v>
      </c>
      <c r="D23" s="797" t="s">
        <v>2954</v>
      </c>
      <c r="E23" s="798"/>
      <c r="F23" s="798"/>
      <c r="G23" s="798"/>
      <c r="H23" s="798"/>
      <c r="I23" s="907" t="s">
        <v>3241</v>
      </c>
      <c r="J23" s="798"/>
      <c r="K23" s="798" t="s">
        <v>3170</v>
      </c>
      <c r="L23" s="798"/>
      <c r="M23" s="798"/>
      <c r="N23" s="798"/>
      <c r="O23" s="798"/>
      <c r="P23" s="798"/>
      <c r="Q23" s="798"/>
      <c r="R23" s="798"/>
      <c r="S23" s="798" t="s">
        <v>3052</v>
      </c>
      <c r="T23" s="798"/>
      <c r="U23" s="798"/>
      <c r="V23" s="798"/>
      <c r="W23" s="798">
        <v>-1</v>
      </c>
      <c r="X23" s="798"/>
      <c r="Y23" s="798"/>
      <c r="Z23" s="798"/>
      <c r="AA23" s="798"/>
      <c r="AB23" s="798"/>
      <c r="AC23" s="2248"/>
      <c r="AD23" s="798" t="s">
        <v>3250</v>
      </c>
      <c r="AE23" s="798"/>
      <c r="AF23" s="798"/>
      <c r="AG23" s="798"/>
      <c r="AH23" s="798"/>
      <c r="AI23" s="798"/>
      <c r="AJ23" s="798" t="s">
        <v>3185</v>
      </c>
      <c r="AK23" s="798"/>
      <c r="AL23" s="798" t="s">
        <v>3252</v>
      </c>
      <c r="AM23" s="798"/>
      <c r="AN23" s="798"/>
      <c r="AO23" s="798"/>
      <c r="AP23" s="798" t="s">
        <v>3186</v>
      </c>
      <c r="AQ23" s="798"/>
      <c r="AR23" s="798"/>
      <c r="AS23" s="798"/>
      <c r="AT23" s="798"/>
      <c r="AU23" s="798" t="s">
        <v>5355</v>
      </c>
      <c r="AV23" s="799"/>
      <c r="AW23" s="799"/>
      <c r="AX23" s="799"/>
      <c r="AY23" s="799"/>
      <c r="AZ23" s="799"/>
      <c r="BA23" s="799"/>
      <c r="BB23" s="799"/>
      <c r="BC23" s="799"/>
      <c r="BD23" s="799"/>
      <c r="BE23" s="799"/>
      <c r="BF23" s="799"/>
      <c r="BG23" s="799"/>
      <c r="BH23" s="799"/>
      <c r="BI23" s="799"/>
      <c r="BJ23" s="1358"/>
      <c r="BK23" s="1358"/>
      <c r="BL23" s="1358"/>
      <c r="BM23" s="1358"/>
      <c r="BN23" s="1358"/>
      <c r="BO23" s="1358"/>
      <c r="BP23" s="1358"/>
      <c r="BQ23" s="799"/>
      <c r="BR23" s="799"/>
      <c r="BS23" s="1358"/>
      <c r="BT23" s="799"/>
      <c r="BU23" s="799"/>
      <c r="BV23" s="2494"/>
      <c r="BW23" s="2494"/>
      <c r="BX23" s="2494"/>
      <c r="BY23" s="2494"/>
      <c r="BZ23" s="799"/>
      <c r="CA23" s="799"/>
      <c r="CB23" s="2078"/>
      <c r="CC23" s="799"/>
      <c r="CD23" s="799"/>
      <c r="CE23" s="799"/>
      <c r="CF23" s="799"/>
      <c r="CG23" s="799"/>
      <c r="CH23" s="799"/>
      <c r="CI23" s="799"/>
      <c r="CJ23" s="799"/>
      <c r="CK23" s="799"/>
      <c r="CL23" s="799"/>
      <c r="CM23" s="799"/>
      <c r="CN23" s="799"/>
      <c r="CO23" s="775" t="s">
        <v>3736</v>
      </c>
      <c r="CP23" s="798" t="s">
        <v>1991</v>
      </c>
      <c r="CQ23" s="800"/>
      <c r="CR23" s="801"/>
    </row>
    <row r="24" spans="2:105" ht="18" x14ac:dyDescent="0.25">
      <c r="B24" s="1083">
        <v>21</v>
      </c>
      <c r="C24" s="1073" t="s">
        <v>243</v>
      </c>
      <c r="D24" s="2590" t="s">
        <v>5302</v>
      </c>
      <c r="E24" s="803"/>
      <c r="F24" s="803"/>
      <c r="G24" s="803"/>
      <c r="H24" s="803"/>
      <c r="I24" s="803"/>
      <c r="J24" s="803"/>
      <c r="K24" s="803"/>
      <c r="L24" s="803"/>
      <c r="M24" s="803"/>
      <c r="N24" s="803"/>
      <c r="O24" s="803"/>
      <c r="P24" s="804" t="s">
        <v>5288</v>
      </c>
      <c r="Q24" s="804" t="s">
        <v>5290</v>
      </c>
      <c r="R24" s="803"/>
      <c r="S24" s="803"/>
      <c r="T24" s="803"/>
      <c r="U24" s="803"/>
      <c r="V24" s="803">
        <v>1</v>
      </c>
      <c r="W24" s="803"/>
      <c r="X24" s="803"/>
      <c r="Y24" s="803"/>
      <c r="Z24" s="803"/>
      <c r="AA24" s="803"/>
      <c r="AB24" s="803"/>
      <c r="AC24" s="2249"/>
      <c r="AD24" s="803" t="s">
        <v>1660</v>
      </c>
      <c r="AE24" s="803"/>
      <c r="AF24" s="803"/>
      <c r="AG24" s="803"/>
      <c r="AH24" s="803"/>
      <c r="AI24" s="803"/>
      <c r="AJ24" s="803"/>
      <c r="AK24" s="803"/>
      <c r="AL24" s="804" t="s">
        <v>1661</v>
      </c>
      <c r="AM24" s="803"/>
      <c r="AN24" s="803"/>
      <c r="AO24" s="803"/>
      <c r="AP24" s="803"/>
      <c r="AQ24" s="803"/>
      <c r="AR24" s="804" t="s">
        <v>4124</v>
      </c>
      <c r="AS24" s="804"/>
      <c r="AT24" s="804"/>
      <c r="AU24" s="804" t="s">
        <v>4127</v>
      </c>
      <c r="AV24" s="804" t="s">
        <v>2424</v>
      </c>
      <c r="AW24" s="804" t="s">
        <v>3830</v>
      </c>
      <c r="AX24" s="804" t="s">
        <v>3831</v>
      </c>
      <c r="AY24" s="804" t="s">
        <v>3832</v>
      </c>
      <c r="AZ24" s="804" t="s">
        <v>3833</v>
      </c>
      <c r="BA24" s="804"/>
      <c r="BB24" s="804"/>
      <c r="BC24" s="804"/>
      <c r="BD24" s="804"/>
      <c r="BE24" s="804"/>
      <c r="BF24" s="804"/>
      <c r="BG24" s="804"/>
      <c r="BH24" s="804"/>
      <c r="BI24" s="804"/>
      <c r="BJ24" s="1359"/>
      <c r="BK24" s="1359"/>
      <c r="BL24" s="1359"/>
      <c r="BM24" s="1359"/>
      <c r="BN24" s="1359"/>
      <c r="BO24" s="1359"/>
      <c r="BP24" s="1359"/>
      <c r="BQ24" s="804"/>
      <c r="BR24" s="804"/>
      <c r="BS24" s="1359"/>
      <c r="BT24" s="804"/>
      <c r="BU24" s="804"/>
      <c r="BV24" s="2495"/>
      <c r="BW24" s="2495"/>
      <c r="BX24" s="2495"/>
      <c r="BY24" s="2495"/>
      <c r="BZ24" s="804"/>
      <c r="CA24" s="804"/>
      <c r="CB24" s="2079"/>
      <c r="CC24" s="804"/>
      <c r="CD24" s="804"/>
      <c r="CE24" s="804"/>
      <c r="CF24" s="804"/>
      <c r="CG24" s="804"/>
      <c r="CH24" s="804"/>
      <c r="CI24" s="804"/>
      <c r="CJ24" s="804"/>
      <c r="CK24" s="804"/>
      <c r="CL24" s="804"/>
      <c r="CM24" s="804"/>
      <c r="CN24" s="804"/>
      <c r="CO24" s="805" t="s">
        <v>4163</v>
      </c>
      <c r="CP24" s="1412" t="s">
        <v>1991</v>
      </c>
      <c r="CQ24" s="806"/>
      <c r="CR24" s="807"/>
    </row>
    <row r="25" spans="2:105" ht="18" x14ac:dyDescent="0.25">
      <c r="B25" s="1083">
        <v>22</v>
      </c>
      <c r="C25" s="1073" t="s">
        <v>244</v>
      </c>
      <c r="D25" s="2590" t="s">
        <v>5303</v>
      </c>
      <c r="E25" s="803"/>
      <c r="F25" s="803"/>
      <c r="G25" s="803"/>
      <c r="H25" s="803"/>
      <c r="I25" s="803"/>
      <c r="J25" s="803"/>
      <c r="K25" s="803"/>
      <c r="L25" s="803"/>
      <c r="M25" s="803"/>
      <c r="N25" s="803"/>
      <c r="O25" s="803"/>
      <c r="P25" s="804" t="s">
        <v>5289</v>
      </c>
      <c r="Q25" s="804" t="s">
        <v>5291</v>
      </c>
      <c r="R25" s="803"/>
      <c r="S25" s="803"/>
      <c r="T25" s="803"/>
      <c r="U25" s="803"/>
      <c r="V25" s="803">
        <v>1</v>
      </c>
      <c r="W25" s="803"/>
      <c r="X25" s="803"/>
      <c r="Y25" s="803"/>
      <c r="Z25" s="803"/>
      <c r="AA25" s="803"/>
      <c r="AB25" s="803"/>
      <c r="AC25" s="2249"/>
      <c r="AD25" s="803" t="s">
        <v>1660</v>
      </c>
      <c r="AE25" s="804" t="s">
        <v>4112</v>
      </c>
      <c r="AF25" s="804"/>
      <c r="AG25" s="804" t="s">
        <v>4118</v>
      </c>
      <c r="AH25" s="803"/>
      <c r="AI25" s="803"/>
      <c r="AJ25" s="803"/>
      <c r="AK25" s="803"/>
      <c r="AL25" s="804" t="s">
        <v>1661</v>
      </c>
      <c r="AM25" s="803"/>
      <c r="AN25" s="803"/>
      <c r="AO25" s="803"/>
      <c r="AP25" s="803"/>
      <c r="AQ25" s="803"/>
      <c r="AR25" s="804"/>
      <c r="AS25" s="804"/>
      <c r="AT25" s="804"/>
      <c r="AU25" s="804" t="s">
        <v>4128</v>
      </c>
      <c r="AV25" s="804" t="s">
        <v>2424</v>
      </c>
      <c r="AW25" s="804" t="s">
        <v>3830</v>
      </c>
      <c r="AX25" s="804" t="s">
        <v>3831</v>
      </c>
      <c r="AY25" s="804" t="s">
        <v>3832</v>
      </c>
      <c r="AZ25" s="804" t="s">
        <v>3833</v>
      </c>
      <c r="BA25" s="804"/>
      <c r="BB25" s="804"/>
      <c r="BC25" s="804"/>
      <c r="BD25" s="804"/>
      <c r="BE25" s="804"/>
      <c r="BF25" s="804"/>
      <c r="BG25" s="804"/>
      <c r="BH25" s="804"/>
      <c r="BI25" s="804"/>
      <c r="BJ25" s="1359"/>
      <c r="BK25" s="1359"/>
      <c r="BL25" s="1359"/>
      <c r="BM25" s="1359"/>
      <c r="BN25" s="1359"/>
      <c r="BO25" s="1359"/>
      <c r="BP25" s="1359"/>
      <c r="BQ25" s="804"/>
      <c r="BR25" s="804"/>
      <c r="BS25" s="1359"/>
      <c r="BT25" s="804"/>
      <c r="BU25" s="804"/>
      <c r="BV25" s="2495"/>
      <c r="BW25" s="2495"/>
      <c r="BX25" s="2495"/>
      <c r="BY25" s="2495"/>
      <c r="BZ25" s="804"/>
      <c r="CA25" s="804"/>
      <c r="CB25" s="2079"/>
      <c r="CC25" s="804"/>
      <c r="CD25" s="804"/>
      <c r="CE25" s="804"/>
      <c r="CF25" s="804"/>
      <c r="CG25" s="804"/>
      <c r="CH25" s="804"/>
      <c r="CI25" s="804"/>
      <c r="CJ25" s="804"/>
      <c r="CK25" s="804"/>
      <c r="CL25" s="804"/>
      <c r="CM25" s="804"/>
      <c r="CN25" s="804"/>
      <c r="CO25" s="805" t="s">
        <v>4164</v>
      </c>
      <c r="CP25" s="1412" t="s">
        <v>1991</v>
      </c>
      <c r="CQ25" s="806"/>
      <c r="CR25" s="807"/>
    </row>
    <row r="26" spans="2:105" ht="18" x14ac:dyDescent="0.25">
      <c r="B26" s="1083">
        <v>23</v>
      </c>
      <c r="C26" s="1073" t="s">
        <v>245</v>
      </c>
      <c r="D26" s="2590" t="s">
        <v>5304</v>
      </c>
      <c r="E26" s="803"/>
      <c r="F26" s="803"/>
      <c r="G26" s="803"/>
      <c r="H26" s="803"/>
      <c r="I26" s="803"/>
      <c r="J26" s="803"/>
      <c r="K26" s="803"/>
      <c r="L26" s="803"/>
      <c r="M26" s="803"/>
      <c r="N26" s="803"/>
      <c r="O26" s="803"/>
      <c r="P26" s="804" t="s">
        <v>5289</v>
      </c>
      <c r="Q26" s="804" t="s">
        <v>5291</v>
      </c>
      <c r="R26" s="803"/>
      <c r="S26" s="803"/>
      <c r="T26" s="803"/>
      <c r="U26" s="803"/>
      <c r="V26" s="803">
        <v>1</v>
      </c>
      <c r="W26" s="803"/>
      <c r="X26" s="803"/>
      <c r="Y26" s="803"/>
      <c r="Z26" s="803"/>
      <c r="AA26" s="803"/>
      <c r="AB26" s="803"/>
      <c r="AC26" s="2249"/>
      <c r="AD26" s="803" t="s">
        <v>1660</v>
      </c>
      <c r="AE26" s="804" t="s">
        <v>4113</v>
      </c>
      <c r="AF26" s="804" t="s">
        <v>4114</v>
      </c>
      <c r="AG26" s="804"/>
      <c r="AH26" s="803"/>
      <c r="AI26" s="803"/>
      <c r="AJ26" s="803"/>
      <c r="AK26" s="803"/>
      <c r="AL26" s="804" t="s">
        <v>1661</v>
      </c>
      <c r="AM26" s="803"/>
      <c r="AN26" s="803"/>
      <c r="AO26" s="803"/>
      <c r="AP26" s="803"/>
      <c r="AQ26" s="803"/>
      <c r="AR26" s="803"/>
      <c r="AS26" s="803"/>
      <c r="AT26" s="803"/>
      <c r="AU26" s="804" t="s">
        <v>4128</v>
      </c>
      <c r="AV26" s="804" t="s">
        <v>2424</v>
      </c>
      <c r="AW26" s="804" t="s">
        <v>3830</v>
      </c>
      <c r="AX26" s="804" t="s">
        <v>3831</v>
      </c>
      <c r="AY26" s="804" t="s">
        <v>3832</v>
      </c>
      <c r="AZ26" s="804" t="s">
        <v>3833</v>
      </c>
      <c r="BA26" s="804"/>
      <c r="BB26" s="804"/>
      <c r="BC26" s="804"/>
      <c r="BD26" s="804"/>
      <c r="BE26" s="804"/>
      <c r="BF26" s="804"/>
      <c r="BG26" s="804"/>
      <c r="BH26" s="804"/>
      <c r="BI26" s="804"/>
      <c r="BJ26" s="1359"/>
      <c r="BK26" s="1359"/>
      <c r="BL26" s="1359"/>
      <c r="BM26" s="1359"/>
      <c r="BN26" s="1359"/>
      <c r="BO26" s="1359"/>
      <c r="BP26" s="1359"/>
      <c r="BQ26" s="804"/>
      <c r="BR26" s="804"/>
      <c r="BS26" s="1359"/>
      <c r="BT26" s="804"/>
      <c r="BU26" s="804"/>
      <c r="BV26" s="2495"/>
      <c r="BW26" s="2495"/>
      <c r="BX26" s="2495"/>
      <c r="BY26" s="2495"/>
      <c r="BZ26" s="804"/>
      <c r="CA26" s="804"/>
      <c r="CB26" s="2079"/>
      <c r="CC26" s="804"/>
      <c r="CD26" s="804"/>
      <c r="CE26" s="804"/>
      <c r="CF26" s="804"/>
      <c r="CG26" s="804"/>
      <c r="CH26" s="804"/>
      <c r="CI26" s="804"/>
      <c r="CJ26" s="804"/>
      <c r="CK26" s="804"/>
      <c r="CL26" s="804"/>
      <c r="CM26" s="804"/>
      <c r="CN26" s="804"/>
      <c r="CO26" s="805" t="s">
        <v>4165</v>
      </c>
      <c r="CP26" s="803" t="s">
        <v>1991</v>
      </c>
      <c r="CQ26" s="802"/>
      <c r="CR26" s="808"/>
    </row>
    <row r="27" spans="2:105" ht="18" x14ac:dyDescent="0.25">
      <c r="B27" s="1083">
        <v>24</v>
      </c>
      <c r="C27" s="1073" t="s">
        <v>246</v>
      </c>
      <c r="D27" s="806" t="s">
        <v>4095</v>
      </c>
      <c r="E27" s="803"/>
      <c r="F27" s="803"/>
      <c r="G27" s="803"/>
      <c r="H27" s="803"/>
      <c r="I27" s="803"/>
      <c r="J27" s="803"/>
      <c r="K27" s="803"/>
      <c r="L27" s="803"/>
      <c r="M27" s="803"/>
      <c r="N27" s="803"/>
      <c r="O27" s="803"/>
      <c r="P27" s="804"/>
      <c r="Q27" s="804"/>
      <c r="R27" s="803"/>
      <c r="S27" s="803"/>
      <c r="T27" s="803"/>
      <c r="U27" s="803"/>
      <c r="V27" s="804" t="s">
        <v>4108</v>
      </c>
      <c r="W27" s="803"/>
      <c r="X27" s="803"/>
      <c r="Y27" s="803"/>
      <c r="Z27" s="803"/>
      <c r="AA27" s="803"/>
      <c r="AB27" s="803"/>
      <c r="AC27" s="2249"/>
      <c r="AD27" s="803" t="s">
        <v>4110</v>
      </c>
      <c r="AE27" s="804"/>
      <c r="AF27" s="804"/>
      <c r="AG27" s="803"/>
      <c r="AH27" s="803"/>
      <c r="AI27" s="803"/>
      <c r="AJ27" s="803"/>
      <c r="AK27" s="803"/>
      <c r="AL27" s="804" t="s">
        <v>4120</v>
      </c>
      <c r="AM27" s="803">
        <v>1</v>
      </c>
      <c r="AN27" s="803"/>
      <c r="AO27" s="803"/>
      <c r="AP27" s="803"/>
      <c r="AQ27" s="803"/>
      <c r="AR27" s="804" t="s">
        <v>4108</v>
      </c>
      <c r="AS27" s="803"/>
      <c r="AT27" s="803"/>
      <c r="AU27" s="804" t="s">
        <v>4129</v>
      </c>
      <c r="AV27" s="804" t="s">
        <v>4132</v>
      </c>
      <c r="AW27" s="804" t="s">
        <v>4134</v>
      </c>
      <c r="AX27" s="804" t="s">
        <v>4136</v>
      </c>
      <c r="AY27" s="804" t="s">
        <v>4138</v>
      </c>
      <c r="AZ27" s="804" t="s">
        <v>4139</v>
      </c>
      <c r="BA27" s="804" t="s">
        <v>4140</v>
      </c>
      <c r="BB27" s="804"/>
      <c r="BC27" s="804"/>
      <c r="BD27" s="804"/>
      <c r="BE27" s="804"/>
      <c r="BF27" s="804"/>
      <c r="BG27" s="804"/>
      <c r="BH27" s="804"/>
      <c r="BI27" s="804"/>
      <c r="BJ27" s="1359"/>
      <c r="BK27" s="1359"/>
      <c r="BL27" s="1359"/>
      <c r="BM27" s="1359"/>
      <c r="BN27" s="1359"/>
      <c r="BO27" s="1359"/>
      <c r="BP27" s="1359"/>
      <c r="BQ27" s="804"/>
      <c r="BR27" s="804"/>
      <c r="BS27" s="1359"/>
      <c r="BT27" s="804"/>
      <c r="BU27" s="804"/>
      <c r="BV27" s="2495"/>
      <c r="BW27" s="2495"/>
      <c r="BX27" s="2495"/>
      <c r="BY27" s="2495"/>
      <c r="BZ27" s="804"/>
      <c r="CA27" s="804"/>
      <c r="CB27" s="2079"/>
      <c r="CC27" s="804"/>
      <c r="CD27" s="804"/>
      <c r="CE27" s="804"/>
      <c r="CF27" s="804"/>
      <c r="CG27" s="804"/>
      <c r="CH27" s="804"/>
      <c r="CI27" s="804"/>
      <c r="CJ27" s="804"/>
      <c r="CK27" s="804"/>
      <c r="CL27" s="804"/>
      <c r="CM27" s="804"/>
      <c r="CN27" s="804"/>
      <c r="CO27" s="805" t="s">
        <v>4405</v>
      </c>
      <c r="CP27" s="1412" t="s">
        <v>4144</v>
      </c>
      <c r="CQ27" s="802"/>
      <c r="CR27" s="808"/>
    </row>
    <row r="28" spans="2:105" ht="18" x14ac:dyDescent="0.25">
      <c r="B28" s="1083">
        <v>25</v>
      </c>
      <c r="C28" s="1073" t="s">
        <v>247</v>
      </c>
      <c r="D28" s="806" t="s">
        <v>4096</v>
      </c>
      <c r="E28" s="803"/>
      <c r="F28" s="803"/>
      <c r="G28" s="803"/>
      <c r="H28" s="803"/>
      <c r="I28" s="803"/>
      <c r="J28" s="803"/>
      <c r="K28" s="803"/>
      <c r="L28" s="803"/>
      <c r="M28" s="803"/>
      <c r="N28" s="803"/>
      <c r="O28" s="803"/>
      <c r="P28" s="804"/>
      <c r="Q28" s="804"/>
      <c r="R28" s="803"/>
      <c r="S28" s="803"/>
      <c r="T28" s="803"/>
      <c r="U28" s="803"/>
      <c r="V28" s="804" t="s">
        <v>4109</v>
      </c>
      <c r="W28" s="803"/>
      <c r="X28" s="803"/>
      <c r="Y28" s="803"/>
      <c r="Z28" s="803"/>
      <c r="AA28" s="803"/>
      <c r="AB28" s="803"/>
      <c r="AC28" s="2249"/>
      <c r="AD28" s="803" t="s">
        <v>4111</v>
      </c>
      <c r="AE28" s="804" t="s">
        <v>4115</v>
      </c>
      <c r="AF28" s="804"/>
      <c r="AG28" s="804" t="s">
        <v>4119</v>
      </c>
      <c r="AH28" s="803"/>
      <c r="AI28" s="803"/>
      <c r="AJ28" s="803"/>
      <c r="AK28" s="803"/>
      <c r="AL28" s="804" t="s">
        <v>4121</v>
      </c>
      <c r="AM28" s="803">
        <v>1</v>
      </c>
      <c r="AN28" s="803"/>
      <c r="AO28" s="803"/>
      <c r="AP28" s="803"/>
      <c r="AQ28" s="803"/>
      <c r="AR28" s="803"/>
      <c r="AS28" s="803"/>
      <c r="AT28" s="803"/>
      <c r="AU28" s="804" t="s">
        <v>4130</v>
      </c>
      <c r="AV28" s="804" t="s">
        <v>4133</v>
      </c>
      <c r="AW28" s="804" t="s">
        <v>4135</v>
      </c>
      <c r="AX28" s="804" t="s">
        <v>4137</v>
      </c>
      <c r="AY28" s="804" t="s">
        <v>4141</v>
      </c>
      <c r="AZ28" s="804" t="s">
        <v>4142</v>
      </c>
      <c r="BA28" s="804" t="s">
        <v>4140</v>
      </c>
      <c r="BB28" s="804"/>
      <c r="BC28" s="804"/>
      <c r="BD28" s="804"/>
      <c r="BE28" s="804"/>
      <c r="BF28" s="804"/>
      <c r="BG28" s="804"/>
      <c r="BH28" s="804"/>
      <c r="BI28" s="804"/>
      <c r="BJ28" s="1359"/>
      <c r="BK28" s="1359"/>
      <c r="BL28" s="1359"/>
      <c r="BM28" s="1359"/>
      <c r="BN28" s="1359"/>
      <c r="BO28" s="1359"/>
      <c r="BP28" s="1359"/>
      <c r="BQ28" s="804"/>
      <c r="BR28" s="804"/>
      <c r="BS28" s="1359"/>
      <c r="BT28" s="804"/>
      <c r="BU28" s="804"/>
      <c r="BV28" s="2495"/>
      <c r="BW28" s="2495"/>
      <c r="BX28" s="2495"/>
      <c r="BY28" s="2495"/>
      <c r="BZ28" s="804"/>
      <c r="CA28" s="804"/>
      <c r="CB28" s="2079"/>
      <c r="CC28" s="804"/>
      <c r="CD28" s="804"/>
      <c r="CE28" s="804"/>
      <c r="CF28" s="804"/>
      <c r="CG28" s="804"/>
      <c r="CH28" s="804"/>
      <c r="CI28" s="804"/>
      <c r="CJ28" s="804"/>
      <c r="CK28" s="804"/>
      <c r="CL28" s="804"/>
      <c r="CM28" s="804"/>
      <c r="CN28" s="804"/>
      <c r="CO28" s="805" t="s">
        <v>4406</v>
      </c>
      <c r="CP28" s="803" t="s">
        <v>4144</v>
      </c>
      <c r="CQ28" s="802"/>
      <c r="CR28" s="808"/>
    </row>
    <row r="29" spans="2:105" ht="18" x14ac:dyDescent="0.25">
      <c r="B29" s="1083">
        <v>26</v>
      </c>
      <c r="C29" s="1073" t="s">
        <v>248</v>
      </c>
      <c r="D29" s="806" t="s">
        <v>4097</v>
      </c>
      <c r="E29" s="803"/>
      <c r="F29" s="803"/>
      <c r="G29" s="803"/>
      <c r="H29" s="803"/>
      <c r="I29" s="803"/>
      <c r="J29" s="803"/>
      <c r="K29" s="803"/>
      <c r="L29" s="803"/>
      <c r="M29" s="803"/>
      <c r="N29" s="803"/>
      <c r="O29" s="803"/>
      <c r="P29" s="804"/>
      <c r="Q29" s="804"/>
      <c r="R29" s="803"/>
      <c r="S29" s="803"/>
      <c r="T29" s="803"/>
      <c r="U29" s="803"/>
      <c r="V29" s="804" t="s">
        <v>4109</v>
      </c>
      <c r="W29" s="803"/>
      <c r="X29" s="803"/>
      <c r="Y29" s="803"/>
      <c r="Z29" s="803"/>
      <c r="AA29" s="803"/>
      <c r="AB29" s="803"/>
      <c r="AC29" s="2249"/>
      <c r="AD29" s="803" t="s">
        <v>4111</v>
      </c>
      <c r="AE29" s="804" t="s">
        <v>4116</v>
      </c>
      <c r="AF29" s="804" t="s">
        <v>4117</v>
      </c>
      <c r="AG29" s="803"/>
      <c r="AH29" s="803"/>
      <c r="AI29" s="803"/>
      <c r="AJ29" s="803"/>
      <c r="AK29" s="803"/>
      <c r="AL29" s="804" t="s">
        <v>4121</v>
      </c>
      <c r="AM29" s="803">
        <v>1</v>
      </c>
      <c r="AN29" s="803"/>
      <c r="AO29" s="803"/>
      <c r="AP29" s="803"/>
      <c r="AQ29" s="803"/>
      <c r="AR29" s="803"/>
      <c r="AS29" s="803"/>
      <c r="AT29" s="803"/>
      <c r="AU29" s="804" t="s">
        <v>4130</v>
      </c>
      <c r="AV29" s="804" t="s">
        <v>4133</v>
      </c>
      <c r="AW29" s="804" t="s">
        <v>4135</v>
      </c>
      <c r="AX29" s="804" t="s">
        <v>4137</v>
      </c>
      <c r="AY29" s="804" t="s">
        <v>4141</v>
      </c>
      <c r="AZ29" s="804" t="s">
        <v>4142</v>
      </c>
      <c r="BA29" s="804" t="s">
        <v>4140</v>
      </c>
      <c r="BB29" s="804"/>
      <c r="BC29" s="804"/>
      <c r="BD29" s="804"/>
      <c r="BE29" s="804"/>
      <c r="BF29" s="804"/>
      <c r="BG29" s="804"/>
      <c r="BH29" s="804"/>
      <c r="BI29" s="804"/>
      <c r="BJ29" s="1359"/>
      <c r="BK29" s="1359"/>
      <c r="BL29" s="1359"/>
      <c r="BM29" s="1359"/>
      <c r="BN29" s="1359"/>
      <c r="BO29" s="1359"/>
      <c r="BP29" s="1359"/>
      <c r="BQ29" s="804"/>
      <c r="BR29" s="804"/>
      <c r="BS29" s="1359"/>
      <c r="BT29" s="804"/>
      <c r="BU29" s="804"/>
      <c r="BV29" s="2495"/>
      <c r="BW29" s="2495"/>
      <c r="BX29" s="2495"/>
      <c r="BY29" s="2495"/>
      <c r="BZ29" s="804"/>
      <c r="CA29" s="804"/>
      <c r="CB29" s="2079"/>
      <c r="CC29" s="804"/>
      <c r="CD29" s="804"/>
      <c r="CE29" s="804"/>
      <c r="CF29" s="804"/>
      <c r="CG29" s="804"/>
      <c r="CH29" s="804"/>
      <c r="CI29" s="804"/>
      <c r="CJ29" s="804"/>
      <c r="CK29" s="804"/>
      <c r="CL29" s="804"/>
      <c r="CM29" s="804"/>
      <c r="CN29" s="804"/>
      <c r="CO29" s="805" t="s">
        <v>4407</v>
      </c>
      <c r="CP29" s="803" t="s">
        <v>4144</v>
      </c>
      <c r="CQ29" s="802"/>
      <c r="CR29" s="808"/>
    </row>
    <row r="30" spans="2:105" ht="18" x14ac:dyDescent="0.25">
      <c r="B30" s="1083">
        <v>27</v>
      </c>
      <c r="C30" s="1073" t="s">
        <v>249</v>
      </c>
      <c r="D30" s="806" t="s">
        <v>1668</v>
      </c>
      <c r="E30" s="803"/>
      <c r="F30" s="803"/>
      <c r="G30" s="803"/>
      <c r="H30" s="803"/>
      <c r="I30" s="803"/>
      <c r="J30" s="803"/>
      <c r="K30" s="803"/>
      <c r="L30" s="803"/>
      <c r="M30" s="803"/>
      <c r="N30" s="803"/>
      <c r="O30" s="803"/>
      <c r="P30" s="804" t="s">
        <v>5286</v>
      </c>
      <c r="Q30" s="804"/>
      <c r="R30" s="803"/>
      <c r="S30" s="803"/>
      <c r="T30" s="803"/>
      <c r="U30" s="803"/>
      <c r="V30" s="803">
        <v>1</v>
      </c>
      <c r="W30" s="803"/>
      <c r="X30" s="803"/>
      <c r="Y30" s="803"/>
      <c r="Z30" s="803"/>
      <c r="AA30" s="803"/>
      <c r="AB30" s="803"/>
      <c r="AC30" s="2249"/>
      <c r="AD30" s="803" t="s">
        <v>1660</v>
      </c>
      <c r="AE30" s="803"/>
      <c r="AF30" s="803"/>
      <c r="AG30" s="803"/>
      <c r="AH30" s="803"/>
      <c r="AI30" s="803"/>
      <c r="AJ30" s="803"/>
      <c r="AK30" s="803"/>
      <c r="AL30" s="804"/>
      <c r="AM30" s="804" t="s">
        <v>1661</v>
      </c>
      <c r="AN30" s="803"/>
      <c r="AO30" s="803"/>
      <c r="AP30" s="803"/>
      <c r="AQ30" s="803"/>
      <c r="AR30" s="804" t="s">
        <v>5298</v>
      </c>
      <c r="AS30" s="804"/>
      <c r="AT30" s="804"/>
      <c r="AU30" s="804" t="s">
        <v>5299</v>
      </c>
      <c r="AV30" s="804" t="s">
        <v>2424</v>
      </c>
      <c r="AW30" s="804" t="s">
        <v>3830</v>
      </c>
      <c r="AX30" s="804" t="s">
        <v>3831</v>
      </c>
      <c r="AY30" s="804" t="s">
        <v>3838</v>
      </c>
      <c r="AZ30" s="804" t="s">
        <v>3839</v>
      </c>
      <c r="BA30" s="804" t="s">
        <v>1669</v>
      </c>
      <c r="BB30" s="804"/>
      <c r="BC30" s="804"/>
      <c r="BD30" s="804"/>
      <c r="BE30" s="804"/>
      <c r="BF30" s="804"/>
      <c r="BG30" s="804"/>
      <c r="BH30" s="804"/>
      <c r="BI30" s="804"/>
      <c r="BJ30" s="1359"/>
      <c r="BK30" s="1359"/>
      <c r="BL30" s="1359"/>
      <c r="BM30" s="1359"/>
      <c r="BN30" s="1359"/>
      <c r="BO30" s="1359"/>
      <c r="BP30" s="1359"/>
      <c r="BQ30" s="804"/>
      <c r="BR30" s="804"/>
      <c r="BS30" s="1359"/>
      <c r="BT30" s="804"/>
      <c r="BU30" s="804"/>
      <c r="BV30" s="2495"/>
      <c r="BW30" s="2495"/>
      <c r="BX30" s="2495"/>
      <c r="BY30" s="2495"/>
      <c r="BZ30" s="804"/>
      <c r="CA30" s="804"/>
      <c r="CB30" s="2079"/>
      <c r="CC30" s="804"/>
      <c r="CD30" s="804"/>
      <c r="CE30" s="804"/>
      <c r="CF30" s="804"/>
      <c r="CG30" s="804"/>
      <c r="CH30" s="804"/>
      <c r="CI30" s="804"/>
      <c r="CJ30" s="804"/>
      <c r="CK30" s="804"/>
      <c r="CL30" s="804"/>
      <c r="CM30" s="804"/>
      <c r="CN30" s="804"/>
      <c r="CO30" s="805" t="s">
        <v>4145</v>
      </c>
      <c r="CP30" s="803" t="s">
        <v>1991</v>
      </c>
      <c r="CQ30" s="802"/>
      <c r="CR30" s="808"/>
      <c r="CT30" s="77"/>
    </row>
    <row r="31" spans="2:105" ht="18" x14ac:dyDescent="0.25">
      <c r="B31" s="1083">
        <v>28</v>
      </c>
      <c r="C31" s="1073" t="s">
        <v>250</v>
      </c>
      <c r="D31" s="806" t="s">
        <v>2203</v>
      </c>
      <c r="E31" s="803"/>
      <c r="F31" s="803"/>
      <c r="G31" s="803"/>
      <c r="H31" s="803"/>
      <c r="I31" s="803"/>
      <c r="J31" s="803"/>
      <c r="K31" s="803"/>
      <c r="L31" s="803"/>
      <c r="M31" s="803"/>
      <c r="N31" s="803"/>
      <c r="O31" s="803"/>
      <c r="P31" s="804" t="s">
        <v>5287</v>
      </c>
      <c r="Q31" s="804"/>
      <c r="R31" s="803"/>
      <c r="S31" s="803"/>
      <c r="T31" s="803"/>
      <c r="U31" s="803"/>
      <c r="V31" s="803">
        <v>1</v>
      </c>
      <c r="W31" s="803"/>
      <c r="X31" s="803"/>
      <c r="Y31" s="803"/>
      <c r="Z31" s="803"/>
      <c r="AA31" s="803"/>
      <c r="AB31" s="803"/>
      <c r="AC31" s="2249"/>
      <c r="AD31" s="803" t="s">
        <v>1660</v>
      </c>
      <c r="AE31" s="804" t="s">
        <v>5294</v>
      </c>
      <c r="AF31" s="804"/>
      <c r="AG31" s="804" t="s">
        <v>5297</v>
      </c>
      <c r="AH31" s="803"/>
      <c r="AI31" s="803"/>
      <c r="AJ31" s="803"/>
      <c r="AK31" s="803"/>
      <c r="AL31" s="804"/>
      <c r="AM31" s="804" t="s">
        <v>1661</v>
      </c>
      <c r="AN31" s="803"/>
      <c r="AO31" s="803"/>
      <c r="AP31" s="803"/>
      <c r="AQ31" s="803"/>
      <c r="AR31" s="804"/>
      <c r="AS31" s="804"/>
      <c r="AT31" s="804"/>
      <c r="AU31" s="804" t="s">
        <v>5300</v>
      </c>
      <c r="AV31" s="804" t="s">
        <v>2424</v>
      </c>
      <c r="AW31" s="804" t="s">
        <v>3830</v>
      </c>
      <c r="AX31" s="804" t="s">
        <v>3831</v>
      </c>
      <c r="AY31" s="804" t="s">
        <v>3838</v>
      </c>
      <c r="AZ31" s="804" t="s">
        <v>3839</v>
      </c>
      <c r="BA31" s="804" t="s">
        <v>1669</v>
      </c>
      <c r="BB31" s="804"/>
      <c r="BC31" s="804"/>
      <c r="BD31" s="804"/>
      <c r="BE31" s="804"/>
      <c r="BF31" s="804"/>
      <c r="BG31" s="804"/>
      <c r="BH31" s="804"/>
      <c r="BI31" s="804"/>
      <c r="BJ31" s="1359"/>
      <c r="BK31" s="1359"/>
      <c r="BL31" s="1359"/>
      <c r="BM31" s="1359"/>
      <c r="BN31" s="1359"/>
      <c r="BO31" s="1359"/>
      <c r="BP31" s="1359"/>
      <c r="BQ31" s="804"/>
      <c r="BR31" s="804"/>
      <c r="BS31" s="1359"/>
      <c r="BT31" s="804"/>
      <c r="BU31" s="804"/>
      <c r="BV31" s="2495"/>
      <c r="BW31" s="2495"/>
      <c r="BX31" s="2495"/>
      <c r="BY31" s="2495"/>
      <c r="BZ31" s="804"/>
      <c r="CA31" s="804"/>
      <c r="CB31" s="2079"/>
      <c r="CC31" s="804"/>
      <c r="CD31" s="804"/>
      <c r="CE31" s="804"/>
      <c r="CF31" s="804"/>
      <c r="CG31" s="804"/>
      <c r="CH31" s="804"/>
      <c r="CI31" s="804"/>
      <c r="CJ31" s="804"/>
      <c r="CK31" s="804"/>
      <c r="CL31" s="804"/>
      <c r="CM31" s="804"/>
      <c r="CN31" s="804"/>
      <c r="CO31" s="1434" t="s">
        <v>4146</v>
      </c>
      <c r="CP31" s="1412" t="s">
        <v>1991</v>
      </c>
      <c r="CQ31" s="806"/>
      <c r="CR31" s="808"/>
      <c r="CT31" s="77"/>
    </row>
    <row r="32" spans="2:105" ht="18" x14ac:dyDescent="0.25">
      <c r="B32" s="1083">
        <v>29</v>
      </c>
      <c r="C32" s="1073" t="s">
        <v>251</v>
      </c>
      <c r="D32" s="806" t="s">
        <v>1670</v>
      </c>
      <c r="E32" s="803"/>
      <c r="F32" s="803"/>
      <c r="G32" s="803"/>
      <c r="H32" s="803"/>
      <c r="I32" s="803"/>
      <c r="J32" s="803"/>
      <c r="K32" s="803"/>
      <c r="L32" s="803"/>
      <c r="M32" s="803"/>
      <c r="N32" s="803"/>
      <c r="O32" s="803"/>
      <c r="P32" s="804" t="s">
        <v>5287</v>
      </c>
      <c r="Q32" s="804"/>
      <c r="R32" s="803"/>
      <c r="S32" s="803"/>
      <c r="T32" s="803"/>
      <c r="U32" s="803"/>
      <c r="V32" s="803">
        <v>1</v>
      </c>
      <c r="W32" s="803"/>
      <c r="X32" s="803"/>
      <c r="Y32" s="803"/>
      <c r="Z32" s="803"/>
      <c r="AA32" s="803"/>
      <c r="AB32" s="803"/>
      <c r="AC32" s="2249"/>
      <c r="AD32" s="803" t="s">
        <v>1660</v>
      </c>
      <c r="AE32" s="804" t="s">
        <v>5295</v>
      </c>
      <c r="AF32" s="804" t="s">
        <v>5296</v>
      </c>
      <c r="AG32" s="804"/>
      <c r="AH32" s="803"/>
      <c r="AI32" s="803"/>
      <c r="AJ32" s="803"/>
      <c r="AK32" s="803"/>
      <c r="AL32" s="804"/>
      <c r="AM32" s="804" t="s">
        <v>1661</v>
      </c>
      <c r="AN32" s="803"/>
      <c r="AO32" s="803"/>
      <c r="AP32" s="803"/>
      <c r="AQ32" s="803"/>
      <c r="AR32" s="803"/>
      <c r="AS32" s="803"/>
      <c r="AT32" s="803"/>
      <c r="AU32" s="804" t="s">
        <v>5300</v>
      </c>
      <c r="AV32" s="804" t="s">
        <v>2424</v>
      </c>
      <c r="AW32" s="804" t="s">
        <v>3830</v>
      </c>
      <c r="AX32" s="804" t="s">
        <v>3831</v>
      </c>
      <c r="AY32" s="804" t="s">
        <v>3838</v>
      </c>
      <c r="AZ32" s="804" t="s">
        <v>3839</v>
      </c>
      <c r="BA32" s="804" t="s">
        <v>1669</v>
      </c>
      <c r="BB32" s="804"/>
      <c r="BC32" s="804"/>
      <c r="BD32" s="804"/>
      <c r="BE32" s="804"/>
      <c r="BF32" s="804"/>
      <c r="BG32" s="804"/>
      <c r="BH32" s="804"/>
      <c r="BI32" s="804"/>
      <c r="BJ32" s="1359"/>
      <c r="BK32" s="1359"/>
      <c r="BL32" s="1359"/>
      <c r="BM32" s="1359"/>
      <c r="BN32" s="1359"/>
      <c r="BO32" s="1359"/>
      <c r="BP32" s="1359"/>
      <c r="BQ32" s="804"/>
      <c r="BR32" s="804"/>
      <c r="BS32" s="1359"/>
      <c r="BT32" s="804"/>
      <c r="BU32" s="804"/>
      <c r="BV32" s="2495"/>
      <c r="BW32" s="2495"/>
      <c r="BX32" s="2495"/>
      <c r="BY32" s="2495"/>
      <c r="BZ32" s="804"/>
      <c r="CA32" s="804"/>
      <c r="CB32" s="2079"/>
      <c r="CC32" s="804"/>
      <c r="CD32" s="804"/>
      <c r="CE32" s="804"/>
      <c r="CF32" s="804"/>
      <c r="CG32" s="804"/>
      <c r="CH32" s="804"/>
      <c r="CI32" s="804"/>
      <c r="CJ32" s="804"/>
      <c r="CK32" s="804"/>
      <c r="CL32" s="804"/>
      <c r="CM32" s="804"/>
      <c r="CN32" s="804"/>
      <c r="CO32" s="1434" t="s">
        <v>4154</v>
      </c>
      <c r="CP32" s="803" t="s">
        <v>1991</v>
      </c>
      <c r="CQ32" s="802"/>
      <c r="CR32" s="808"/>
      <c r="CT32" s="77"/>
    </row>
    <row r="33" spans="2:98" ht="18" x14ac:dyDescent="0.25">
      <c r="B33" s="1083">
        <v>30</v>
      </c>
      <c r="C33" s="1073" t="s">
        <v>1361</v>
      </c>
      <c r="D33" s="806" t="s">
        <v>4098</v>
      </c>
      <c r="E33" s="803">
        <v>-1</v>
      </c>
      <c r="F33" s="803"/>
      <c r="G33" s="803"/>
      <c r="H33" s="803"/>
      <c r="I33" s="803"/>
      <c r="J33" s="803"/>
      <c r="K33" s="803"/>
      <c r="L33" s="803"/>
      <c r="M33" s="803"/>
      <c r="N33" s="803"/>
      <c r="O33" s="803"/>
      <c r="P33" s="803">
        <v>1</v>
      </c>
      <c r="Q33" s="803"/>
      <c r="R33" s="803"/>
      <c r="S33" s="803"/>
      <c r="T33" s="803"/>
      <c r="U33" s="803"/>
      <c r="V33" s="803"/>
      <c r="W33" s="803"/>
      <c r="X33" s="803"/>
      <c r="Y33" s="803"/>
      <c r="Z33" s="803"/>
      <c r="AA33" s="803"/>
      <c r="AB33" s="803"/>
      <c r="AC33" s="2249"/>
      <c r="AD33" s="803"/>
      <c r="AE33" s="804"/>
      <c r="AF33" s="804"/>
      <c r="AG33" s="804"/>
      <c r="AH33" s="803"/>
      <c r="AI33" s="803"/>
      <c r="AJ33" s="803"/>
      <c r="AK33" s="803"/>
      <c r="AL33" s="803" t="s">
        <v>1671</v>
      </c>
      <c r="AM33" s="804" t="s">
        <v>1672</v>
      </c>
      <c r="AN33" s="803"/>
      <c r="AO33" s="803"/>
      <c r="AP33" s="803"/>
      <c r="AQ33" s="803"/>
      <c r="AR33" s="803"/>
      <c r="AS33" s="803"/>
      <c r="AT33" s="803"/>
      <c r="AU33" s="803" t="s">
        <v>1958</v>
      </c>
      <c r="AV33" s="803"/>
      <c r="AW33" s="803"/>
      <c r="AX33" s="803"/>
      <c r="AY33" s="804" t="s">
        <v>1673</v>
      </c>
      <c r="AZ33" s="804" t="s">
        <v>1674</v>
      </c>
      <c r="BA33" s="804" t="s">
        <v>1675</v>
      </c>
      <c r="BB33" s="803"/>
      <c r="BC33" s="803"/>
      <c r="BD33" s="803"/>
      <c r="BE33" s="803"/>
      <c r="BF33" s="803"/>
      <c r="BG33" s="803"/>
      <c r="BH33" s="803"/>
      <c r="BI33" s="803"/>
      <c r="BJ33" s="1360"/>
      <c r="BK33" s="1360"/>
      <c r="BL33" s="1360"/>
      <c r="BM33" s="1360"/>
      <c r="BN33" s="1360"/>
      <c r="BO33" s="1360"/>
      <c r="BP33" s="1360"/>
      <c r="BQ33" s="803"/>
      <c r="BR33" s="803"/>
      <c r="BS33" s="1360"/>
      <c r="BT33" s="803"/>
      <c r="BU33" s="803"/>
      <c r="BV33" s="2249"/>
      <c r="BW33" s="2249"/>
      <c r="BX33" s="2249"/>
      <c r="BY33" s="2249"/>
      <c r="BZ33" s="803"/>
      <c r="CA33" s="803"/>
      <c r="CB33" s="2080"/>
      <c r="CC33" s="803"/>
      <c r="CD33" s="803"/>
      <c r="CE33" s="803"/>
      <c r="CF33" s="803"/>
      <c r="CG33" s="803"/>
      <c r="CH33" s="803"/>
      <c r="CI33" s="803"/>
      <c r="CJ33" s="803"/>
      <c r="CK33" s="803"/>
      <c r="CL33" s="803"/>
      <c r="CM33" s="803"/>
      <c r="CN33" s="803"/>
      <c r="CO33" s="802" t="s">
        <v>4147</v>
      </c>
      <c r="CP33" s="803" t="s">
        <v>1991</v>
      </c>
      <c r="CQ33" s="802"/>
      <c r="CR33" s="808"/>
    </row>
    <row r="34" spans="2:98" ht="18" x14ac:dyDescent="0.25">
      <c r="B34" s="2100">
        <v>31</v>
      </c>
      <c r="C34" s="2101" t="s">
        <v>1362</v>
      </c>
      <c r="D34" s="2590" t="s">
        <v>5305</v>
      </c>
      <c r="E34" s="2080">
        <v>-1</v>
      </c>
      <c r="F34" s="2080"/>
      <c r="G34" s="2080"/>
      <c r="H34" s="2080"/>
      <c r="I34" s="2080"/>
      <c r="J34" s="2080"/>
      <c r="K34" s="2080"/>
      <c r="L34" s="2080"/>
      <c r="M34" s="2080"/>
      <c r="N34" s="2080"/>
      <c r="O34" s="2080"/>
      <c r="P34" s="2080"/>
      <c r="Q34" s="2080">
        <v>1</v>
      </c>
      <c r="R34" s="2080"/>
      <c r="S34" s="2080"/>
      <c r="T34" s="2080"/>
      <c r="U34" s="2080"/>
      <c r="V34" s="2080"/>
      <c r="W34" s="2080"/>
      <c r="X34" s="2080"/>
      <c r="Y34" s="2080"/>
      <c r="Z34" s="2080"/>
      <c r="AA34" s="2080"/>
      <c r="AB34" s="2080"/>
      <c r="AC34" s="2249"/>
      <c r="AD34" s="2080"/>
      <c r="AE34" s="2079"/>
      <c r="AF34" s="2079"/>
      <c r="AG34" s="2080"/>
      <c r="AH34" s="2080"/>
      <c r="AI34" s="2080"/>
      <c r="AJ34" s="2080"/>
      <c r="AK34" s="2080"/>
      <c r="AL34" s="2080"/>
      <c r="AM34" s="2079"/>
      <c r="AN34" s="2080"/>
      <c r="AO34" s="2080"/>
      <c r="AP34" s="2080"/>
      <c r="AQ34" s="2080"/>
      <c r="AR34" s="2080"/>
      <c r="AS34" s="2080"/>
      <c r="AT34" s="2080"/>
      <c r="AU34" s="2080" t="s">
        <v>1958</v>
      </c>
      <c r="AV34" s="2079"/>
      <c r="AW34" s="2079"/>
      <c r="AX34" s="2079"/>
      <c r="AY34" s="2079"/>
      <c r="AZ34" s="2079"/>
      <c r="BA34" s="2079"/>
      <c r="BB34" s="2080"/>
      <c r="BC34" s="2080"/>
      <c r="BD34" s="2080"/>
      <c r="BE34" s="2080"/>
      <c r="BF34" s="2080"/>
      <c r="BG34" s="2080"/>
      <c r="BH34" s="2080"/>
      <c r="BI34" s="2080"/>
      <c r="BJ34" s="2080"/>
      <c r="BK34" s="2080"/>
      <c r="BL34" s="2080"/>
      <c r="BM34" s="2080"/>
      <c r="BN34" s="2080"/>
      <c r="BO34" s="2080"/>
      <c r="BP34" s="2080"/>
      <c r="BQ34" s="2080"/>
      <c r="BR34" s="2080"/>
      <c r="BS34" s="2080"/>
      <c r="BT34" s="2080"/>
      <c r="BU34" s="2080"/>
      <c r="BV34" s="2249"/>
      <c r="BW34" s="2249"/>
      <c r="BX34" s="2249"/>
      <c r="BY34" s="2249"/>
      <c r="BZ34" s="2080"/>
      <c r="CA34" s="2080"/>
      <c r="CB34" s="2080"/>
      <c r="CC34" s="2080"/>
      <c r="CD34" s="2080"/>
      <c r="CE34" s="2080"/>
      <c r="CF34" s="2080"/>
      <c r="CG34" s="2080"/>
      <c r="CH34" s="2080"/>
      <c r="CI34" s="2080"/>
      <c r="CJ34" s="2080"/>
      <c r="CK34" s="2080"/>
      <c r="CL34" s="2080"/>
      <c r="CM34" s="2080"/>
      <c r="CN34" s="2080"/>
      <c r="CO34" s="2104" t="s">
        <v>5306</v>
      </c>
      <c r="CP34" s="2080" t="s">
        <v>1991</v>
      </c>
      <c r="CQ34" s="2104"/>
      <c r="CR34" s="2105"/>
    </row>
    <row r="35" spans="2:98" ht="18" x14ac:dyDescent="0.25">
      <c r="B35" s="2113">
        <v>32</v>
      </c>
      <c r="C35" s="2114" t="s">
        <v>252</v>
      </c>
      <c r="D35" s="2120" t="s">
        <v>4099</v>
      </c>
      <c r="E35" s="2116"/>
      <c r="F35" s="2116"/>
      <c r="G35" s="2116"/>
      <c r="H35" s="2116"/>
      <c r="I35" s="2116"/>
      <c r="J35" s="2116"/>
      <c r="K35" s="2116"/>
      <c r="L35" s="2116"/>
      <c r="M35" s="2116"/>
      <c r="N35" s="2116"/>
      <c r="O35" s="2116"/>
      <c r="P35" s="2117" t="s">
        <v>5285</v>
      </c>
      <c r="Q35" s="2117" t="s">
        <v>5293</v>
      </c>
      <c r="R35" s="2116"/>
      <c r="S35" s="2116"/>
      <c r="T35" s="2116"/>
      <c r="U35" s="2116"/>
      <c r="V35" s="2116"/>
      <c r="W35" s="2116"/>
      <c r="X35" s="2116"/>
      <c r="Y35" s="2116"/>
      <c r="Z35" s="2116"/>
      <c r="AA35" s="2116"/>
      <c r="AB35" s="2116"/>
      <c r="AC35" s="2250"/>
      <c r="AD35" s="2116"/>
      <c r="AE35" s="2116"/>
      <c r="AF35" s="2116"/>
      <c r="AG35" s="2116"/>
      <c r="AH35" s="2116"/>
      <c r="AI35" s="2116"/>
      <c r="AJ35" s="2116"/>
      <c r="AK35" s="2116"/>
      <c r="AL35" s="2116"/>
      <c r="AM35" s="2117"/>
      <c r="AN35" s="2116"/>
      <c r="AO35" s="2116"/>
      <c r="AP35" s="2116"/>
      <c r="AQ35" s="2116"/>
      <c r="AR35" s="2116">
        <v>-1</v>
      </c>
      <c r="AS35" s="2116"/>
      <c r="AT35" s="2116"/>
      <c r="AU35" s="2116" t="s">
        <v>4131</v>
      </c>
      <c r="AV35" s="2116"/>
      <c r="AW35" s="2116"/>
      <c r="AX35" s="2116"/>
      <c r="AY35" s="2117"/>
      <c r="AZ35" s="2117"/>
      <c r="BA35" s="2117"/>
      <c r="BB35" s="2116"/>
      <c r="BC35" s="2116"/>
      <c r="BD35" s="2116"/>
      <c r="BE35" s="2116"/>
      <c r="BF35" s="2116"/>
      <c r="BG35" s="2116"/>
      <c r="BH35" s="2116"/>
      <c r="BI35" s="2116"/>
      <c r="BJ35" s="2116"/>
      <c r="BK35" s="2116"/>
      <c r="BL35" s="2116"/>
      <c r="BM35" s="2116"/>
      <c r="BN35" s="2116"/>
      <c r="BO35" s="2116"/>
      <c r="BP35" s="2116"/>
      <c r="BQ35" s="2116"/>
      <c r="BR35" s="2116"/>
      <c r="BS35" s="2116"/>
      <c r="BT35" s="2116"/>
      <c r="BU35" s="2116"/>
      <c r="BV35" s="2250"/>
      <c r="BW35" s="2250"/>
      <c r="BX35" s="2250"/>
      <c r="BY35" s="2250"/>
      <c r="BZ35" s="2116"/>
      <c r="CA35" s="2116"/>
      <c r="CB35" s="2116"/>
      <c r="CC35" s="2116"/>
      <c r="CD35" s="2116"/>
      <c r="CE35" s="2116"/>
      <c r="CF35" s="2116"/>
      <c r="CG35" s="2116"/>
      <c r="CH35" s="2116"/>
      <c r="CI35" s="2116"/>
      <c r="CJ35" s="2116"/>
      <c r="CK35" s="2116"/>
      <c r="CL35" s="2116"/>
      <c r="CM35" s="2116"/>
      <c r="CN35" s="2116"/>
      <c r="CO35" s="2118" t="s">
        <v>4148</v>
      </c>
      <c r="CP35" s="2116" t="s">
        <v>1991</v>
      </c>
      <c r="CQ35" s="2118"/>
      <c r="CR35" s="2119"/>
    </row>
    <row r="36" spans="2:98" ht="18" x14ac:dyDescent="0.25">
      <c r="B36" s="1083">
        <v>33</v>
      </c>
      <c r="C36" s="1073" t="s">
        <v>253</v>
      </c>
      <c r="D36" s="806" t="s">
        <v>4100</v>
      </c>
      <c r="E36" s="803"/>
      <c r="F36" s="803"/>
      <c r="G36" s="803"/>
      <c r="H36" s="803"/>
      <c r="I36" s="803"/>
      <c r="J36" s="803"/>
      <c r="K36" s="803"/>
      <c r="L36" s="803"/>
      <c r="M36" s="803"/>
      <c r="N36" s="803"/>
      <c r="O36" s="803"/>
      <c r="P36" s="804" t="s">
        <v>5285</v>
      </c>
      <c r="Q36" s="804" t="s">
        <v>5293</v>
      </c>
      <c r="R36" s="803"/>
      <c r="S36" s="803"/>
      <c r="T36" s="803"/>
      <c r="U36" s="803"/>
      <c r="V36" s="803"/>
      <c r="W36" s="803"/>
      <c r="X36" s="803"/>
      <c r="Y36" s="803"/>
      <c r="Z36" s="803"/>
      <c r="AA36" s="803"/>
      <c r="AB36" s="803"/>
      <c r="AC36" s="2249"/>
      <c r="AD36" s="803"/>
      <c r="AE36" s="804" t="s">
        <v>2399</v>
      </c>
      <c r="AF36" s="804"/>
      <c r="AG36" s="804" t="s">
        <v>2400</v>
      </c>
      <c r="AH36" s="803"/>
      <c r="AI36" s="803"/>
      <c r="AJ36" s="803"/>
      <c r="AK36" s="803"/>
      <c r="AL36" s="803"/>
      <c r="AM36" s="804"/>
      <c r="AN36" s="803"/>
      <c r="AO36" s="803"/>
      <c r="AP36" s="803"/>
      <c r="AQ36" s="803"/>
      <c r="AR36" s="803"/>
      <c r="AS36" s="803"/>
      <c r="AT36" s="803"/>
      <c r="AU36" s="803" t="s">
        <v>4131</v>
      </c>
      <c r="AV36" s="803"/>
      <c r="AW36" s="803"/>
      <c r="AX36" s="803"/>
      <c r="AY36" s="804"/>
      <c r="AZ36" s="804"/>
      <c r="BA36" s="804"/>
      <c r="BB36" s="803"/>
      <c r="BC36" s="803"/>
      <c r="BD36" s="803"/>
      <c r="BE36" s="803"/>
      <c r="BF36" s="803"/>
      <c r="BG36" s="803"/>
      <c r="BH36" s="803"/>
      <c r="BI36" s="803"/>
      <c r="BJ36" s="1360"/>
      <c r="BK36" s="1360"/>
      <c r="BL36" s="1360"/>
      <c r="BM36" s="1360"/>
      <c r="BN36" s="1360"/>
      <c r="BO36" s="1360"/>
      <c r="BP36" s="1360"/>
      <c r="BQ36" s="803"/>
      <c r="BR36" s="803"/>
      <c r="BS36" s="1360"/>
      <c r="BT36" s="803"/>
      <c r="BU36" s="803"/>
      <c r="BV36" s="2249"/>
      <c r="BW36" s="2249"/>
      <c r="BX36" s="2249"/>
      <c r="BY36" s="2249"/>
      <c r="BZ36" s="803"/>
      <c r="CA36" s="803"/>
      <c r="CB36" s="2080"/>
      <c r="CC36" s="803"/>
      <c r="CD36" s="803"/>
      <c r="CE36" s="803"/>
      <c r="CF36" s="803"/>
      <c r="CG36" s="803"/>
      <c r="CH36" s="803"/>
      <c r="CI36" s="803"/>
      <c r="CJ36" s="803"/>
      <c r="CK36" s="803"/>
      <c r="CL36" s="803"/>
      <c r="CM36" s="803"/>
      <c r="CN36" s="803"/>
      <c r="CO36" s="802" t="s">
        <v>4149</v>
      </c>
      <c r="CP36" s="803" t="s">
        <v>1991</v>
      </c>
      <c r="CQ36" s="802"/>
      <c r="CR36" s="808"/>
    </row>
    <row r="37" spans="2:98" ht="18" x14ac:dyDescent="0.25">
      <c r="B37" s="1083">
        <v>34</v>
      </c>
      <c r="C37" s="1073" t="s">
        <v>290</v>
      </c>
      <c r="D37" s="806" t="s">
        <v>4101</v>
      </c>
      <c r="E37" s="803"/>
      <c r="F37" s="803"/>
      <c r="G37" s="803"/>
      <c r="H37" s="803"/>
      <c r="I37" s="803"/>
      <c r="J37" s="803"/>
      <c r="K37" s="803"/>
      <c r="L37" s="803"/>
      <c r="M37" s="803"/>
      <c r="N37" s="803"/>
      <c r="O37" s="803"/>
      <c r="P37" s="804" t="s">
        <v>5285</v>
      </c>
      <c r="Q37" s="804" t="s">
        <v>5293</v>
      </c>
      <c r="R37" s="803"/>
      <c r="S37" s="803"/>
      <c r="T37" s="803"/>
      <c r="U37" s="803"/>
      <c r="V37" s="803"/>
      <c r="W37" s="803"/>
      <c r="X37" s="803"/>
      <c r="Y37" s="803"/>
      <c r="Z37" s="803"/>
      <c r="AA37" s="803"/>
      <c r="AB37" s="803"/>
      <c r="AC37" s="2249"/>
      <c r="AD37" s="803"/>
      <c r="AE37" s="804" t="s">
        <v>2402</v>
      </c>
      <c r="AF37" s="804" t="s">
        <v>2401</v>
      </c>
      <c r="AG37" s="804"/>
      <c r="AH37" s="803"/>
      <c r="AI37" s="803"/>
      <c r="AJ37" s="803"/>
      <c r="AK37" s="803"/>
      <c r="AL37" s="803"/>
      <c r="AM37" s="804"/>
      <c r="AN37" s="803"/>
      <c r="AO37" s="803"/>
      <c r="AP37" s="803"/>
      <c r="AQ37" s="803"/>
      <c r="AR37" s="803"/>
      <c r="AS37" s="803"/>
      <c r="AT37" s="803"/>
      <c r="AU37" s="803" t="s">
        <v>4131</v>
      </c>
      <c r="AV37" s="803"/>
      <c r="AW37" s="803"/>
      <c r="AX37" s="803"/>
      <c r="AY37" s="804"/>
      <c r="AZ37" s="804"/>
      <c r="BA37" s="804"/>
      <c r="BB37" s="803"/>
      <c r="BC37" s="803"/>
      <c r="BD37" s="803"/>
      <c r="BE37" s="803"/>
      <c r="BF37" s="803"/>
      <c r="BG37" s="803"/>
      <c r="BH37" s="803"/>
      <c r="BI37" s="803"/>
      <c r="BJ37" s="1360"/>
      <c r="BK37" s="1360"/>
      <c r="BL37" s="1360"/>
      <c r="BM37" s="1360"/>
      <c r="BN37" s="1360"/>
      <c r="BO37" s="1360"/>
      <c r="BP37" s="1360"/>
      <c r="BQ37" s="803"/>
      <c r="BR37" s="803"/>
      <c r="BS37" s="1360"/>
      <c r="BT37" s="803"/>
      <c r="BU37" s="803"/>
      <c r="BV37" s="2249"/>
      <c r="BW37" s="2249"/>
      <c r="BX37" s="2249"/>
      <c r="BY37" s="2249"/>
      <c r="BZ37" s="803"/>
      <c r="CA37" s="803"/>
      <c r="CB37" s="2080"/>
      <c r="CC37" s="803"/>
      <c r="CD37" s="803"/>
      <c r="CE37" s="803"/>
      <c r="CF37" s="803"/>
      <c r="CG37" s="803"/>
      <c r="CH37" s="803"/>
      <c r="CI37" s="803"/>
      <c r="CJ37" s="803"/>
      <c r="CK37" s="803"/>
      <c r="CL37" s="803"/>
      <c r="CM37" s="803"/>
      <c r="CN37" s="803"/>
      <c r="CO37" s="802" t="s">
        <v>4150</v>
      </c>
      <c r="CP37" s="803" t="s">
        <v>1991</v>
      </c>
      <c r="CQ37" s="802"/>
      <c r="CR37" s="808"/>
    </row>
    <row r="38" spans="2:98" ht="18" x14ac:dyDescent="0.25">
      <c r="B38" s="2100">
        <v>35</v>
      </c>
      <c r="C38" s="2101" t="s">
        <v>296</v>
      </c>
      <c r="D38" s="2102" t="s">
        <v>2160</v>
      </c>
      <c r="E38" s="2080">
        <v>1</v>
      </c>
      <c r="F38" s="2080"/>
      <c r="G38" s="2080"/>
      <c r="H38" s="2080"/>
      <c r="I38" s="2080"/>
      <c r="J38" s="2080"/>
      <c r="K38" s="2080"/>
      <c r="L38" s="2080"/>
      <c r="M38" s="2080"/>
      <c r="N38" s="2080"/>
      <c r="O38" s="2080"/>
      <c r="P38" s="2080"/>
      <c r="Q38" s="2080">
        <v>-1</v>
      </c>
      <c r="R38" s="2080"/>
      <c r="S38" s="2080"/>
      <c r="T38" s="2080"/>
      <c r="U38" s="2080"/>
      <c r="V38" s="2080"/>
      <c r="W38" s="2080"/>
      <c r="X38" s="2080"/>
      <c r="Y38" s="2080"/>
      <c r="Z38" s="2080"/>
      <c r="AA38" s="2080"/>
      <c r="AB38" s="2080"/>
      <c r="AC38" s="2249"/>
      <c r="AD38" s="2080"/>
      <c r="AE38" s="2079"/>
      <c r="AF38" s="2079"/>
      <c r="AG38" s="2079"/>
      <c r="AH38" s="2080"/>
      <c r="AI38" s="2080"/>
      <c r="AJ38" s="2080"/>
      <c r="AK38" s="2080"/>
      <c r="AL38" s="2080"/>
      <c r="AM38" s="2079"/>
      <c r="AN38" s="2080"/>
      <c r="AO38" s="2080"/>
      <c r="AP38" s="2080"/>
      <c r="AQ38" s="2080"/>
      <c r="AR38" s="2080"/>
      <c r="AS38" s="2080"/>
      <c r="AT38" s="2080"/>
      <c r="AU38" s="2080" t="s">
        <v>5301</v>
      </c>
      <c r="AV38" s="2079"/>
      <c r="AW38" s="2079"/>
      <c r="AX38" s="2079"/>
      <c r="AY38" s="2079"/>
      <c r="AZ38" s="2079"/>
      <c r="BA38" s="2079"/>
      <c r="BB38" s="2080"/>
      <c r="BC38" s="2080"/>
      <c r="BD38" s="2080"/>
      <c r="BE38" s="2080"/>
      <c r="BF38" s="2080"/>
      <c r="BG38" s="2080"/>
      <c r="BH38" s="2080"/>
      <c r="BI38" s="2080"/>
      <c r="BJ38" s="2080"/>
      <c r="BK38" s="2080"/>
      <c r="BL38" s="2080"/>
      <c r="BM38" s="2080"/>
      <c r="BN38" s="2080"/>
      <c r="BO38" s="2080"/>
      <c r="BP38" s="2080"/>
      <c r="BQ38" s="2080"/>
      <c r="BR38" s="2080"/>
      <c r="BS38" s="2080"/>
      <c r="BT38" s="2080"/>
      <c r="BU38" s="2080"/>
      <c r="BV38" s="2249"/>
      <c r="BW38" s="2249"/>
      <c r="BX38" s="2249"/>
      <c r="BY38" s="2249"/>
      <c r="BZ38" s="2080"/>
      <c r="CA38" s="2080"/>
      <c r="CB38" s="2080"/>
      <c r="CC38" s="2080"/>
      <c r="CD38" s="2080"/>
      <c r="CE38" s="2080"/>
      <c r="CF38" s="2080"/>
      <c r="CG38" s="2080"/>
      <c r="CH38" s="2080"/>
      <c r="CI38" s="2080"/>
      <c r="CJ38" s="2080"/>
      <c r="CK38" s="2080"/>
      <c r="CL38" s="2080"/>
      <c r="CM38" s="2080"/>
      <c r="CN38" s="2080"/>
      <c r="CO38" s="2104" t="s">
        <v>5307</v>
      </c>
      <c r="CP38" s="2080" t="s">
        <v>1991</v>
      </c>
      <c r="CQ38" s="2104"/>
      <c r="CR38" s="2105"/>
    </row>
    <row r="39" spans="2:98" ht="18" x14ac:dyDescent="0.25">
      <c r="B39" s="2113">
        <v>36</v>
      </c>
      <c r="C39" s="2114" t="s">
        <v>297</v>
      </c>
      <c r="D39" s="2115" t="s">
        <v>2163</v>
      </c>
      <c r="E39" s="2116"/>
      <c r="F39" s="2116"/>
      <c r="G39" s="2116"/>
      <c r="H39" s="2116"/>
      <c r="I39" s="2116"/>
      <c r="J39" s="2116"/>
      <c r="K39" s="2116"/>
      <c r="L39" s="2116"/>
      <c r="M39" s="2116"/>
      <c r="N39" s="2116"/>
      <c r="O39" s="2116"/>
      <c r="P39" s="2116"/>
      <c r="Q39" s="2116"/>
      <c r="R39" s="2116"/>
      <c r="S39" s="2116"/>
      <c r="T39" s="2116"/>
      <c r="U39" s="2116"/>
      <c r="V39" s="2116"/>
      <c r="W39" s="2116"/>
      <c r="X39" s="2116"/>
      <c r="Y39" s="2116"/>
      <c r="Z39" s="2116"/>
      <c r="AA39" s="2116"/>
      <c r="AB39" s="2116"/>
      <c r="AC39" s="2250"/>
      <c r="AD39" s="2116"/>
      <c r="AE39" s="2116"/>
      <c r="AF39" s="2116"/>
      <c r="AG39" s="2116"/>
      <c r="AH39" s="2116"/>
      <c r="AI39" s="2116"/>
      <c r="AJ39" s="2116"/>
      <c r="AK39" s="2116"/>
      <c r="AL39" s="2116">
        <v>1</v>
      </c>
      <c r="AM39" s="2116">
        <v>-1</v>
      </c>
      <c r="AN39" s="2116"/>
      <c r="AO39" s="2116"/>
      <c r="AP39" s="2116"/>
      <c r="AQ39" s="2116"/>
      <c r="AR39" s="2116"/>
      <c r="AS39" s="2116"/>
      <c r="AT39" s="2116"/>
      <c r="AU39" s="2116"/>
      <c r="AV39" s="2116"/>
      <c r="AW39" s="2116"/>
      <c r="AX39" s="2116"/>
      <c r="AY39" s="2117" t="s">
        <v>1676</v>
      </c>
      <c r="AZ39" s="2117" t="s">
        <v>1677</v>
      </c>
      <c r="BA39" s="2117" t="s">
        <v>1678</v>
      </c>
      <c r="BB39" s="2116"/>
      <c r="BC39" s="2116"/>
      <c r="BD39" s="2116"/>
      <c r="BE39" s="2116"/>
      <c r="BF39" s="2116"/>
      <c r="BG39" s="2116"/>
      <c r="BH39" s="2116"/>
      <c r="BI39" s="2116"/>
      <c r="BJ39" s="2116"/>
      <c r="BK39" s="2116"/>
      <c r="BL39" s="2116"/>
      <c r="BM39" s="2116"/>
      <c r="BN39" s="2116"/>
      <c r="BO39" s="2116"/>
      <c r="BP39" s="2116"/>
      <c r="BQ39" s="2116"/>
      <c r="BR39" s="2116"/>
      <c r="BS39" s="2116"/>
      <c r="BT39" s="2116"/>
      <c r="BU39" s="2116"/>
      <c r="BV39" s="2250"/>
      <c r="BW39" s="2250"/>
      <c r="BX39" s="2250"/>
      <c r="BY39" s="2250"/>
      <c r="BZ39" s="2116"/>
      <c r="CA39" s="2116"/>
      <c r="CB39" s="2116"/>
      <c r="CC39" s="2116"/>
      <c r="CD39" s="2116"/>
      <c r="CE39" s="2116"/>
      <c r="CF39" s="2116"/>
      <c r="CG39" s="2116"/>
      <c r="CH39" s="2116"/>
      <c r="CI39" s="2116"/>
      <c r="CJ39" s="2116"/>
      <c r="CK39" s="2116"/>
      <c r="CL39" s="2116"/>
      <c r="CM39" s="2116"/>
      <c r="CN39" s="2116"/>
      <c r="CO39" s="2118" t="s">
        <v>4402</v>
      </c>
      <c r="CP39" s="2116" t="s">
        <v>1991</v>
      </c>
      <c r="CQ39" s="2118"/>
      <c r="CR39" s="2119"/>
    </row>
    <row r="40" spans="2:98" ht="18" x14ac:dyDescent="0.25">
      <c r="B40" s="1083">
        <v>37</v>
      </c>
      <c r="C40" s="1073" t="s">
        <v>298</v>
      </c>
      <c r="D40" s="806" t="s">
        <v>3177</v>
      </c>
      <c r="E40" s="803" t="s">
        <v>4104</v>
      </c>
      <c r="F40" s="803"/>
      <c r="G40" s="804" t="s">
        <v>4107</v>
      </c>
      <c r="H40" s="803"/>
      <c r="I40" s="803"/>
      <c r="J40" s="803"/>
      <c r="K40" s="803"/>
      <c r="L40" s="803"/>
      <c r="M40" s="803"/>
      <c r="N40" s="803"/>
      <c r="O40" s="803"/>
      <c r="P40" s="804">
        <v>1</v>
      </c>
      <c r="Q40" s="804"/>
      <c r="R40" s="803"/>
      <c r="S40" s="803"/>
      <c r="T40" s="803"/>
      <c r="U40" s="803"/>
      <c r="V40" s="803"/>
      <c r="W40" s="803"/>
      <c r="X40" s="803"/>
      <c r="Y40" s="803"/>
      <c r="Z40" s="803"/>
      <c r="AA40" s="803"/>
      <c r="AB40" s="803"/>
      <c r="AC40" s="2249"/>
      <c r="AD40" s="803"/>
      <c r="AE40" s="804"/>
      <c r="AF40" s="804"/>
      <c r="AG40" s="804"/>
      <c r="AH40" s="803"/>
      <c r="AI40" s="803"/>
      <c r="AJ40" s="803"/>
      <c r="AK40" s="803"/>
      <c r="AL40" s="803"/>
      <c r="AM40" s="804"/>
      <c r="AN40" s="803"/>
      <c r="AO40" s="803"/>
      <c r="AP40" s="803"/>
      <c r="AQ40" s="803"/>
      <c r="AR40" s="803"/>
      <c r="AS40" s="803"/>
      <c r="AT40" s="803" t="s">
        <v>4125</v>
      </c>
      <c r="AU40" s="803" t="s">
        <v>5401</v>
      </c>
      <c r="AV40" s="804" t="s">
        <v>2424</v>
      </c>
      <c r="AW40" s="804" t="s">
        <v>3830</v>
      </c>
      <c r="AX40" s="804" t="s">
        <v>3831</v>
      </c>
      <c r="AY40" s="804" t="s">
        <v>3832</v>
      </c>
      <c r="AZ40" s="804" t="s">
        <v>3833</v>
      </c>
      <c r="BA40" s="804"/>
      <c r="BB40" s="804"/>
      <c r="BC40" s="804"/>
      <c r="BD40" s="804"/>
      <c r="BE40" s="804"/>
      <c r="BF40" s="804"/>
      <c r="BG40" s="804"/>
      <c r="BH40" s="804"/>
      <c r="BI40" s="804"/>
      <c r="BJ40" s="1359"/>
      <c r="BK40" s="1359"/>
      <c r="BL40" s="1359"/>
      <c r="BM40" s="1359"/>
      <c r="BN40" s="1359"/>
      <c r="BO40" s="1359"/>
      <c r="BP40" s="1359"/>
      <c r="BQ40" s="804"/>
      <c r="BR40" s="804"/>
      <c r="BS40" s="1359"/>
      <c r="BT40" s="804"/>
      <c r="BU40" s="804"/>
      <c r="BV40" s="2495"/>
      <c r="BW40" s="2495"/>
      <c r="BX40" s="2495"/>
      <c r="BY40" s="2495"/>
      <c r="BZ40" s="804"/>
      <c r="CA40" s="804"/>
      <c r="CB40" s="2079"/>
      <c r="CC40" s="804"/>
      <c r="CD40" s="804"/>
      <c r="CE40" s="804"/>
      <c r="CF40" s="804"/>
      <c r="CG40" s="804"/>
      <c r="CH40" s="804"/>
      <c r="CI40" s="804"/>
      <c r="CJ40" s="804"/>
      <c r="CK40" s="804"/>
      <c r="CL40" s="804"/>
      <c r="CM40" s="804"/>
      <c r="CN40" s="804"/>
      <c r="CO40" s="802" t="s">
        <v>4151</v>
      </c>
      <c r="CP40" s="803" t="s">
        <v>1991</v>
      </c>
      <c r="CQ40" s="802"/>
      <c r="CR40" s="808"/>
      <c r="CT40" s="77"/>
    </row>
    <row r="41" spans="2:98" ht="18" x14ac:dyDescent="0.25">
      <c r="B41" s="1083">
        <v>38</v>
      </c>
      <c r="C41" s="1073" t="s">
        <v>299</v>
      </c>
      <c r="D41" s="806" t="s">
        <v>3178</v>
      </c>
      <c r="E41" s="803" t="s">
        <v>4105</v>
      </c>
      <c r="F41" s="803"/>
      <c r="G41" s="804" t="s">
        <v>4107</v>
      </c>
      <c r="H41" s="803"/>
      <c r="I41" s="803"/>
      <c r="J41" s="803"/>
      <c r="K41" s="803"/>
      <c r="L41" s="803"/>
      <c r="M41" s="803"/>
      <c r="N41" s="803"/>
      <c r="O41" s="803"/>
      <c r="P41" s="804">
        <v>1</v>
      </c>
      <c r="Q41" s="804"/>
      <c r="R41" s="803"/>
      <c r="S41" s="803"/>
      <c r="T41" s="803"/>
      <c r="U41" s="803"/>
      <c r="V41" s="803"/>
      <c r="W41" s="803"/>
      <c r="X41" s="803"/>
      <c r="Y41" s="803"/>
      <c r="Z41" s="803"/>
      <c r="AA41" s="803"/>
      <c r="AB41" s="803"/>
      <c r="AC41" s="2249"/>
      <c r="AD41" s="803"/>
      <c r="AE41" s="804"/>
      <c r="AF41" s="804"/>
      <c r="AG41" s="804"/>
      <c r="AH41" s="803"/>
      <c r="AI41" s="803"/>
      <c r="AJ41" s="803"/>
      <c r="AK41" s="803"/>
      <c r="AL41" s="803"/>
      <c r="AM41" s="804"/>
      <c r="AN41" s="803"/>
      <c r="AO41" s="803"/>
      <c r="AP41" s="803"/>
      <c r="AQ41" s="803"/>
      <c r="AR41" s="803"/>
      <c r="AS41" s="803"/>
      <c r="AT41" s="803" t="s">
        <v>4126</v>
      </c>
      <c r="AU41" s="803" t="s">
        <v>5402</v>
      </c>
      <c r="AV41" s="804" t="s">
        <v>2424</v>
      </c>
      <c r="AW41" s="804" t="s">
        <v>3830</v>
      </c>
      <c r="AX41" s="804" t="s">
        <v>3831</v>
      </c>
      <c r="AY41" s="804" t="s">
        <v>3832</v>
      </c>
      <c r="AZ41" s="804" t="s">
        <v>3833</v>
      </c>
      <c r="BA41" s="804"/>
      <c r="BB41" s="804"/>
      <c r="BC41" s="804"/>
      <c r="BD41" s="804"/>
      <c r="BE41" s="804"/>
      <c r="BF41" s="804"/>
      <c r="BG41" s="804"/>
      <c r="BH41" s="804"/>
      <c r="BI41" s="804"/>
      <c r="BJ41" s="1359"/>
      <c r="BK41" s="1359"/>
      <c r="BL41" s="1359"/>
      <c r="BM41" s="1359"/>
      <c r="BN41" s="1359"/>
      <c r="BO41" s="1359"/>
      <c r="BP41" s="1359"/>
      <c r="BQ41" s="804"/>
      <c r="BR41" s="804"/>
      <c r="BS41" s="1359"/>
      <c r="BT41" s="804"/>
      <c r="BU41" s="804"/>
      <c r="BV41" s="2495"/>
      <c r="BW41" s="2495"/>
      <c r="BX41" s="2495"/>
      <c r="BY41" s="2495"/>
      <c r="BZ41" s="804"/>
      <c r="CA41" s="804"/>
      <c r="CB41" s="2079"/>
      <c r="CC41" s="804"/>
      <c r="CD41" s="804"/>
      <c r="CE41" s="804"/>
      <c r="CF41" s="804"/>
      <c r="CG41" s="804"/>
      <c r="CH41" s="804"/>
      <c r="CI41" s="804"/>
      <c r="CJ41" s="804"/>
      <c r="CK41" s="804"/>
      <c r="CL41" s="804"/>
      <c r="CM41" s="804"/>
      <c r="CN41" s="804"/>
      <c r="CO41" s="802" t="s">
        <v>4152</v>
      </c>
      <c r="CP41" s="803" t="s">
        <v>1991</v>
      </c>
      <c r="CQ41" s="802"/>
      <c r="CR41" s="808"/>
      <c r="CT41" s="77"/>
    </row>
    <row r="42" spans="2:98" ht="18" x14ac:dyDescent="0.25">
      <c r="B42" s="1083">
        <v>39</v>
      </c>
      <c r="C42" s="1073" t="s">
        <v>300</v>
      </c>
      <c r="D42" s="806" t="s">
        <v>4102</v>
      </c>
      <c r="E42" s="804" t="s">
        <v>4106</v>
      </c>
      <c r="F42" s="804"/>
      <c r="G42" s="803"/>
      <c r="H42" s="803"/>
      <c r="I42" s="908" t="s">
        <v>3241</v>
      </c>
      <c r="J42" s="803"/>
      <c r="K42" s="803" t="s">
        <v>3170</v>
      </c>
      <c r="L42" s="803"/>
      <c r="M42" s="803"/>
      <c r="N42" s="803"/>
      <c r="O42" s="803"/>
      <c r="P42" s="804" t="s">
        <v>5284</v>
      </c>
      <c r="Q42" s="804" t="s">
        <v>5292</v>
      </c>
      <c r="R42" s="803" t="s">
        <v>3052</v>
      </c>
      <c r="S42" s="803"/>
      <c r="T42" s="803"/>
      <c r="U42" s="803"/>
      <c r="V42" s="803">
        <v>-1</v>
      </c>
      <c r="W42" s="803"/>
      <c r="X42" s="803"/>
      <c r="Y42" s="803"/>
      <c r="Z42" s="803"/>
      <c r="AA42" s="803"/>
      <c r="AB42" s="803"/>
      <c r="AC42" s="2249"/>
      <c r="AD42" s="803" t="s">
        <v>3250</v>
      </c>
      <c r="AE42" s="803"/>
      <c r="AF42" s="803"/>
      <c r="AG42" s="803"/>
      <c r="AH42" s="803"/>
      <c r="AI42" s="803"/>
      <c r="AJ42" s="803" t="s">
        <v>3185</v>
      </c>
      <c r="AK42" s="803"/>
      <c r="AL42" s="804" t="s">
        <v>4123</v>
      </c>
      <c r="AM42" s="804" t="s">
        <v>4122</v>
      </c>
      <c r="AN42" s="803"/>
      <c r="AO42" s="803"/>
      <c r="AP42" s="803" t="s">
        <v>3186</v>
      </c>
      <c r="AQ42" s="803"/>
      <c r="AR42" s="803"/>
      <c r="AS42" s="803"/>
      <c r="AT42" s="803"/>
      <c r="AU42" s="803" t="s">
        <v>5356</v>
      </c>
      <c r="AV42" s="803"/>
      <c r="AW42" s="804"/>
      <c r="AX42" s="804"/>
      <c r="AY42" s="2495" t="s">
        <v>5373</v>
      </c>
      <c r="AZ42" s="2495" t="s">
        <v>5374</v>
      </c>
      <c r="BA42" s="2495" t="s">
        <v>4143</v>
      </c>
      <c r="BB42" s="803"/>
      <c r="BC42" s="803"/>
      <c r="BD42" s="803"/>
      <c r="BE42" s="803"/>
      <c r="BF42" s="803"/>
      <c r="BG42" s="803"/>
      <c r="BH42" s="803"/>
      <c r="BI42" s="803"/>
      <c r="BJ42" s="1360"/>
      <c r="BK42" s="1360"/>
      <c r="BL42" s="1360"/>
      <c r="BM42" s="1360"/>
      <c r="BN42" s="1360"/>
      <c r="BO42" s="1360"/>
      <c r="BP42" s="1360"/>
      <c r="BQ42" s="803"/>
      <c r="BR42" s="803"/>
      <c r="BS42" s="1360"/>
      <c r="BT42" s="803"/>
      <c r="BU42" s="803"/>
      <c r="BV42" s="2249"/>
      <c r="BW42" s="2249"/>
      <c r="BX42" s="2249"/>
      <c r="BY42" s="2249"/>
      <c r="BZ42" s="803"/>
      <c r="CA42" s="803"/>
      <c r="CB42" s="2080"/>
      <c r="CC42" s="803"/>
      <c r="CD42" s="803"/>
      <c r="CE42" s="803"/>
      <c r="CF42" s="803"/>
      <c r="CG42" s="803"/>
      <c r="CH42" s="803"/>
      <c r="CI42" s="803"/>
      <c r="CJ42" s="803"/>
      <c r="CK42" s="803"/>
      <c r="CL42" s="803"/>
      <c r="CM42" s="803"/>
      <c r="CN42" s="803"/>
      <c r="CO42" s="802" t="s">
        <v>4153</v>
      </c>
      <c r="CP42" s="803" t="s">
        <v>1991</v>
      </c>
      <c r="CQ42" s="802"/>
      <c r="CR42" s="808"/>
    </row>
    <row r="43" spans="2:98" ht="18" x14ac:dyDescent="0.25">
      <c r="B43" s="1083">
        <v>40</v>
      </c>
      <c r="C43" s="1073" t="s">
        <v>356</v>
      </c>
      <c r="D43" s="806" t="s">
        <v>4103</v>
      </c>
      <c r="E43" s="804" t="s">
        <v>4106</v>
      </c>
      <c r="F43" s="804"/>
      <c r="G43" s="803"/>
      <c r="H43" s="803"/>
      <c r="I43" s="908" t="s">
        <v>3241</v>
      </c>
      <c r="J43" s="803"/>
      <c r="K43" s="803" t="s">
        <v>3170</v>
      </c>
      <c r="L43" s="803"/>
      <c r="M43" s="803"/>
      <c r="N43" s="803"/>
      <c r="O43" s="803"/>
      <c r="P43" s="804" t="s">
        <v>5284</v>
      </c>
      <c r="Q43" s="804" t="s">
        <v>5292</v>
      </c>
      <c r="R43" s="803"/>
      <c r="S43" s="803" t="s">
        <v>3052</v>
      </c>
      <c r="T43" s="803"/>
      <c r="U43" s="803"/>
      <c r="V43" s="803">
        <v>-1</v>
      </c>
      <c r="W43" s="803"/>
      <c r="X43" s="803"/>
      <c r="Y43" s="803"/>
      <c r="Z43" s="803"/>
      <c r="AA43" s="803"/>
      <c r="AB43" s="803"/>
      <c r="AC43" s="2249"/>
      <c r="AD43" s="803" t="s">
        <v>3250</v>
      </c>
      <c r="AE43" s="803"/>
      <c r="AF43" s="803"/>
      <c r="AG43" s="803"/>
      <c r="AH43" s="803"/>
      <c r="AI43" s="803"/>
      <c r="AJ43" s="803" t="s">
        <v>3185</v>
      </c>
      <c r="AK43" s="803"/>
      <c r="AL43" s="804" t="s">
        <v>4123</v>
      </c>
      <c r="AM43" s="804" t="s">
        <v>4122</v>
      </c>
      <c r="AN43" s="803"/>
      <c r="AO43" s="803"/>
      <c r="AP43" s="803" t="s">
        <v>3186</v>
      </c>
      <c r="AQ43" s="803"/>
      <c r="AR43" s="803"/>
      <c r="AS43" s="803"/>
      <c r="AT43" s="803"/>
      <c r="AU43" s="803" t="s">
        <v>5356</v>
      </c>
      <c r="AV43" s="803"/>
      <c r="AW43" s="804"/>
      <c r="AX43" s="804"/>
      <c r="AY43" s="2495" t="s">
        <v>5373</v>
      </c>
      <c r="AZ43" s="2495" t="s">
        <v>5374</v>
      </c>
      <c r="BA43" s="2495" t="s">
        <v>4143</v>
      </c>
      <c r="BB43" s="803"/>
      <c r="BC43" s="803"/>
      <c r="BD43" s="803"/>
      <c r="BE43" s="803"/>
      <c r="BF43" s="803"/>
      <c r="BG43" s="803"/>
      <c r="BH43" s="803"/>
      <c r="BI43" s="803"/>
      <c r="BJ43" s="1360"/>
      <c r="BK43" s="1360"/>
      <c r="BL43" s="1360"/>
      <c r="BM43" s="1360"/>
      <c r="BN43" s="1360"/>
      <c r="BO43" s="1360"/>
      <c r="BP43" s="1360"/>
      <c r="BQ43" s="803"/>
      <c r="BR43" s="803"/>
      <c r="BS43" s="1360"/>
      <c r="BT43" s="803"/>
      <c r="BU43" s="803"/>
      <c r="BV43" s="2249"/>
      <c r="BW43" s="2249"/>
      <c r="BX43" s="2249"/>
      <c r="BY43" s="2249"/>
      <c r="BZ43" s="803"/>
      <c r="CA43" s="803"/>
      <c r="CB43" s="2080"/>
      <c r="CC43" s="803"/>
      <c r="CD43" s="803"/>
      <c r="CE43" s="803"/>
      <c r="CF43" s="803"/>
      <c r="CG43" s="803"/>
      <c r="CH43" s="803"/>
      <c r="CI43" s="803"/>
      <c r="CJ43" s="803"/>
      <c r="CK43" s="803"/>
      <c r="CL43" s="803"/>
      <c r="CM43" s="803"/>
      <c r="CN43" s="803"/>
      <c r="CO43" s="802" t="s">
        <v>5308</v>
      </c>
      <c r="CP43" s="803" t="s">
        <v>1991</v>
      </c>
      <c r="CQ43" s="802"/>
      <c r="CR43" s="808"/>
    </row>
    <row r="44" spans="2:98" s="69" customFormat="1" ht="18" x14ac:dyDescent="0.25">
      <c r="B44" s="2121">
        <v>41</v>
      </c>
      <c r="C44" s="2122" t="s">
        <v>4378</v>
      </c>
      <c r="D44" s="2123" t="s">
        <v>4726</v>
      </c>
      <c r="E44" s="2080"/>
      <c r="F44" s="2080"/>
      <c r="G44" s="2080"/>
      <c r="H44" s="2080"/>
      <c r="I44" s="2080"/>
      <c r="J44" s="2080"/>
      <c r="K44" s="2080"/>
      <c r="L44" s="2080"/>
      <c r="M44" s="2080"/>
      <c r="N44" s="2080"/>
      <c r="O44" s="2080"/>
      <c r="P44" s="2080"/>
      <c r="Q44" s="2080"/>
      <c r="R44" s="2079"/>
      <c r="S44" s="2080"/>
      <c r="T44" s="2080"/>
      <c r="U44" s="2080"/>
      <c r="V44" s="2080"/>
      <c r="W44" s="2080"/>
      <c r="X44" s="2079"/>
      <c r="Y44" s="2080"/>
      <c r="Z44" s="2080"/>
      <c r="AA44" s="2080"/>
      <c r="AB44" s="2080"/>
      <c r="AC44" s="2249"/>
      <c r="AD44" s="2080"/>
      <c r="AE44" s="2079"/>
      <c r="AF44" s="2080"/>
      <c r="AG44" s="2080"/>
      <c r="AH44" s="2080"/>
      <c r="AI44" s="2080"/>
      <c r="AJ44" s="2080"/>
      <c r="AK44" s="2080"/>
      <c r="AL44" s="2080"/>
      <c r="AM44" s="2080"/>
      <c r="AN44" s="2080"/>
      <c r="AO44" s="2080"/>
      <c r="AP44" s="2080"/>
      <c r="AQ44" s="2080"/>
      <c r="AR44" s="2080"/>
      <c r="AS44" s="2080"/>
      <c r="AT44" s="2079"/>
      <c r="AU44" s="2080"/>
      <c r="AV44" s="2079"/>
      <c r="AW44" s="2080"/>
      <c r="AX44" s="2080"/>
      <c r="AY44" s="2079"/>
      <c r="AZ44" s="2079"/>
      <c r="BA44" s="2080"/>
      <c r="BB44" s="2079"/>
      <c r="BC44" s="2079"/>
      <c r="BD44" s="2080"/>
      <c r="BE44" s="2080"/>
      <c r="BF44" s="2079"/>
      <c r="BG44" s="2079"/>
      <c r="BH44" s="2080"/>
      <c r="BI44" s="2079"/>
      <c r="BJ44" s="2079"/>
      <c r="BK44" s="2079"/>
      <c r="BL44" s="2079"/>
      <c r="BM44" s="2079"/>
      <c r="BN44" s="2079"/>
      <c r="BO44" s="2079"/>
      <c r="BP44" s="2079"/>
      <c r="BQ44" s="2079"/>
      <c r="BR44" s="2079"/>
      <c r="BS44" s="2079"/>
      <c r="BT44" s="2079"/>
      <c r="BU44" s="2079"/>
      <c r="BV44" s="2495"/>
      <c r="BW44" s="2495"/>
      <c r="BX44" s="2495"/>
      <c r="BY44" s="2495"/>
      <c r="BZ44" s="2079"/>
      <c r="CA44" s="2079"/>
      <c r="CB44" s="2079">
        <v>1</v>
      </c>
      <c r="CC44" s="2079"/>
      <c r="CD44" s="2079"/>
      <c r="CE44" s="2079"/>
      <c r="CF44" s="2079"/>
      <c r="CG44" s="2079"/>
      <c r="CH44" s="2079"/>
      <c r="CI44" s="2079"/>
      <c r="CJ44" s="2079"/>
      <c r="CK44" s="2104"/>
      <c r="CL44" s="2104"/>
      <c r="CM44" s="2103"/>
      <c r="CN44" s="2104"/>
      <c r="CO44" s="2104" t="s">
        <v>4727</v>
      </c>
      <c r="CP44" s="2103" t="s">
        <v>4728</v>
      </c>
      <c r="CQ44" s="2104"/>
      <c r="CR44" s="2105"/>
    </row>
    <row r="45" spans="2:98" ht="18" x14ac:dyDescent="0.25">
      <c r="B45" s="2106">
        <v>42</v>
      </c>
      <c r="C45" s="2107" t="s">
        <v>4379</v>
      </c>
      <c r="D45" s="2108" t="s">
        <v>2189</v>
      </c>
      <c r="E45" s="2109"/>
      <c r="F45" s="2109"/>
      <c r="G45" s="2110"/>
      <c r="H45" s="2110"/>
      <c r="I45" s="2110"/>
      <c r="J45" s="2110"/>
      <c r="K45" s="2110"/>
      <c r="L45" s="2110"/>
      <c r="M45" s="2110"/>
      <c r="N45" s="2110"/>
      <c r="O45" s="2110"/>
      <c r="P45" s="2110"/>
      <c r="Q45" s="2110"/>
      <c r="R45" s="2110"/>
      <c r="S45" s="2110"/>
      <c r="T45" s="2110"/>
      <c r="U45" s="2110"/>
      <c r="V45" s="2110"/>
      <c r="W45" s="2110"/>
      <c r="X45" s="2110">
        <v>1</v>
      </c>
      <c r="Y45" s="2110"/>
      <c r="Z45" s="2110"/>
      <c r="AA45" s="2110"/>
      <c r="AB45" s="2110"/>
      <c r="AC45" s="2251"/>
      <c r="AD45" s="2110" t="s">
        <v>2184</v>
      </c>
      <c r="AE45" s="2109" t="s">
        <v>2185</v>
      </c>
      <c r="AF45" s="2109"/>
      <c r="AG45" s="2110"/>
      <c r="AH45" s="2110"/>
      <c r="AI45" s="2110"/>
      <c r="AJ45" s="2110"/>
      <c r="AK45" s="2110"/>
      <c r="AL45" s="2109" t="s">
        <v>1661</v>
      </c>
      <c r="AM45" s="2109"/>
      <c r="AN45" s="2110"/>
      <c r="AO45" s="2110"/>
      <c r="AP45" s="2110"/>
      <c r="AQ45" s="2110"/>
      <c r="AR45" s="2109" t="s">
        <v>2182</v>
      </c>
      <c r="AS45" s="2110"/>
      <c r="AT45" s="2110"/>
      <c r="AU45" s="2109" t="s">
        <v>1679</v>
      </c>
      <c r="AV45" s="2109" t="s">
        <v>2424</v>
      </c>
      <c r="AW45" s="2109" t="s">
        <v>3830</v>
      </c>
      <c r="AX45" s="2109" t="s">
        <v>3831</v>
      </c>
      <c r="AY45" s="2109" t="s">
        <v>3832</v>
      </c>
      <c r="AZ45" s="2109" t="s">
        <v>3833</v>
      </c>
      <c r="BA45" s="2109"/>
      <c r="BB45" s="2110"/>
      <c r="BC45" s="2110"/>
      <c r="BD45" s="2110"/>
      <c r="BE45" s="2110"/>
      <c r="BF45" s="2110"/>
      <c r="BG45" s="2110"/>
      <c r="BH45" s="2110"/>
      <c r="BI45" s="2110"/>
      <c r="BJ45" s="2110"/>
      <c r="BK45" s="2110"/>
      <c r="BL45" s="2110"/>
      <c r="BM45" s="2110"/>
      <c r="BN45" s="2110"/>
      <c r="BO45" s="2110"/>
      <c r="BP45" s="2110"/>
      <c r="BQ45" s="2110"/>
      <c r="BR45" s="2110"/>
      <c r="BS45" s="2110"/>
      <c r="BT45" s="2110"/>
      <c r="BU45" s="2110"/>
      <c r="BV45" s="2251"/>
      <c r="BW45" s="2251"/>
      <c r="BX45" s="2251"/>
      <c r="BY45" s="2251"/>
      <c r="BZ45" s="2110"/>
      <c r="CA45" s="2110"/>
      <c r="CB45" s="2110"/>
      <c r="CC45" s="2110"/>
      <c r="CD45" s="2110"/>
      <c r="CE45" s="2110"/>
      <c r="CF45" s="2110"/>
      <c r="CG45" s="2110"/>
      <c r="CH45" s="2110"/>
      <c r="CI45" s="2110"/>
      <c r="CJ45" s="2110"/>
      <c r="CK45" s="2110"/>
      <c r="CL45" s="2110"/>
      <c r="CM45" s="2110"/>
      <c r="CN45" s="2110"/>
      <c r="CO45" s="2111" t="s">
        <v>4955</v>
      </c>
      <c r="CP45" s="2109" t="s">
        <v>1991</v>
      </c>
      <c r="CQ45" s="2111"/>
      <c r="CR45" s="2112"/>
    </row>
    <row r="46" spans="2:98" ht="18" x14ac:dyDescent="0.25">
      <c r="B46" s="1084">
        <v>43</v>
      </c>
      <c r="C46" s="1074" t="s">
        <v>4380</v>
      </c>
      <c r="D46" s="809" t="s">
        <v>2190</v>
      </c>
      <c r="E46" s="810"/>
      <c r="F46" s="810"/>
      <c r="G46" s="811"/>
      <c r="H46" s="811"/>
      <c r="I46" s="909" t="s">
        <v>3241</v>
      </c>
      <c r="J46" s="811"/>
      <c r="K46" s="811" t="s">
        <v>3170</v>
      </c>
      <c r="L46" s="811"/>
      <c r="M46" s="811"/>
      <c r="N46" s="811"/>
      <c r="O46" s="811"/>
      <c r="P46" s="811"/>
      <c r="Q46" s="811"/>
      <c r="R46" s="811" t="s">
        <v>3052</v>
      </c>
      <c r="S46" s="811"/>
      <c r="T46" s="811"/>
      <c r="U46" s="811"/>
      <c r="V46" s="811"/>
      <c r="W46" s="811"/>
      <c r="X46" s="811">
        <v>-1</v>
      </c>
      <c r="Y46" s="811"/>
      <c r="Z46" s="811"/>
      <c r="AA46" s="811"/>
      <c r="AB46" s="811"/>
      <c r="AC46" s="2252"/>
      <c r="AD46" s="811" t="s">
        <v>3250</v>
      </c>
      <c r="AE46" s="811"/>
      <c r="AF46" s="811"/>
      <c r="AG46" s="811"/>
      <c r="AH46" s="811"/>
      <c r="AI46" s="811"/>
      <c r="AJ46" s="811" t="s">
        <v>3185</v>
      </c>
      <c r="AK46" s="811"/>
      <c r="AL46" s="811" t="s">
        <v>3252</v>
      </c>
      <c r="AM46" s="811"/>
      <c r="AN46" s="811"/>
      <c r="AO46" s="811"/>
      <c r="AP46" s="811" t="s">
        <v>3186</v>
      </c>
      <c r="AQ46" s="811"/>
      <c r="AR46" s="811"/>
      <c r="AS46" s="811"/>
      <c r="AT46" s="811"/>
      <c r="AU46" s="811" t="s">
        <v>5355</v>
      </c>
      <c r="AV46" s="810"/>
      <c r="AW46" s="810"/>
      <c r="AX46" s="810"/>
      <c r="AY46" s="810"/>
      <c r="AZ46" s="810"/>
      <c r="BA46" s="810"/>
      <c r="BB46" s="811"/>
      <c r="BC46" s="811"/>
      <c r="BD46" s="811"/>
      <c r="BE46" s="811"/>
      <c r="BF46" s="811"/>
      <c r="BG46" s="811"/>
      <c r="BH46" s="811"/>
      <c r="BI46" s="811"/>
      <c r="BJ46" s="1361"/>
      <c r="BK46" s="1361"/>
      <c r="BL46" s="1361"/>
      <c r="BM46" s="1361"/>
      <c r="BN46" s="1361"/>
      <c r="BO46" s="1361"/>
      <c r="BP46" s="1361"/>
      <c r="BQ46" s="811"/>
      <c r="BR46" s="811"/>
      <c r="BS46" s="1361"/>
      <c r="BT46" s="811"/>
      <c r="BU46" s="811"/>
      <c r="BV46" s="2252"/>
      <c r="BW46" s="2252"/>
      <c r="BX46" s="2252"/>
      <c r="BY46" s="2252"/>
      <c r="BZ46" s="811"/>
      <c r="CA46" s="811"/>
      <c r="CB46" s="2081"/>
      <c r="CC46" s="811"/>
      <c r="CD46" s="811"/>
      <c r="CE46" s="811"/>
      <c r="CF46" s="811"/>
      <c r="CG46" s="811"/>
      <c r="CH46" s="811"/>
      <c r="CI46" s="811"/>
      <c r="CJ46" s="811"/>
      <c r="CK46" s="811"/>
      <c r="CL46" s="811"/>
      <c r="CM46" s="811"/>
      <c r="CN46" s="811"/>
      <c r="CO46" s="812" t="s">
        <v>4172</v>
      </c>
      <c r="CP46" s="811" t="s">
        <v>1991</v>
      </c>
      <c r="CQ46" s="812"/>
      <c r="CR46" s="813"/>
    </row>
    <row r="47" spans="2:98" ht="18" x14ac:dyDescent="0.25">
      <c r="B47" s="1084">
        <v>44</v>
      </c>
      <c r="C47" s="1074" t="s">
        <v>4381</v>
      </c>
      <c r="D47" s="809" t="s">
        <v>2955</v>
      </c>
      <c r="E47" s="810"/>
      <c r="F47" s="810"/>
      <c r="G47" s="811"/>
      <c r="H47" s="811"/>
      <c r="I47" s="909" t="s">
        <v>3241</v>
      </c>
      <c r="J47" s="811"/>
      <c r="K47" s="811" t="s">
        <v>3170</v>
      </c>
      <c r="L47" s="811"/>
      <c r="M47" s="811"/>
      <c r="N47" s="811"/>
      <c r="O47" s="811"/>
      <c r="P47" s="811"/>
      <c r="Q47" s="811"/>
      <c r="R47" s="811"/>
      <c r="S47" s="811" t="s">
        <v>3052</v>
      </c>
      <c r="T47" s="811"/>
      <c r="U47" s="811"/>
      <c r="V47" s="811"/>
      <c r="W47" s="811"/>
      <c r="X47" s="811">
        <v>-1</v>
      </c>
      <c r="Y47" s="811"/>
      <c r="Z47" s="811"/>
      <c r="AA47" s="811"/>
      <c r="AB47" s="811"/>
      <c r="AC47" s="2252"/>
      <c r="AD47" s="811" t="s">
        <v>3250</v>
      </c>
      <c r="AE47" s="811"/>
      <c r="AF47" s="811"/>
      <c r="AG47" s="811"/>
      <c r="AH47" s="811"/>
      <c r="AI47" s="811"/>
      <c r="AJ47" s="811" t="s">
        <v>3185</v>
      </c>
      <c r="AK47" s="811"/>
      <c r="AL47" s="811" t="s">
        <v>3252</v>
      </c>
      <c r="AM47" s="811"/>
      <c r="AN47" s="811"/>
      <c r="AO47" s="811"/>
      <c r="AP47" s="811" t="s">
        <v>3186</v>
      </c>
      <c r="AQ47" s="811"/>
      <c r="AR47" s="811"/>
      <c r="AS47" s="811"/>
      <c r="AT47" s="811"/>
      <c r="AU47" s="811" t="s">
        <v>5355</v>
      </c>
      <c r="AV47" s="810"/>
      <c r="AW47" s="810"/>
      <c r="AX47" s="810"/>
      <c r="AY47" s="810"/>
      <c r="AZ47" s="810"/>
      <c r="BA47" s="810"/>
      <c r="BB47" s="811"/>
      <c r="BC47" s="811"/>
      <c r="BD47" s="811"/>
      <c r="BE47" s="811"/>
      <c r="BF47" s="811"/>
      <c r="BG47" s="811"/>
      <c r="BH47" s="811"/>
      <c r="BI47" s="811"/>
      <c r="BJ47" s="1361"/>
      <c r="BK47" s="1361"/>
      <c r="BL47" s="1361"/>
      <c r="BM47" s="1361"/>
      <c r="BN47" s="1361"/>
      <c r="BO47" s="1361"/>
      <c r="BP47" s="1361"/>
      <c r="BQ47" s="811"/>
      <c r="BR47" s="811"/>
      <c r="BS47" s="1361"/>
      <c r="BT47" s="811"/>
      <c r="BU47" s="811"/>
      <c r="BV47" s="2252"/>
      <c r="BW47" s="2252"/>
      <c r="BX47" s="2252"/>
      <c r="BY47" s="2252"/>
      <c r="BZ47" s="811"/>
      <c r="CA47" s="811"/>
      <c r="CB47" s="2081"/>
      <c r="CC47" s="811"/>
      <c r="CD47" s="811"/>
      <c r="CE47" s="811"/>
      <c r="CF47" s="811"/>
      <c r="CG47" s="811"/>
      <c r="CH47" s="811"/>
      <c r="CI47" s="811"/>
      <c r="CJ47" s="811"/>
      <c r="CK47" s="811"/>
      <c r="CL47" s="811"/>
      <c r="CM47" s="811"/>
      <c r="CN47" s="811"/>
      <c r="CO47" s="812" t="s">
        <v>4169</v>
      </c>
      <c r="CP47" s="811" t="s">
        <v>1991</v>
      </c>
      <c r="CQ47" s="812"/>
      <c r="CR47" s="813"/>
    </row>
    <row r="48" spans="2:98" ht="18" x14ac:dyDescent="0.25">
      <c r="B48" s="1085">
        <v>45</v>
      </c>
      <c r="C48" s="1075" t="s">
        <v>4382</v>
      </c>
      <c r="D48" s="814" t="s">
        <v>2191</v>
      </c>
      <c r="E48" s="815"/>
      <c r="F48" s="815"/>
      <c r="G48" s="815"/>
      <c r="H48" s="815"/>
      <c r="I48" s="815"/>
      <c r="J48" s="815"/>
      <c r="K48" s="815"/>
      <c r="L48" s="815"/>
      <c r="M48" s="815"/>
      <c r="N48" s="815"/>
      <c r="O48" s="815"/>
      <c r="P48" s="815"/>
      <c r="Q48" s="815"/>
      <c r="R48" s="815"/>
      <c r="S48" s="815"/>
      <c r="T48" s="815"/>
      <c r="U48" s="815"/>
      <c r="V48" s="815"/>
      <c r="W48" s="815"/>
      <c r="X48" s="815"/>
      <c r="Y48" s="815">
        <v>1</v>
      </c>
      <c r="Z48" s="815"/>
      <c r="AA48" s="815"/>
      <c r="AB48" s="815"/>
      <c r="AC48" s="2253"/>
      <c r="AD48" s="815" t="s">
        <v>2186</v>
      </c>
      <c r="AE48" s="815" t="s">
        <v>2187</v>
      </c>
      <c r="AF48" s="815" t="s">
        <v>2188</v>
      </c>
      <c r="AG48" s="815"/>
      <c r="AH48" s="815"/>
      <c r="AI48" s="815"/>
      <c r="AJ48" s="815"/>
      <c r="AK48" s="815"/>
      <c r="AL48" s="815" t="s">
        <v>1661</v>
      </c>
      <c r="AM48" s="815"/>
      <c r="AN48" s="815"/>
      <c r="AO48" s="815"/>
      <c r="AP48" s="815"/>
      <c r="AQ48" s="815"/>
      <c r="AR48" s="815" t="s">
        <v>2183</v>
      </c>
      <c r="AS48" s="815"/>
      <c r="AT48" s="815"/>
      <c r="AU48" s="815" t="s">
        <v>1679</v>
      </c>
      <c r="AV48" s="815" t="s">
        <v>2424</v>
      </c>
      <c r="AW48" s="815" t="s">
        <v>3830</v>
      </c>
      <c r="AX48" s="815" t="s">
        <v>3831</v>
      </c>
      <c r="AY48" s="815" t="s">
        <v>3832</v>
      </c>
      <c r="AZ48" s="815" t="s">
        <v>3833</v>
      </c>
      <c r="BA48" s="815"/>
      <c r="BB48" s="815"/>
      <c r="BC48" s="815"/>
      <c r="BD48" s="815"/>
      <c r="BE48" s="815"/>
      <c r="BF48" s="815"/>
      <c r="BG48" s="815"/>
      <c r="BH48" s="815"/>
      <c r="BI48" s="815"/>
      <c r="BJ48" s="1362"/>
      <c r="BK48" s="1362"/>
      <c r="BL48" s="1362"/>
      <c r="BM48" s="1362"/>
      <c r="BN48" s="1362"/>
      <c r="BO48" s="1362"/>
      <c r="BP48" s="1362"/>
      <c r="BQ48" s="815"/>
      <c r="BR48" s="815"/>
      <c r="BS48" s="1362"/>
      <c r="BT48" s="815"/>
      <c r="BU48" s="815"/>
      <c r="BV48" s="2253"/>
      <c r="BW48" s="2253"/>
      <c r="BX48" s="2253"/>
      <c r="BY48" s="2253"/>
      <c r="BZ48" s="815"/>
      <c r="CA48" s="815"/>
      <c r="CB48" s="2082"/>
      <c r="CC48" s="815"/>
      <c r="CD48" s="815"/>
      <c r="CE48" s="815"/>
      <c r="CF48" s="815"/>
      <c r="CG48" s="815"/>
      <c r="CH48" s="815"/>
      <c r="CI48" s="815"/>
      <c r="CJ48" s="815"/>
      <c r="CK48" s="815"/>
      <c r="CL48" s="815"/>
      <c r="CM48" s="815"/>
      <c r="CN48" s="815"/>
      <c r="CO48" s="816" t="s">
        <v>4956</v>
      </c>
      <c r="CP48" s="815" t="s">
        <v>1991</v>
      </c>
      <c r="CQ48" s="816"/>
      <c r="CR48" s="817"/>
    </row>
    <row r="49" spans="2:98" ht="18" x14ac:dyDescent="0.25">
      <c r="B49" s="1085">
        <v>46</v>
      </c>
      <c r="C49" s="1075" t="s">
        <v>444</v>
      </c>
      <c r="D49" s="814" t="s">
        <v>2192</v>
      </c>
      <c r="E49" s="815"/>
      <c r="F49" s="815"/>
      <c r="G49" s="815"/>
      <c r="H49" s="815"/>
      <c r="I49" s="910" t="s">
        <v>3241</v>
      </c>
      <c r="J49" s="815"/>
      <c r="K49" s="815" t="s">
        <v>3170</v>
      </c>
      <c r="L49" s="815"/>
      <c r="M49" s="815"/>
      <c r="N49" s="815"/>
      <c r="O49" s="815"/>
      <c r="P49" s="815"/>
      <c r="Q49" s="815"/>
      <c r="R49" s="815" t="s">
        <v>3052</v>
      </c>
      <c r="S49" s="815"/>
      <c r="T49" s="815"/>
      <c r="U49" s="815"/>
      <c r="V49" s="815"/>
      <c r="W49" s="815"/>
      <c r="X49" s="815"/>
      <c r="Y49" s="815">
        <v>-1</v>
      </c>
      <c r="Z49" s="815"/>
      <c r="AA49" s="815"/>
      <c r="AB49" s="815"/>
      <c r="AC49" s="2253"/>
      <c r="AD49" s="815" t="s">
        <v>3250</v>
      </c>
      <c r="AE49" s="815"/>
      <c r="AF49" s="815"/>
      <c r="AG49" s="815"/>
      <c r="AH49" s="815"/>
      <c r="AI49" s="815"/>
      <c r="AJ49" s="815" t="s">
        <v>3185</v>
      </c>
      <c r="AK49" s="815"/>
      <c r="AL49" s="815" t="s">
        <v>3252</v>
      </c>
      <c r="AM49" s="815"/>
      <c r="AN49" s="815"/>
      <c r="AO49" s="815"/>
      <c r="AP49" s="815" t="s">
        <v>3186</v>
      </c>
      <c r="AQ49" s="815"/>
      <c r="AR49" s="815"/>
      <c r="AS49" s="815"/>
      <c r="AT49" s="815"/>
      <c r="AU49" s="815" t="s">
        <v>5355</v>
      </c>
      <c r="AV49" s="815"/>
      <c r="AW49" s="815"/>
      <c r="AX49" s="815"/>
      <c r="AY49" s="815"/>
      <c r="AZ49" s="815"/>
      <c r="BA49" s="815"/>
      <c r="BB49" s="815"/>
      <c r="BC49" s="815"/>
      <c r="BD49" s="815"/>
      <c r="BE49" s="815"/>
      <c r="BF49" s="815"/>
      <c r="BG49" s="815"/>
      <c r="BH49" s="815"/>
      <c r="BI49" s="815"/>
      <c r="BJ49" s="1362"/>
      <c r="BK49" s="1362"/>
      <c r="BL49" s="1362"/>
      <c r="BM49" s="1362"/>
      <c r="BN49" s="1362"/>
      <c r="BO49" s="1362"/>
      <c r="BP49" s="1362"/>
      <c r="BQ49" s="815"/>
      <c r="BR49" s="815"/>
      <c r="BS49" s="1362"/>
      <c r="BT49" s="815"/>
      <c r="BU49" s="815"/>
      <c r="BV49" s="2253"/>
      <c r="BW49" s="2253"/>
      <c r="BX49" s="2253"/>
      <c r="BY49" s="2253"/>
      <c r="BZ49" s="815"/>
      <c r="CA49" s="815"/>
      <c r="CB49" s="2082"/>
      <c r="CC49" s="815"/>
      <c r="CD49" s="815"/>
      <c r="CE49" s="815"/>
      <c r="CF49" s="815"/>
      <c r="CG49" s="815"/>
      <c r="CH49" s="815"/>
      <c r="CI49" s="815"/>
      <c r="CJ49" s="815"/>
      <c r="CK49" s="815"/>
      <c r="CL49" s="815"/>
      <c r="CM49" s="815"/>
      <c r="CN49" s="815"/>
      <c r="CO49" s="816" t="s">
        <v>4178</v>
      </c>
      <c r="CP49" s="815" t="s">
        <v>1991</v>
      </c>
      <c r="CQ49" s="816"/>
      <c r="CR49" s="817"/>
    </row>
    <row r="50" spans="2:98" ht="18" x14ac:dyDescent="0.25">
      <c r="B50" s="1085">
        <v>47</v>
      </c>
      <c r="C50" s="1075" t="s">
        <v>467</v>
      </c>
      <c r="D50" s="814" t="s">
        <v>2956</v>
      </c>
      <c r="E50" s="815"/>
      <c r="F50" s="815"/>
      <c r="G50" s="815"/>
      <c r="H50" s="815"/>
      <c r="I50" s="910" t="s">
        <v>3241</v>
      </c>
      <c r="J50" s="815"/>
      <c r="K50" s="815" t="s">
        <v>3170</v>
      </c>
      <c r="L50" s="815"/>
      <c r="M50" s="815"/>
      <c r="N50" s="815"/>
      <c r="O50" s="815"/>
      <c r="P50" s="815"/>
      <c r="Q50" s="815"/>
      <c r="R50" s="815"/>
      <c r="S50" s="815" t="s">
        <v>3052</v>
      </c>
      <c r="T50" s="815"/>
      <c r="U50" s="815"/>
      <c r="V50" s="815"/>
      <c r="W50" s="815"/>
      <c r="X50" s="815"/>
      <c r="Y50" s="815">
        <v>-1</v>
      </c>
      <c r="Z50" s="815"/>
      <c r="AA50" s="815"/>
      <c r="AB50" s="815"/>
      <c r="AC50" s="2253"/>
      <c r="AD50" s="815" t="s">
        <v>3250</v>
      </c>
      <c r="AE50" s="815"/>
      <c r="AF50" s="815"/>
      <c r="AG50" s="815"/>
      <c r="AH50" s="815"/>
      <c r="AI50" s="815"/>
      <c r="AJ50" s="815" t="s">
        <v>3185</v>
      </c>
      <c r="AK50" s="815"/>
      <c r="AL50" s="815" t="s">
        <v>3252</v>
      </c>
      <c r="AM50" s="815"/>
      <c r="AN50" s="815"/>
      <c r="AO50" s="815"/>
      <c r="AP50" s="815" t="s">
        <v>3186</v>
      </c>
      <c r="AQ50" s="815"/>
      <c r="AR50" s="815"/>
      <c r="AS50" s="815"/>
      <c r="AT50" s="815"/>
      <c r="AU50" s="815" t="s">
        <v>5355</v>
      </c>
      <c r="AV50" s="815"/>
      <c r="AW50" s="815"/>
      <c r="AX50" s="815"/>
      <c r="AY50" s="815"/>
      <c r="AZ50" s="815"/>
      <c r="BA50" s="815"/>
      <c r="BB50" s="815"/>
      <c r="BC50" s="815"/>
      <c r="BD50" s="815"/>
      <c r="BE50" s="815"/>
      <c r="BF50" s="815"/>
      <c r="BG50" s="815"/>
      <c r="BH50" s="815"/>
      <c r="BI50" s="815"/>
      <c r="BJ50" s="1362"/>
      <c r="BK50" s="1362"/>
      <c r="BL50" s="1362"/>
      <c r="BM50" s="1362"/>
      <c r="BN50" s="1362"/>
      <c r="BO50" s="1362"/>
      <c r="BP50" s="1362"/>
      <c r="BQ50" s="815"/>
      <c r="BR50" s="815"/>
      <c r="BS50" s="1362"/>
      <c r="BT50" s="815"/>
      <c r="BU50" s="815"/>
      <c r="BV50" s="2253"/>
      <c r="BW50" s="2253"/>
      <c r="BX50" s="2253"/>
      <c r="BY50" s="2253"/>
      <c r="BZ50" s="815"/>
      <c r="CA50" s="815"/>
      <c r="CB50" s="2082"/>
      <c r="CC50" s="815"/>
      <c r="CD50" s="815"/>
      <c r="CE50" s="815"/>
      <c r="CF50" s="815"/>
      <c r="CG50" s="815"/>
      <c r="CH50" s="815"/>
      <c r="CI50" s="815"/>
      <c r="CJ50" s="815"/>
      <c r="CK50" s="815"/>
      <c r="CL50" s="815"/>
      <c r="CM50" s="815"/>
      <c r="CN50" s="815"/>
      <c r="CO50" s="816" t="s">
        <v>4175</v>
      </c>
      <c r="CP50" s="815" t="s">
        <v>1991</v>
      </c>
      <c r="CQ50" s="816"/>
      <c r="CR50" s="817"/>
    </row>
    <row r="51" spans="2:98" ht="18" x14ac:dyDescent="0.25">
      <c r="B51" s="1086">
        <v>48</v>
      </c>
      <c r="C51" s="1076" t="s">
        <v>468</v>
      </c>
      <c r="D51" s="818" t="s">
        <v>2193</v>
      </c>
      <c r="E51" s="819"/>
      <c r="F51" s="819"/>
      <c r="G51" s="819"/>
      <c r="H51" s="819"/>
      <c r="I51" s="819"/>
      <c r="J51" s="819"/>
      <c r="K51" s="819"/>
      <c r="L51" s="819"/>
      <c r="M51" s="819"/>
      <c r="N51" s="819"/>
      <c r="O51" s="819"/>
      <c r="P51" s="819"/>
      <c r="Q51" s="819"/>
      <c r="R51" s="819"/>
      <c r="S51" s="819"/>
      <c r="T51" s="819"/>
      <c r="U51" s="819"/>
      <c r="V51" s="819"/>
      <c r="W51" s="819"/>
      <c r="X51" s="819"/>
      <c r="Y51" s="819"/>
      <c r="Z51" s="819">
        <v>1</v>
      </c>
      <c r="AA51" s="819"/>
      <c r="AB51" s="819"/>
      <c r="AC51" s="2254"/>
      <c r="AD51" s="819" t="s">
        <v>2196</v>
      </c>
      <c r="AE51" s="819" t="s">
        <v>2197</v>
      </c>
      <c r="AF51" s="819" t="s">
        <v>2198</v>
      </c>
      <c r="AG51" s="819" t="s">
        <v>2199</v>
      </c>
      <c r="AH51" s="819"/>
      <c r="AI51" s="819"/>
      <c r="AJ51" s="819"/>
      <c r="AK51" s="819"/>
      <c r="AL51" s="819" t="s">
        <v>1661</v>
      </c>
      <c r="AM51" s="819"/>
      <c r="AN51" s="819"/>
      <c r="AO51" s="819"/>
      <c r="AP51" s="819"/>
      <c r="AQ51" s="819"/>
      <c r="AR51" s="819"/>
      <c r="AS51" s="819"/>
      <c r="AT51" s="819"/>
      <c r="AU51" s="819" t="s">
        <v>1679</v>
      </c>
      <c r="AV51" s="819" t="s">
        <v>2424</v>
      </c>
      <c r="AW51" s="819" t="s">
        <v>3830</v>
      </c>
      <c r="AX51" s="819" t="s">
        <v>3831</v>
      </c>
      <c r="AY51" s="819" t="s">
        <v>3832</v>
      </c>
      <c r="AZ51" s="819" t="s">
        <v>3833</v>
      </c>
      <c r="BA51" s="819"/>
      <c r="BB51" s="819"/>
      <c r="BC51" s="819"/>
      <c r="BD51" s="819"/>
      <c r="BE51" s="819"/>
      <c r="BF51" s="819"/>
      <c r="BG51" s="819"/>
      <c r="BH51" s="819"/>
      <c r="BI51" s="819"/>
      <c r="BJ51" s="1363"/>
      <c r="BK51" s="1363"/>
      <c r="BL51" s="1363"/>
      <c r="BM51" s="1363"/>
      <c r="BN51" s="1363"/>
      <c r="BO51" s="1363"/>
      <c r="BP51" s="1363"/>
      <c r="BQ51" s="819"/>
      <c r="BR51" s="819"/>
      <c r="BS51" s="1363"/>
      <c r="BT51" s="819"/>
      <c r="BU51" s="819"/>
      <c r="BV51" s="2254"/>
      <c r="BW51" s="2254"/>
      <c r="BX51" s="2254"/>
      <c r="BY51" s="2254"/>
      <c r="BZ51" s="819"/>
      <c r="CA51" s="819"/>
      <c r="CB51" s="2083"/>
      <c r="CC51" s="819"/>
      <c r="CD51" s="819"/>
      <c r="CE51" s="819"/>
      <c r="CF51" s="819"/>
      <c r="CG51" s="819"/>
      <c r="CH51" s="819"/>
      <c r="CI51" s="819"/>
      <c r="CJ51" s="819"/>
      <c r="CK51" s="819"/>
      <c r="CL51" s="819"/>
      <c r="CM51" s="819"/>
      <c r="CN51" s="819"/>
      <c r="CO51" s="820" t="s">
        <v>3848</v>
      </c>
      <c r="CP51" s="819" t="s">
        <v>1991</v>
      </c>
      <c r="CQ51" s="820"/>
      <c r="CR51" s="821"/>
    </row>
    <row r="52" spans="2:98" ht="18" x14ac:dyDescent="0.25">
      <c r="B52" s="1086">
        <v>49</v>
      </c>
      <c r="C52" s="1076" t="s">
        <v>469</v>
      </c>
      <c r="D52" s="818" t="s">
        <v>2194</v>
      </c>
      <c r="E52" s="822"/>
      <c r="F52" s="822"/>
      <c r="G52" s="822"/>
      <c r="H52" s="822"/>
      <c r="I52" s="911" t="s">
        <v>3241</v>
      </c>
      <c r="J52" s="822"/>
      <c r="K52" s="822" t="s">
        <v>3170</v>
      </c>
      <c r="L52" s="822"/>
      <c r="M52" s="822"/>
      <c r="N52" s="822"/>
      <c r="O52" s="822"/>
      <c r="P52" s="822"/>
      <c r="Q52" s="822"/>
      <c r="R52" s="822" t="s">
        <v>3052</v>
      </c>
      <c r="S52" s="822"/>
      <c r="T52" s="822"/>
      <c r="U52" s="822"/>
      <c r="V52" s="822"/>
      <c r="W52" s="822"/>
      <c r="X52" s="822"/>
      <c r="Y52" s="822"/>
      <c r="Z52" s="822">
        <v>-1</v>
      </c>
      <c r="AA52" s="822"/>
      <c r="AB52" s="822"/>
      <c r="AC52" s="2255"/>
      <c r="AD52" s="822" t="s">
        <v>3250</v>
      </c>
      <c r="AE52" s="822"/>
      <c r="AF52" s="822"/>
      <c r="AG52" s="822"/>
      <c r="AH52" s="822"/>
      <c r="AI52" s="822"/>
      <c r="AJ52" s="822" t="s">
        <v>3185</v>
      </c>
      <c r="AK52" s="822"/>
      <c r="AL52" s="822" t="s">
        <v>3252</v>
      </c>
      <c r="AM52" s="822"/>
      <c r="AN52" s="822"/>
      <c r="AO52" s="822"/>
      <c r="AP52" s="822" t="s">
        <v>3186</v>
      </c>
      <c r="AQ52" s="822"/>
      <c r="AR52" s="822"/>
      <c r="AS52" s="822"/>
      <c r="AT52" s="822"/>
      <c r="AU52" s="822" t="s">
        <v>5355</v>
      </c>
      <c r="AV52" s="822"/>
      <c r="AW52" s="822"/>
      <c r="AX52" s="822"/>
      <c r="AY52" s="822"/>
      <c r="AZ52" s="822"/>
      <c r="BA52" s="822"/>
      <c r="BB52" s="822"/>
      <c r="BC52" s="822"/>
      <c r="BD52" s="822"/>
      <c r="BE52" s="822"/>
      <c r="BF52" s="822"/>
      <c r="BG52" s="822"/>
      <c r="BH52" s="822"/>
      <c r="BI52" s="822"/>
      <c r="BJ52" s="1364"/>
      <c r="BK52" s="1364"/>
      <c r="BL52" s="1364"/>
      <c r="BM52" s="1364"/>
      <c r="BN52" s="1364"/>
      <c r="BO52" s="1364"/>
      <c r="BP52" s="1364"/>
      <c r="BQ52" s="822"/>
      <c r="BR52" s="822"/>
      <c r="BS52" s="1364"/>
      <c r="BT52" s="822"/>
      <c r="BU52" s="822"/>
      <c r="BV52" s="2255"/>
      <c r="BW52" s="2255"/>
      <c r="BX52" s="2255"/>
      <c r="BY52" s="2255"/>
      <c r="BZ52" s="822"/>
      <c r="CA52" s="822"/>
      <c r="CB52" s="2084"/>
      <c r="CC52" s="822"/>
      <c r="CD52" s="822"/>
      <c r="CE52" s="822"/>
      <c r="CF52" s="822"/>
      <c r="CG52" s="822"/>
      <c r="CH52" s="822"/>
      <c r="CI52" s="822"/>
      <c r="CJ52" s="822"/>
      <c r="CK52" s="822"/>
      <c r="CL52" s="822"/>
      <c r="CM52" s="822"/>
      <c r="CN52" s="822"/>
      <c r="CO52" s="823" t="s">
        <v>4184</v>
      </c>
      <c r="CP52" s="822" t="s">
        <v>1991</v>
      </c>
      <c r="CQ52" s="823"/>
      <c r="CR52" s="824"/>
    </row>
    <row r="53" spans="2:98" ht="18" x14ac:dyDescent="0.25">
      <c r="B53" s="1086">
        <v>50</v>
      </c>
      <c r="C53" s="1076" t="s">
        <v>2102</v>
      </c>
      <c r="D53" s="818" t="s">
        <v>2957</v>
      </c>
      <c r="E53" s="822"/>
      <c r="F53" s="822"/>
      <c r="G53" s="822"/>
      <c r="H53" s="822"/>
      <c r="I53" s="911" t="s">
        <v>3241</v>
      </c>
      <c r="J53" s="822"/>
      <c r="K53" s="822" t="s">
        <v>3170</v>
      </c>
      <c r="L53" s="822"/>
      <c r="M53" s="822"/>
      <c r="N53" s="822"/>
      <c r="O53" s="822"/>
      <c r="P53" s="822"/>
      <c r="Q53" s="822"/>
      <c r="R53" s="822"/>
      <c r="S53" s="822" t="s">
        <v>3052</v>
      </c>
      <c r="T53" s="822"/>
      <c r="U53" s="822"/>
      <c r="V53" s="822"/>
      <c r="W53" s="822"/>
      <c r="X53" s="822"/>
      <c r="Y53" s="822"/>
      <c r="Z53" s="822">
        <v>-1</v>
      </c>
      <c r="AA53" s="822"/>
      <c r="AB53" s="822"/>
      <c r="AC53" s="2255"/>
      <c r="AD53" s="822" t="s">
        <v>3250</v>
      </c>
      <c r="AE53" s="822"/>
      <c r="AF53" s="822"/>
      <c r="AG53" s="822"/>
      <c r="AH53" s="822"/>
      <c r="AI53" s="822"/>
      <c r="AJ53" s="822" t="s">
        <v>3185</v>
      </c>
      <c r="AK53" s="822"/>
      <c r="AL53" s="822" t="s">
        <v>3252</v>
      </c>
      <c r="AM53" s="822"/>
      <c r="AN53" s="822"/>
      <c r="AO53" s="822"/>
      <c r="AP53" s="822" t="s">
        <v>3186</v>
      </c>
      <c r="AQ53" s="822"/>
      <c r="AR53" s="822"/>
      <c r="AS53" s="822"/>
      <c r="AT53" s="822"/>
      <c r="AU53" s="822" t="s">
        <v>5355</v>
      </c>
      <c r="AV53" s="822"/>
      <c r="AW53" s="822"/>
      <c r="AX53" s="822"/>
      <c r="AY53" s="822"/>
      <c r="AZ53" s="822"/>
      <c r="BA53" s="822"/>
      <c r="BB53" s="822"/>
      <c r="BC53" s="822"/>
      <c r="BD53" s="822"/>
      <c r="BE53" s="822"/>
      <c r="BF53" s="822"/>
      <c r="BG53" s="822"/>
      <c r="BH53" s="822"/>
      <c r="BI53" s="822"/>
      <c r="BJ53" s="1364"/>
      <c r="BK53" s="1364"/>
      <c r="BL53" s="1364"/>
      <c r="BM53" s="1364"/>
      <c r="BN53" s="1364"/>
      <c r="BO53" s="1364"/>
      <c r="BP53" s="1364"/>
      <c r="BQ53" s="822"/>
      <c r="BR53" s="822"/>
      <c r="BS53" s="1364"/>
      <c r="BT53" s="822"/>
      <c r="BU53" s="822"/>
      <c r="BV53" s="2255"/>
      <c r="BW53" s="2255"/>
      <c r="BX53" s="2255"/>
      <c r="BY53" s="2255"/>
      <c r="BZ53" s="822"/>
      <c r="CA53" s="822"/>
      <c r="CB53" s="2084"/>
      <c r="CC53" s="822"/>
      <c r="CD53" s="822"/>
      <c r="CE53" s="822"/>
      <c r="CF53" s="822"/>
      <c r="CG53" s="822"/>
      <c r="CH53" s="822"/>
      <c r="CI53" s="822"/>
      <c r="CJ53" s="822"/>
      <c r="CK53" s="822"/>
      <c r="CL53" s="822"/>
      <c r="CM53" s="822"/>
      <c r="CN53" s="822"/>
      <c r="CO53" s="823" t="s">
        <v>4180</v>
      </c>
      <c r="CP53" s="822" t="s">
        <v>1991</v>
      </c>
      <c r="CQ53" s="823"/>
      <c r="CR53" s="824"/>
    </row>
    <row r="54" spans="2:98" ht="18" x14ac:dyDescent="0.25">
      <c r="B54" s="1087">
        <v>51</v>
      </c>
      <c r="C54" s="1077" t="s">
        <v>2103</v>
      </c>
      <c r="D54" s="825" t="s">
        <v>306</v>
      </c>
      <c r="E54" s="826" t="s">
        <v>1680</v>
      </c>
      <c r="F54" s="826"/>
      <c r="G54" s="827"/>
      <c r="H54" s="827"/>
      <c r="I54" s="827"/>
      <c r="J54" s="827"/>
      <c r="K54" s="827"/>
      <c r="L54" s="827"/>
      <c r="M54" s="827"/>
      <c r="N54" s="827"/>
      <c r="O54" s="827"/>
      <c r="P54" s="827"/>
      <c r="Q54" s="827"/>
      <c r="R54" s="827"/>
      <c r="S54" s="827"/>
      <c r="T54" s="827"/>
      <c r="U54" s="827"/>
      <c r="V54" s="827"/>
      <c r="W54" s="827"/>
      <c r="X54" s="827"/>
      <c r="Y54" s="827"/>
      <c r="Z54" s="827"/>
      <c r="AA54" s="827">
        <v>1</v>
      </c>
      <c r="AB54" s="827"/>
      <c r="AC54" s="2256"/>
      <c r="AD54" s="827" t="s">
        <v>1660</v>
      </c>
      <c r="AE54" s="827"/>
      <c r="AF54" s="827"/>
      <c r="AG54" s="827"/>
      <c r="AH54" s="827"/>
      <c r="AI54" s="827"/>
      <c r="AJ54" s="827"/>
      <c r="AK54" s="827"/>
      <c r="AL54" s="826" t="s">
        <v>1661</v>
      </c>
      <c r="AM54" s="827"/>
      <c r="AN54" s="827"/>
      <c r="AO54" s="827"/>
      <c r="AP54" s="827"/>
      <c r="AQ54" s="827"/>
      <c r="AR54" s="827"/>
      <c r="AS54" s="827" t="s">
        <v>1681</v>
      </c>
      <c r="AT54" s="827"/>
      <c r="AU54" s="827" t="s">
        <v>2146</v>
      </c>
      <c r="AV54" s="826" t="s">
        <v>2424</v>
      </c>
      <c r="AW54" s="826" t="s">
        <v>3830</v>
      </c>
      <c r="AX54" s="826" t="s">
        <v>3831</v>
      </c>
      <c r="AY54" s="826" t="s">
        <v>3832</v>
      </c>
      <c r="AZ54" s="826" t="s">
        <v>3833</v>
      </c>
      <c r="BA54" s="826"/>
      <c r="BB54" s="826"/>
      <c r="BC54" s="826"/>
      <c r="BD54" s="826"/>
      <c r="BE54" s="826"/>
      <c r="BF54" s="826"/>
      <c r="BG54" s="826"/>
      <c r="BH54" s="826"/>
      <c r="BI54" s="826"/>
      <c r="BJ54" s="1365"/>
      <c r="BK54" s="1365"/>
      <c r="BL54" s="1365"/>
      <c r="BM54" s="1365"/>
      <c r="BN54" s="1365"/>
      <c r="BO54" s="1365"/>
      <c r="BP54" s="1365"/>
      <c r="BQ54" s="826"/>
      <c r="BR54" s="826"/>
      <c r="BS54" s="1365"/>
      <c r="BT54" s="826"/>
      <c r="BU54" s="826"/>
      <c r="BV54" s="2496"/>
      <c r="BW54" s="2496"/>
      <c r="BX54" s="2496"/>
      <c r="BY54" s="2496"/>
      <c r="BZ54" s="826"/>
      <c r="CA54" s="826"/>
      <c r="CB54" s="2085"/>
      <c r="CC54" s="826"/>
      <c r="CD54" s="826"/>
      <c r="CE54" s="826"/>
      <c r="CF54" s="826"/>
      <c r="CG54" s="826"/>
      <c r="CH54" s="826"/>
      <c r="CI54" s="826"/>
      <c r="CJ54" s="826"/>
      <c r="CK54" s="826"/>
      <c r="CL54" s="826"/>
      <c r="CM54" s="826"/>
      <c r="CN54" s="826"/>
      <c r="CO54" s="828" t="s">
        <v>4554</v>
      </c>
      <c r="CP54" s="827" t="s">
        <v>1991</v>
      </c>
      <c r="CQ54" s="829" t="s">
        <v>905</v>
      </c>
      <c r="CR54" s="830"/>
    </row>
    <row r="55" spans="2:98" ht="18" x14ac:dyDescent="0.25">
      <c r="B55" s="1087">
        <v>52</v>
      </c>
      <c r="C55" s="1077" t="s">
        <v>2104</v>
      </c>
      <c r="D55" s="825" t="s">
        <v>294</v>
      </c>
      <c r="E55" s="827"/>
      <c r="F55" s="827"/>
      <c r="G55" s="827"/>
      <c r="H55" s="827"/>
      <c r="I55" s="912" t="s">
        <v>3241</v>
      </c>
      <c r="J55" s="827"/>
      <c r="K55" s="827" t="s">
        <v>3170</v>
      </c>
      <c r="L55" s="827"/>
      <c r="M55" s="827"/>
      <c r="N55" s="827"/>
      <c r="O55" s="827"/>
      <c r="P55" s="827"/>
      <c r="Q55" s="827"/>
      <c r="R55" s="827" t="s">
        <v>3052</v>
      </c>
      <c r="S55" s="827"/>
      <c r="T55" s="827"/>
      <c r="U55" s="827"/>
      <c r="V55" s="827"/>
      <c r="W55" s="827"/>
      <c r="X55" s="827"/>
      <c r="Y55" s="827"/>
      <c r="Z55" s="827"/>
      <c r="AA55" s="827">
        <v>-1</v>
      </c>
      <c r="AB55" s="827"/>
      <c r="AC55" s="2256"/>
      <c r="AD55" s="827" t="s">
        <v>3250</v>
      </c>
      <c r="AE55" s="827"/>
      <c r="AF55" s="827"/>
      <c r="AG55" s="827"/>
      <c r="AH55" s="827"/>
      <c r="AI55" s="827"/>
      <c r="AJ55" s="827" t="s">
        <v>3185</v>
      </c>
      <c r="AK55" s="827"/>
      <c r="AL55" s="827" t="s">
        <v>3253</v>
      </c>
      <c r="AM55" s="827"/>
      <c r="AN55" s="827"/>
      <c r="AO55" s="827"/>
      <c r="AP55" s="827" t="s">
        <v>3186</v>
      </c>
      <c r="AQ55" s="827"/>
      <c r="AR55" s="827"/>
      <c r="AS55" s="827"/>
      <c r="AT55" s="827"/>
      <c r="AU55" s="827" t="s">
        <v>5355</v>
      </c>
      <c r="AV55" s="827"/>
      <c r="AW55" s="827"/>
      <c r="AX55" s="827"/>
      <c r="AY55" s="827"/>
      <c r="AZ55" s="827"/>
      <c r="BA55" s="827"/>
      <c r="BB55" s="827"/>
      <c r="BC55" s="827"/>
      <c r="BD55" s="827"/>
      <c r="BE55" s="827"/>
      <c r="BF55" s="827"/>
      <c r="BG55" s="827"/>
      <c r="BH55" s="827"/>
      <c r="BI55" s="827"/>
      <c r="BJ55" s="1366"/>
      <c r="BK55" s="1366"/>
      <c r="BL55" s="1366"/>
      <c r="BM55" s="1366"/>
      <c r="BN55" s="1366"/>
      <c r="BO55" s="1366"/>
      <c r="BP55" s="1366"/>
      <c r="BQ55" s="827"/>
      <c r="BR55" s="827"/>
      <c r="BS55" s="1366"/>
      <c r="BT55" s="827"/>
      <c r="BU55" s="827"/>
      <c r="BV55" s="2256"/>
      <c r="BW55" s="2256"/>
      <c r="BX55" s="2256"/>
      <c r="BY55" s="2256"/>
      <c r="BZ55" s="827"/>
      <c r="CA55" s="827"/>
      <c r="CB55" s="2086"/>
      <c r="CC55" s="827"/>
      <c r="CD55" s="827"/>
      <c r="CE55" s="827"/>
      <c r="CF55" s="827"/>
      <c r="CG55" s="827"/>
      <c r="CH55" s="827"/>
      <c r="CI55" s="827"/>
      <c r="CJ55" s="827"/>
      <c r="CK55" s="827"/>
      <c r="CL55" s="827"/>
      <c r="CM55" s="827"/>
      <c r="CN55" s="827"/>
      <c r="CO55" s="829" t="s">
        <v>3737</v>
      </c>
      <c r="CP55" s="827" t="s">
        <v>1991</v>
      </c>
      <c r="CQ55" s="829"/>
      <c r="CR55" s="830"/>
    </row>
    <row r="56" spans="2:98" ht="18" x14ac:dyDescent="0.25">
      <c r="B56" s="1087">
        <v>53</v>
      </c>
      <c r="C56" s="1077" t="s">
        <v>2105</v>
      </c>
      <c r="D56" s="825" t="s">
        <v>2958</v>
      </c>
      <c r="E56" s="827"/>
      <c r="F56" s="827"/>
      <c r="G56" s="827"/>
      <c r="H56" s="827"/>
      <c r="I56" s="912" t="s">
        <v>3241</v>
      </c>
      <c r="J56" s="827"/>
      <c r="K56" s="827" t="s">
        <v>3170</v>
      </c>
      <c r="L56" s="827"/>
      <c r="M56" s="827"/>
      <c r="N56" s="827"/>
      <c r="O56" s="827"/>
      <c r="P56" s="827"/>
      <c r="Q56" s="827"/>
      <c r="R56" s="827"/>
      <c r="S56" s="827" t="s">
        <v>3052</v>
      </c>
      <c r="T56" s="827"/>
      <c r="U56" s="827"/>
      <c r="V56" s="827"/>
      <c r="W56" s="827"/>
      <c r="X56" s="827"/>
      <c r="Y56" s="827"/>
      <c r="Z56" s="827"/>
      <c r="AA56" s="827">
        <v>-1</v>
      </c>
      <c r="AB56" s="827"/>
      <c r="AC56" s="2256"/>
      <c r="AD56" s="827" t="s">
        <v>3250</v>
      </c>
      <c r="AE56" s="827"/>
      <c r="AF56" s="827"/>
      <c r="AG56" s="827"/>
      <c r="AH56" s="827"/>
      <c r="AI56" s="827"/>
      <c r="AJ56" s="827" t="s">
        <v>3185</v>
      </c>
      <c r="AK56" s="827"/>
      <c r="AL56" s="827" t="s">
        <v>3252</v>
      </c>
      <c r="AM56" s="827"/>
      <c r="AN56" s="827"/>
      <c r="AO56" s="827"/>
      <c r="AP56" s="827" t="s">
        <v>3186</v>
      </c>
      <c r="AQ56" s="827"/>
      <c r="AR56" s="827"/>
      <c r="AS56" s="827"/>
      <c r="AT56" s="827"/>
      <c r="AU56" s="827" t="s">
        <v>5355</v>
      </c>
      <c r="AV56" s="827"/>
      <c r="AW56" s="827"/>
      <c r="AX56" s="827"/>
      <c r="AY56" s="827"/>
      <c r="AZ56" s="827"/>
      <c r="BA56" s="827"/>
      <c r="BB56" s="827"/>
      <c r="BC56" s="827"/>
      <c r="BD56" s="827"/>
      <c r="BE56" s="827"/>
      <c r="BF56" s="827"/>
      <c r="BG56" s="827"/>
      <c r="BH56" s="827"/>
      <c r="BI56" s="827"/>
      <c r="BJ56" s="1366"/>
      <c r="BK56" s="1366"/>
      <c r="BL56" s="1366"/>
      <c r="BM56" s="1366"/>
      <c r="BN56" s="1366"/>
      <c r="BO56" s="1366"/>
      <c r="BP56" s="1366"/>
      <c r="BQ56" s="827"/>
      <c r="BR56" s="827"/>
      <c r="BS56" s="1366"/>
      <c r="BT56" s="827"/>
      <c r="BU56" s="827"/>
      <c r="BV56" s="2256"/>
      <c r="BW56" s="2256"/>
      <c r="BX56" s="2256"/>
      <c r="BY56" s="2256"/>
      <c r="BZ56" s="827"/>
      <c r="CA56" s="827"/>
      <c r="CB56" s="2086"/>
      <c r="CC56" s="827"/>
      <c r="CD56" s="827"/>
      <c r="CE56" s="827"/>
      <c r="CF56" s="827"/>
      <c r="CG56" s="827"/>
      <c r="CH56" s="827"/>
      <c r="CI56" s="827"/>
      <c r="CJ56" s="827"/>
      <c r="CK56" s="827"/>
      <c r="CL56" s="827"/>
      <c r="CM56" s="827"/>
      <c r="CN56" s="827"/>
      <c r="CO56" s="829" t="s">
        <v>3738</v>
      </c>
      <c r="CP56" s="827" t="s">
        <v>1991</v>
      </c>
      <c r="CQ56" s="829"/>
      <c r="CR56" s="830"/>
    </row>
    <row r="57" spans="2:98" ht="18" x14ac:dyDescent="0.25">
      <c r="B57" s="1088">
        <v>54</v>
      </c>
      <c r="C57" s="1078" t="s">
        <v>2106</v>
      </c>
      <c r="D57" s="831" t="s">
        <v>307</v>
      </c>
      <c r="E57" s="832"/>
      <c r="F57" s="832"/>
      <c r="G57" s="832"/>
      <c r="H57" s="832"/>
      <c r="I57" s="832"/>
      <c r="J57" s="832"/>
      <c r="K57" s="832"/>
      <c r="L57" s="832"/>
      <c r="M57" s="832"/>
      <c r="N57" s="832"/>
      <c r="O57" s="832"/>
      <c r="P57" s="832"/>
      <c r="Q57" s="832"/>
      <c r="R57" s="832"/>
      <c r="S57" s="832"/>
      <c r="T57" s="832"/>
      <c r="U57" s="832"/>
      <c r="V57" s="832"/>
      <c r="W57" s="832"/>
      <c r="X57" s="832"/>
      <c r="Y57" s="832"/>
      <c r="Z57" s="832"/>
      <c r="AA57" s="832"/>
      <c r="AB57" s="832">
        <v>1</v>
      </c>
      <c r="AC57" s="2257"/>
      <c r="AD57" s="832" t="s">
        <v>1660</v>
      </c>
      <c r="AE57" s="832"/>
      <c r="AF57" s="832"/>
      <c r="AG57" s="832"/>
      <c r="AH57" s="832"/>
      <c r="AI57" s="832"/>
      <c r="AJ57" s="832"/>
      <c r="AK57" s="832"/>
      <c r="AL57" s="833" t="s">
        <v>1661</v>
      </c>
      <c r="AM57" s="832"/>
      <c r="AN57" s="832"/>
      <c r="AO57" s="832"/>
      <c r="AP57" s="832"/>
      <c r="AQ57" s="832"/>
      <c r="AR57" s="832"/>
      <c r="AS57" s="832" t="s">
        <v>1682</v>
      </c>
      <c r="AT57" s="833" t="s">
        <v>1683</v>
      </c>
      <c r="AU57" s="833" t="s">
        <v>1956</v>
      </c>
      <c r="AV57" s="833" t="s">
        <v>2424</v>
      </c>
      <c r="AW57" s="833" t="s">
        <v>3830</v>
      </c>
      <c r="AX57" s="833" t="s">
        <v>3831</v>
      </c>
      <c r="AY57" s="833" t="s">
        <v>3832</v>
      </c>
      <c r="AZ57" s="833" t="s">
        <v>3833</v>
      </c>
      <c r="BA57" s="833"/>
      <c r="BB57" s="833"/>
      <c r="BC57" s="833"/>
      <c r="BD57" s="833"/>
      <c r="BE57" s="833"/>
      <c r="BF57" s="833"/>
      <c r="BG57" s="833"/>
      <c r="BH57" s="833"/>
      <c r="BI57" s="833"/>
      <c r="BJ57" s="1367"/>
      <c r="BK57" s="1367"/>
      <c r="BL57" s="1367"/>
      <c r="BM57" s="1367"/>
      <c r="BN57" s="1367"/>
      <c r="BO57" s="1367"/>
      <c r="BP57" s="1367"/>
      <c r="BQ57" s="833"/>
      <c r="BR57" s="833"/>
      <c r="BS57" s="1367"/>
      <c r="BT57" s="833"/>
      <c r="BU57" s="833"/>
      <c r="BV57" s="2497"/>
      <c r="BW57" s="2497"/>
      <c r="BX57" s="2497"/>
      <c r="BY57" s="2497"/>
      <c r="BZ57" s="833"/>
      <c r="CA57" s="833"/>
      <c r="CB57" s="2087"/>
      <c r="CC57" s="833"/>
      <c r="CD57" s="833"/>
      <c r="CE57" s="833"/>
      <c r="CF57" s="833"/>
      <c r="CG57" s="833"/>
      <c r="CH57" s="833"/>
      <c r="CI57" s="833"/>
      <c r="CJ57" s="833"/>
      <c r="CK57" s="833"/>
      <c r="CL57" s="833"/>
      <c r="CM57" s="833"/>
      <c r="CN57" s="833"/>
      <c r="CO57" s="834" t="s">
        <v>3849</v>
      </c>
      <c r="CP57" s="832" t="s">
        <v>1991</v>
      </c>
      <c r="CQ57" s="835" t="s">
        <v>309</v>
      </c>
      <c r="CR57" s="836"/>
    </row>
    <row r="58" spans="2:98" ht="18" x14ac:dyDescent="0.25">
      <c r="B58" s="1088">
        <v>55</v>
      </c>
      <c r="C58" s="1078" t="s">
        <v>2107</v>
      </c>
      <c r="D58" s="831" t="s">
        <v>293</v>
      </c>
      <c r="E58" s="832"/>
      <c r="F58" s="832"/>
      <c r="G58" s="832"/>
      <c r="H58" s="832"/>
      <c r="I58" s="913" t="s">
        <v>3241</v>
      </c>
      <c r="J58" s="832"/>
      <c r="K58" s="832" t="s">
        <v>3170</v>
      </c>
      <c r="L58" s="832"/>
      <c r="M58" s="832"/>
      <c r="N58" s="832"/>
      <c r="O58" s="832"/>
      <c r="P58" s="832"/>
      <c r="Q58" s="832"/>
      <c r="R58" s="832" t="s">
        <v>3052</v>
      </c>
      <c r="S58" s="832"/>
      <c r="T58" s="832"/>
      <c r="U58" s="832"/>
      <c r="V58" s="832"/>
      <c r="W58" s="832"/>
      <c r="X58" s="832"/>
      <c r="Y58" s="832"/>
      <c r="Z58" s="832"/>
      <c r="AA58" s="832"/>
      <c r="AB58" s="832">
        <v>-1</v>
      </c>
      <c r="AC58" s="2257"/>
      <c r="AD58" s="832" t="s">
        <v>3250</v>
      </c>
      <c r="AE58" s="832"/>
      <c r="AF58" s="832"/>
      <c r="AG58" s="832"/>
      <c r="AH58" s="832"/>
      <c r="AI58" s="832"/>
      <c r="AJ58" s="832" t="s">
        <v>3185</v>
      </c>
      <c r="AK58" s="832"/>
      <c r="AL58" s="832" t="s">
        <v>3252</v>
      </c>
      <c r="AM58" s="832"/>
      <c r="AN58" s="832"/>
      <c r="AO58" s="832"/>
      <c r="AP58" s="832" t="s">
        <v>3186</v>
      </c>
      <c r="AQ58" s="832"/>
      <c r="AR58" s="832"/>
      <c r="AS58" s="832"/>
      <c r="AT58" s="832"/>
      <c r="AU58" s="832" t="s">
        <v>5355</v>
      </c>
      <c r="AV58" s="832"/>
      <c r="AW58" s="832"/>
      <c r="AX58" s="832"/>
      <c r="AY58" s="832"/>
      <c r="AZ58" s="832"/>
      <c r="BA58" s="832"/>
      <c r="BB58" s="832"/>
      <c r="BC58" s="832"/>
      <c r="BD58" s="832"/>
      <c r="BE58" s="832"/>
      <c r="BF58" s="832"/>
      <c r="BG58" s="832"/>
      <c r="BH58" s="832"/>
      <c r="BI58" s="832"/>
      <c r="BJ58" s="1368"/>
      <c r="BK58" s="1368"/>
      <c r="BL58" s="1368"/>
      <c r="BM58" s="1368"/>
      <c r="BN58" s="1368"/>
      <c r="BO58" s="1368"/>
      <c r="BP58" s="1368"/>
      <c r="BQ58" s="832"/>
      <c r="BR58" s="832"/>
      <c r="BS58" s="1368"/>
      <c r="BT58" s="832"/>
      <c r="BU58" s="832"/>
      <c r="BV58" s="2257"/>
      <c r="BW58" s="2257"/>
      <c r="BX58" s="2257"/>
      <c r="BY58" s="2257"/>
      <c r="BZ58" s="832"/>
      <c r="CA58" s="832"/>
      <c r="CB58" s="2088"/>
      <c r="CC58" s="832"/>
      <c r="CD58" s="832"/>
      <c r="CE58" s="832"/>
      <c r="CF58" s="832"/>
      <c r="CG58" s="832"/>
      <c r="CH58" s="832"/>
      <c r="CI58" s="832"/>
      <c r="CJ58" s="832"/>
      <c r="CK58" s="832"/>
      <c r="CL58" s="832"/>
      <c r="CM58" s="832"/>
      <c r="CN58" s="832"/>
      <c r="CO58" s="835" t="s">
        <v>3758</v>
      </c>
      <c r="CP58" s="832" t="s">
        <v>1991</v>
      </c>
      <c r="CQ58" s="835"/>
      <c r="CR58" s="836"/>
    </row>
    <row r="59" spans="2:98" ht="18" x14ac:dyDescent="0.25">
      <c r="B59" s="1088">
        <v>56</v>
      </c>
      <c r="C59" s="1078" t="s">
        <v>2108</v>
      </c>
      <c r="D59" s="831" t="s">
        <v>2959</v>
      </c>
      <c r="E59" s="832"/>
      <c r="F59" s="832"/>
      <c r="G59" s="832"/>
      <c r="H59" s="832"/>
      <c r="I59" s="913" t="s">
        <v>3241</v>
      </c>
      <c r="J59" s="832"/>
      <c r="K59" s="832" t="s">
        <v>3170</v>
      </c>
      <c r="L59" s="832"/>
      <c r="M59" s="832"/>
      <c r="N59" s="832"/>
      <c r="O59" s="832"/>
      <c r="P59" s="832"/>
      <c r="Q59" s="832"/>
      <c r="R59" s="832"/>
      <c r="S59" s="832" t="s">
        <v>3052</v>
      </c>
      <c r="T59" s="832"/>
      <c r="U59" s="832"/>
      <c r="V59" s="832"/>
      <c r="W59" s="832"/>
      <c r="X59" s="832"/>
      <c r="Y59" s="832"/>
      <c r="Z59" s="832"/>
      <c r="AA59" s="832"/>
      <c r="AB59" s="832">
        <v>-1</v>
      </c>
      <c r="AC59" s="2257"/>
      <c r="AD59" s="832" t="s">
        <v>3250</v>
      </c>
      <c r="AE59" s="832"/>
      <c r="AF59" s="832"/>
      <c r="AG59" s="832"/>
      <c r="AH59" s="832"/>
      <c r="AI59" s="832"/>
      <c r="AJ59" s="832" t="s">
        <v>3185</v>
      </c>
      <c r="AK59" s="832"/>
      <c r="AL59" s="832" t="s">
        <v>3252</v>
      </c>
      <c r="AM59" s="832"/>
      <c r="AN59" s="832"/>
      <c r="AO59" s="832"/>
      <c r="AP59" s="832" t="s">
        <v>3186</v>
      </c>
      <c r="AQ59" s="832"/>
      <c r="AR59" s="832"/>
      <c r="AS59" s="832"/>
      <c r="AT59" s="832"/>
      <c r="AU59" s="832" t="s">
        <v>5355</v>
      </c>
      <c r="AV59" s="832"/>
      <c r="AW59" s="832"/>
      <c r="AX59" s="832"/>
      <c r="AY59" s="832"/>
      <c r="AZ59" s="832"/>
      <c r="BA59" s="832"/>
      <c r="BB59" s="832"/>
      <c r="BC59" s="832"/>
      <c r="BD59" s="832"/>
      <c r="BE59" s="832"/>
      <c r="BF59" s="832"/>
      <c r="BG59" s="832"/>
      <c r="BH59" s="832"/>
      <c r="BI59" s="832"/>
      <c r="BJ59" s="1368"/>
      <c r="BK59" s="1368"/>
      <c r="BL59" s="1368"/>
      <c r="BM59" s="1368"/>
      <c r="BN59" s="1368"/>
      <c r="BO59" s="1368"/>
      <c r="BP59" s="1368"/>
      <c r="BQ59" s="832"/>
      <c r="BR59" s="832"/>
      <c r="BS59" s="1368"/>
      <c r="BT59" s="832"/>
      <c r="BU59" s="832"/>
      <c r="BV59" s="2257"/>
      <c r="BW59" s="2257"/>
      <c r="BX59" s="2257"/>
      <c r="BY59" s="2257"/>
      <c r="BZ59" s="832"/>
      <c r="CA59" s="832"/>
      <c r="CB59" s="2088"/>
      <c r="CC59" s="832"/>
      <c r="CD59" s="832"/>
      <c r="CE59" s="832"/>
      <c r="CF59" s="832"/>
      <c r="CG59" s="832"/>
      <c r="CH59" s="832"/>
      <c r="CI59" s="832"/>
      <c r="CJ59" s="832"/>
      <c r="CK59" s="832"/>
      <c r="CL59" s="832"/>
      <c r="CM59" s="832"/>
      <c r="CN59" s="832"/>
      <c r="CO59" s="835" t="s">
        <v>3739</v>
      </c>
      <c r="CP59" s="832" t="s">
        <v>1991</v>
      </c>
      <c r="CQ59" s="835"/>
      <c r="CR59" s="836"/>
    </row>
    <row r="60" spans="2:98" ht="18" x14ac:dyDescent="0.35">
      <c r="B60" s="2266">
        <v>57</v>
      </c>
      <c r="C60" s="2267" t="s">
        <v>2109</v>
      </c>
      <c r="D60" s="2268" t="s">
        <v>4825</v>
      </c>
      <c r="E60" s="2269"/>
      <c r="F60" s="2269"/>
      <c r="G60" s="2269"/>
      <c r="H60" s="2269"/>
      <c r="I60" s="2269"/>
      <c r="J60" s="2269"/>
      <c r="K60" s="2269"/>
      <c r="L60" s="2269"/>
      <c r="M60" s="2269"/>
      <c r="N60" s="2269"/>
      <c r="O60" s="2269"/>
      <c r="P60" s="2269"/>
      <c r="Q60" s="2269"/>
      <c r="R60" s="2269"/>
      <c r="S60" s="2269"/>
      <c r="T60" s="2269"/>
      <c r="U60" s="2269"/>
      <c r="V60" s="2269"/>
      <c r="W60" s="2269"/>
      <c r="X60" s="2269"/>
      <c r="Y60" s="2269"/>
      <c r="Z60" s="2269"/>
      <c r="AA60" s="2269"/>
      <c r="AB60" s="2269"/>
      <c r="AC60" s="2269">
        <v>1</v>
      </c>
      <c r="AD60" s="2269"/>
      <c r="AE60" s="2270" t="s">
        <v>4826</v>
      </c>
      <c r="AF60" s="2270" t="s">
        <v>4827</v>
      </c>
      <c r="AG60" s="2269"/>
      <c r="AH60" s="2269"/>
      <c r="AI60" s="2269"/>
      <c r="AJ60" s="2269"/>
      <c r="AK60" s="2269"/>
      <c r="AL60" s="2270" t="s">
        <v>4828</v>
      </c>
      <c r="AM60" s="2269"/>
      <c r="AN60" s="2269"/>
      <c r="AO60" s="2269"/>
      <c r="AP60" s="2269"/>
      <c r="AQ60" s="2269"/>
      <c r="AR60" s="2270" t="s">
        <v>4829</v>
      </c>
      <c r="AS60" s="2269"/>
      <c r="AT60" s="2269"/>
      <c r="AU60" s="2271" t="s">
        <v>4830</v>
      </c>
      <c r="AV60" s="2269" t="s">
        <v>2424</v>
      </c>
      <c r="AW60" s="2272" t="s">
        <v>3830</v>
      </c>
      <c r="AX60" s="2272" t="s">
        <v>3831</v>
      </c>
      <c r="AY60" s="2272" t="s">
        <v>3832</v>
      </c>
      <c r="AZ60" s="2272" t="s">
        <v>3833</v>
      </c>
      <c r="BA60" s="2269"/>
      <c r="BB60" s="2269"/>
      <c r="BC60" s="2269"/>
      <c r="BD60" s="2269"/>
      <c r="BE60" s="2269"/>
      <c r="BF60" s="2269"/>
      <c r="BG60" s="2269"/>
      <c r="BH60" s="2269"/>
      <c r="BI60" s="2269"/>
      <c r="BJ60" s="2269"/>
      <c r="BK60" s="2269"/>
      <c r="BL60" s="2269"/>
      <c r="BM60" s="2269"/>
      <c r="BN60" s="2269"/>
      <c r="BO60" s="2269"/>
      <c r="BP60" s="2269"/>
      <c r="BQ60" s="2269"/>
      <c r="BR60" s="2269"/>
      <c r="BS60" s="2269"/>
      <c r="BT60" s="2269"/>
      <c r="BU60" s="2269"/>
      <c r="BV60" s="2269"/>
      <c r="BW60" s="2269"/>
      <c r="BX60" s="2269"/>
      <c r="BY60" s="2269"/>
      <c r="BZ60" s="2269"/>
      <c r="CA60" s="2269"/>
      <c r="CB60" s="2269"/>
      <c r="CC60" s="2269"/>
      <c r="CD60" s="2269"/>
      <c r="CE60" s="2269"/>
      <c r="CF60" s="2269"/>
      <c r="CG60" s="2269"/>
      <c r="CH60" s="2269"/>
      <c r="CI60" s="2269"/>
      <c r="CJ60" s="2269"/>
      <c r="CK60" s="2269"/>
      <c r="CL60" s="2269"/>
      <c r="CM60" s="2269"/>
      <c r="CN60" s="2269"/>
      <c r="CO60" s="2273" t="s">
        <v>4831</v>
      </c>
      <c r="CP60" s="2269" t="s">
        <v>1991</v>
      </c>
      <c r="CQ60" s="2274"/>
      <c r="CR60" s="2275" t="s">
        <v>4832</v>
      </c>
    </row>
    <row r="61" spans="2:98" ht="18" x14ac:dyDescent="0.35">
      <c r="B61" s="2266">
        <v>58</v>
      </c>
      <c r="C61" s="2267" t="s">
        <v>2138</v>
      </c>
      <c r="D61" s="2268" t="s">
        <v>4833</v>
      </c>
      <c r="E61" s="2269"/>
      <c r="F61" s="2269"/>
      <c r="G61" s="2269"/>
      <c r="H61" s="2269"/>
      <c r="I61" s="2269"/>
      <c r="J61" s="2269"/>
      <c r="K61" s="2269"/>
      <c r="L61" s="2269"/>
      <c r="M61" s="2269"/>
      <c r="N61" s="2269"/>
      <c r="O61" s="2269"/>
      <c r="P61" s="2269"/>
      <c r="Q61" s="2269"/>
      <c r="R61" s="2269"/>
      <c r="S61" s="2269"/>
      <c r="T61" s="2269"/>
      <c r="U61" s="2269"/>
      <c r="V61" s="2269"/>
      <c r="W61" s="2269"/>
      <c r="X61" s="2269"/>
      <c r="Y61" s="2269"/>
      <c r="Z61" s="2269"/>
      <c r="AA61" s="2269"/>
      <c r="AB61" s="2269"/>
      <c r="AC61" s="2269">
        <v>1</v>
      </c>
      <c r="AD61" s="2270" t="s">
        <v>4834</v>
      </c>
      <c r="AE61" s="2269"/>
      <c r="AF61" s="2269"/>
      <c r="AG61" s="2269"/>
      <c r="AH61" s="2269"/>
      <c r="AI61" s="2269"/>
      <c r="AJ61" s="2269"/>
      <c r="AK61" s="2269"/>
      <c r="AL61" s="2270" t="s">
        <v>4828</v>
      </c>
      <c r="AM61" s="2269"/>
      <c r="AN61" s="2269"/>
      <c r="AO61" s="2269"/>
      <c r="AP61" s="2269"/>
      <c r="AQ61" s="2269"/>
      <c r="AR61" s="2269">
        <v>1</v>
      </c>
      <c r="AS61" s="2269"/>
      <c r="AT61" s="2269"/>
      <c r="AU61" s="2271" t="s">
        <v>4830</v>
      </c>
      <c r="AV61" s="2269" t="s">
        <v>2424</v>
      </c>
      <c r="AW61" s="2272" t="s">
        <v>3830</v>
      </c>
      <c r="AX61" s="2272" t="s">
        <v>3831</v>
      </c>
      <c r="AY61" s="2272" t="s">
        <v>3832</v>
      </c>
      <c r="AZ61" s="2272" t="s">
        <v>3833</v>
      </c>
      <c r="BA61" s="2269"/>
      <c r="BB61" s="2269"/>
      <c r="BC61" s="2269"/>
      <c r="BD61" s="2269"/>
      <c r="BE61" s="2269"/>
      <c r="BF61" s="2269"/>
      <c r="BG61" s="2269"/>
      <c r="BH61" s="2269"/>
      <c r="BI61" s="2269"/>
      <c r="BJ61" s="2269"/>
      <c r="BK61" s="2269"/>
      <c r="BL61" s="2269"/>
      <c r="BM61" s="2269"/>
      <c r="BN61" s="2269"/>
      <c r="BO61" s="2269"/>
      <c r="BP61" s="2269"/>
      <c r="BQ61" s="2269"/>
      <c r="BR61" s="2269"/>
      <c r="BS61" s="2269"/>
      <c r="BT61" s="2269"/>
      <c r="BU61" s="2269"/>
      <c r="BV61" s="2269"/>
      <c r="BW61" s="2269"/>
      <c r="BX61" s="2269"/>
      <c r="BY61" s="2269"/>
      <c r="BZ61" s="2269"/>
      <c r="CA61" s="2269"/>
      <c r="CB61" s="2269"/>
      <c r="CC61" s="2269"/>
      <c r="CD61" s="2269"/>
      <c r="CE61" s="2269"/>
      <c r="CF61" s="2269"/>
      <c r="CG61" s="2269"/>
      <c r="CH61" s="2269"/>
      <c r="CI61" s="2269"/>
      <c r="CJ61" s="2269"/>
      <c r="CK61" s="2269"/>
      <c r="CL61" s="2269"/>
      <c r="CM61" s="2269"/>
      <c r="CN61" s="2269"/>
      <c r="CO61" s="2273" t="s">
        <v>4835</v>
      </c>
      <c r="CP61" s="2269" t="s">
        <v>1991</v>
      </c>
      <c r="CQ61" s="2274"/>
      <c r="CR61" s="2275" t="s">
        <v>4832</v>
      </c>
    </row>
    <row r="62" spans="2:98" ht="18" x14ac:dyDescent="0.35">
      <c r="B62" s="2266">
        <v>59</v>
      </c>
      <c r="C62" s="2267" t="s">
        <v>2161</v>
      </c>
      <c r="D62" s="2268" t="s">
        <v>4836</v>
      </c>
      <c r="E62" s="2269"/>
      <c r="F62" s="2269"/>
      <c r="G62" s="2269"/>
      <c r="H62" s="2269"/>
      <c r="I62" s="2269"/>
      <c r="J62" s="2269"/>
      <c r="K62" s="2269"/>
      <c r="L62" s="2269"/>
      <c r="M62" s="2269"/>
      <c r="N62" s="2269"/>
      <c r="O62" s="2269"/>
      <c r="P62" s="2269"/>
      <c r="Q62" s="2269"/>
      <c r="R62" s="2269"/>
      <c r="S62" s="2269"/>
      <c r="T62" s="2269"/>
      <c r="U62" s="2269"/>
      <c r="V62" s="2269"/>
      <c r="W62" s="2269"/>
      <c r="X62" s="2269"/>
      <c r="Y62" s="2269"/>
      <c r="Z62" s="2269"/>
      <c r="AA62" s="2269"/>
      <c r="AB62" s="2269"/>
      <c r="AC62" s="2269">
        <v>-1</v>
      </c>
      <c r="AD62" s="2270" t="s">
        <v>4837</v>
      </c>
      <c r="AE62" s="2269"/>
      <c r="AF62" s="2269"/>
      <c r="AG62" s="2269"/>
      <c r="AH62" s="2269"/>
      <c r="AI62" s="2269"/>
      <c r="AJ62" s="2269"/>
      <c r="AK62" s="2269"/>
      <c r="AL62" s="2270" t="s">
        <v>4838</v>
      </c>
      <c r="AM62" s="2269"/>
      <c r="AN62" s="2269"/>
      <c r="AO62" s="2269"/>
      <c r="AP62" s="2269"/>
      <c r="AQ62" s="2269"/>
      <c r="AR62" s="2269">
        <v>-1</v>
      </c>
      <c r="AS62" s="2269"/>
      <c r="AT62" s="2269"/>
      <c r="AU62" s="2271" t="s">
        <v>4818</v>
      </c>
      <c r="AV62" s="2269"/>
      <c r="AW62" s="2272"/>
      <c r="AX62" s="2272"/>
      <c r="AY62" s="2272"/>
      <c r="AZ62" s="2272"/>
      <c r="BA62" s="2269"/>
      <c r="BB62" s="2269"/>
      <c r="BC62" s="2269"/>
      <c r="BD62" s="2269"/>
      <c r="BE62" s="2269"/>
      <c r="BF62" s="2269"/>
      <c r="BG62" s="2269"/>
      <c r="BH62" s="2269"/>
      <c r="BI62" s="2269"/>
      <c r="BJ62" s="2269"/>
      <c r="BK62" s="2269"/>
      <c r="BL62" s="2269"/>
      <c r="BM62" s="2269"/>
      <c r="BN62" s="2269"/>
      <c r="BO62" s="2269"/>
      <c r="BP62" s="2269"/>
      <c r="BQ62" s="2269"/>
      <c r="BR62" s="2269"/>
      <c r="BS62" s="2269"/>
      <c r="BT62" s="2269"/>
      <c r="BU62" s="2269"/>
      <c r="BV62" s="2269"/>
      <c r="BW62" s="2269"/>
      <c r="BX62" s="2269"/>
      <c r="BY62" s="2269"/>
      <c r="BZ62" s="2269"/>
      <c r="CA62" s="2269"/>
      <c r="CB62" s="2269"/>
      <c r="CC62" s="2269"/>
      <c r="CD62" s="2269"/>
      <c r="CE62" s="2269"/>
      <c r="CF62" s="2269"/>
      <c r="CG62" s="2269"/>
      <c r="CH62" s="2269"/>
      <c r="CI62" s="2269"/>
      <c r="CJ62" s="2269"/>
      <c r="CK62" s="2269"/>
      <c r="CL62" s="2269"/>
      <c r="CM62" s="2269"/>
      <c r="CN62" s="2269"/>
      <c r="CO62" s="2276" t="s">
        <v>4839</v>
      </c>
      <c r="CP62" s="2269" t="s">
        <v>1991</v>
      </c>
      <c r="CQ62" s="2274"/>
      <c r="CR62" s="2275" t="s">
        <v>4832</v>
      </c>
    </row>
    <row r="63" spans="2:98" ht="18" x14ac:dyDescent="0.35">
      <c r="B63" s="2266">
        <v>60</v>
      </c>
      <c r="C63" s="2267" t="s">
        <v>2382</v>
      </c>
      <c r="D63" s="2268" t="s">
        <v>4840</v>
      </c>
      <c r="E63" s="2269"/>
      <c r="F63" s="2269"/>
      <c r="G63" s="2269"/>
      <c r="H63" s="2269"/>
      <c r="I63" s="2269"/>
      <c r="J63" s="2269"/>
      <c r="K63" s="2269" t="s">
        <v>4841</v>
      </c>
      <c r="L63" s="2269"/>
      <c r="M63" s="2269"/>
      <c r="N63" s="2269"/>
      <c r="O63" s="2269"/>
      <c r="P63" s="2269"/>
      <c r="Q63" s="2269"/>
      <c r="R63" s="2269" t="s">
        <v>4842</v>
      </c>
      <c r="S63" s="2269"/>
      <c r="T63" s="2269"/>
      <c r="U63" s="2269"/>
      <c r="V63" s="2269"/>
      <c r="W63" s="2269"/>
      <c r="X63" s="2269"/>
      <c r="Y63" s="2269"/>
      <c r="Z63" s="2269"/>
      <c r="AA63" s="2269"/>
      <c r="AB63" s="2269"/>
      <c r="AC63" s="2269">
        <v>-1</v>
      </c>
      <c r="AD63" s="2270" t="s">
        <v>4843</v>
      </c>
      <c r="AE63" s="2269"/>
      <c r="AF63" s="2269"/>
      <c r="AG63" s="2269"/>
      <c r="AH63" s="2269"/>
      <c r="AI63" s="2269"/>
      <c r="AJ63" s="2269" t="s">
        <v>4844</v>
      </c>
      <c r="AK63" s="2269"/>
      <c r="AL63" s="2270" t="s">
        <v>4845</v>
      </c>
      <c r="AM63" s="2269"/>
      <c r="AN63" s="2269"/>
      <c r="AO63" s="2269"/>
      <c r="AP63" s="2269" t="s">
        <v>4846</v>
      </c>
      <c r="AQ63" s="2269"/>
      <c r="AR63" s="2269"/>
      <c r="AS63" s="2269"/>
      <c r="AT63" s="2269"/>
      <c r="AU63" s="2271" t="s">
        <v>5354</v>
      </c>
      <c r="AV63" s="2269"/>
      <c r="AW63" s="2272"/>
      <c r="AX63" s="2272"/>
      <c r="AY63" s="2272"/>
      <c r="AZ63" s="2272"/>
      <c r="BA63" s="2269"/>
      <c r="BB63" s="2269"/>
      <c r="BC63" s="2269"/>
      <c r="BD63" s="2269"/>
      <c r="BE63" s="2269"/>
      <c r="BF63" s="2269"/>
      <c r="BG63" s="2269"/>
      <c r="BH63" s="2269"/>
      <c r="BI63" s="2269"/>
      <c r="BJ63" s="2269"/>
      <c r="BK63" s="2269"/>
      <c r="BL63" s="2269"/>
      <c r="BM63" s="2269"/>
      <c r="BN63" s="2269"/>
      <c r="BO63" s="2269"/>
      <c r="BP63" s="2269"/>
      <c r="BQ63" s="2269"/>
      <c r="BR63" s="2269"/>
      <c r="BS63" s="2269"/>
      <c r="BT63" s="2269"/>
      <c r="BU63" s="2269"/>
      <c r="BV63" s="2269"/>
      <c r="BW63" s="2269"/>
      <c r="BX63" s="2269"/>
      <c r="BY63" s="2269"/>
      <c r="BZ63" s="2269"/>
      <c r="CA63" s="2269"/>
      <c r="CB63" s="2269"/>
      <c r="CC63" s="2269"/>
      <c r="CD63" s="2269"/>
      <c r="CE63" s="2269"/>
      <c r="CF63" s="2269"/>
      <c r="CG63" s="2269"/>
      <c r="CH63" s="2269"/>
      <c r="CI63" s="2269"/>
      <c r="CJ63" s="2269"/>
      <c r="CK63" s="2269"/>
      <c r="CL63" s="2269"/>
      <c r="CM63" s="2269"/>
      <c r="CN63" s="2269"/>
      <c r="CO63" s="2276" t="s">
        <v>4847</v>
      </c>
      <c r="CP63" s="2269" t="s">
        <v>1991</v>
      </c>
      <c r="CQ63" s="2274"/>
      <c r="CR63" s="2275" t="s">
        <v>4832</v>
      </c>
    </row>
    <row r="64" spans="2:98" ht="18" x14ac:dyDescent="0.25">
      <c r="B64" s="1089">
        <v>61</v>
      </c>
      <c r="C64" s="1079" t="s">
        <v>2383</v>
      </c>
      <c r="D64" s="837" t="s">
        <v>1684</v>
      </c>
      <c r="E64" s="838"/>
      <c r="F64" s="838"/>
      <c r="G64" s="838"/>
      <c r="H64" s="838"/>
      <c r="I64" s="838">
        <v>-1</v>
      </c>
      <c r="J64" s="838">
        <v>1</v>
      </c>
      <c r="K64" s="2172"/>
      <c r="L64" s="838"/>
      <c r="M64" s="838"/>
      <c r="N64" s="838"/>
      <c r="O64" s="838"/>
      <c r="P64" s="838"/>
      <c r="Q64" s="838"/>
      <c r="R64" s="838"/>
      <c r="S64" s="838"/>
      <c r="T64" s="838"/>
      <c r="U64" s="838"/>
      <c r="V64" s="838"/>
      <c r="W64" s="838"/>
      <c r="X64" s="838"/>
      <c r="Y64" s="838"/>
      <c r="Z64" s="838"/>
      <c r="AA64" s="838"/>
      <c r="AB64" s="838"/>
      <c r="AC64" s="2172"/>
      <c r="AD64" s="838"/>
      <c r="AE64" s="838"/>
      <c r="AF64" s="838"/>
      <c r="AG64" s="838"/>
      <c r="AH64" s="838"/>
      <c r="AI64" s="838" t="s">
        <v>1685</v>
      </c>
      <c r="AJ64" s="2172"/>
      <c r="AK64" s="838"/>
      <c r="AL64" s="838"/>
      <c r="AM64" s="838"/>
      <c r="AN64" s="838"/>
      <c r="AO64" s="838" t="s">
        <v>1686</v>
      </c>
      <c r="AP64" s="2172"/>
      <c r="AQ64" s="838"/>
      <c r="AR64" s="838"/>
      <c r="AS64" s="838"/>
      <c r="AT64" s="838"/>
      <c r="AU64" s="838"/>
      <c r="AV64" s="838"/>
      <c r="AW64" s="838"/>
      <c r="AX64" s="838"/>
      <c r="AY64" s="838"/>
      <c r="AZ64" s="838"/>
      <c r="BA64" s="838"/>
      <c r="BB64" s="838"/>
      <c r="BC64" s="838"/>
      <c r="BD64" s="838"/>
      <c r="BE64" s="838"/>
      <c r="BF64" s="838"/>
      <c r="BG64" s="838"/>
      <c r="BH64" s="838"/>
      <c r="BI64" s="838"/>
      <c r="BJ64" s="1045"/>
      <c r="BK64" s="1045"/>
      <c r="BL64" s="1045"/>
      <c r="BM64" s="1045"/>
      <c r="BN64" s="1045"/>
      <c r="BO64" s="1045"/>
      <c r="BP64" s="1045"/>
      <c r="BQ64" s="838"/>
      <c r="BR64" s="838"/>
      <c r="BS64" s="1045"/>
      <c r="BT64" s="838"/>
      <c r="BU64" s="838"/>
      <c r="BV64" s="2172"/>
      <c r="BW64" s="2172"/>
      <c r="BX64" s="2172"/>
      <c r="BY64" s="2172"/>
      <c r="BZ64" s="838"/>
      <c r="CA64" s="838"/>
      <c r="CB64" s="2089"/>
      <c r="CC64" s="838"/>
      <c r="CD64" s="838"/>
      <c r="CE64" s="838"/>
      <c r="CF64" s="838"/>
      <c r="CG64" s="838"/>
      <c r="CH64" s="838"/>
      <c r="CI64" s="838"/>
      <c r="CJ64" s="838"/>
      <c r="CK64" s="838"/>
      <c r="CL64" s="838"/>
      <c r="CM64" s="838"/>
      <c r="CN64" s="838"/>
      <c r="CO64" s="2174" t="s">
        <v>5134</v>
      </c>
      <c r="CP64" s="838" t="s">
        <v>1991</v>
      </c>
      <c r="CQ64" s="839"/>
      <c r="CR64" s="840"/>
      <c r="CT64" s="77"/>
    </row>
    <row r="65" spans="2:105" ht="18" x14ac:dyDescent="0.25">
      <c r="B65" s="1089">
        <v>62</v>
      </c>
      <c r="C65" s="1079" t="s">
        <v>2384</v>
      </c>
      <c r="D65" s="837" t="s">
        <v>1687</v>
      </c>
      <c r="E65" s="838"/>
      <c r="F65" s="838"/>
      <c r="G65" s="838"/>
      <c r="H65" s="838"/>
      <c r="I65" s="838"/>
      <c r="J65" s="838"/>
      <c r="K65" s="2172"/>
      <c r="L65" s="838"/>
      <c r="M65" s="838">
        <v>-1</v>
      </c>
      <c r="N65" s="838">
        <v>1</v>
      </c>
      <c r="O65" s="838"/>
      <c r="P65" s="838"/>
      <c r="Q65" s="838"/>
      <c r="R65" s="838"/>
      <c r="S65" s="838"/>
      <c r="T65" s="838"/>
      <c r="U65" s="838"/>
      <c r="V65" s="838"/>
      <c r="W65" s="838"/>
      <c r="X65" s="838"/>
      <c r="Y65" s="838"/>
      <c r="Z65" s="838"/>
      <c r="AA65" s="838"/>
      <c r="AB65" s="838"/>
      <c r="AC65" s="2172"/>
      <c r="AD65" s="838"/>
      <c r="AE65" s="838"/>
      <c r="AF65" s="838"/>
      <c r="AG65" s="838"/>
      <c r="AH65" s="838"/>
      <c r="AI65" s="838"/>
      <c r="AJ65" s="2172"/>
      <c r="AK65" s="838" t="s">
        <v>1688</v>
      </c>
      <c r="AL65" s="838"/>
      <c r="AM65" s="838"/>
      <c r="AN65" s="838"/>
      <c r="AO65" s="838"/>
      <c r="AP65" s="2172"/>
      <c r="AQ65" s="838" t="s">
        <v>1689</v>
      </c>
      <c r="AR65" s="838"/>
      <c r="AS65" s="838"/>
      <c r="AT65" s="838"/>
      <c r="AU65" s="838"/>
      <c r="AV65" s="838"/>
      <c r="AW65" s="838"/>
      <c r="AX65" s="838"/>
      <c r="AY65" s="838"/>
      <c r="AZ65" s="838"/>
      <c r="BA65" s="838"/>
      <c r="BB65" s="838"/>
      <c r="BC65" s="838"/>
      <c r="BD65" s="838"/>
      <c r="BE65" s="838"/>
      <c r="BF65" s="838"/>
      <c r="BG65" s="838"/>
      <c r="BH65" s="838"/>
      <c r="BI65" s="838"/>
      <c r="BJ65" s="1045"/>
      <c r="BK65" s="1045"/>
      <c r="BL65" s="1045"/>
      <c r="BM65" s="1045"/>
      <c r="BN65" s="1045"/>
      <c r="BO65" s="1045"/>
      <c r="BP65" s="1045"/>
      <c r="BQ65" s="838"/>
      <c r="BR65" s="838"/>
      <c r="BS65" s="1045"/>
      <c r="BT65" s="838"/>
      <c r="BU65" s="838"/>
      <c r="BV65" s="2172"/>
      <c r="BW65" s="2172"/>
      <c r="BX65" s="2172"/>
      <c r="BY65" s="2172"/>
      <c r="BZ65" s="838"/>
      <c r="CA65" s="838"/>
      <c r="CB65" s="2089"/>
      <c r="CC65" s="838"/>
      <c r="CD65" s="838"/>
      <c r="CE65" s="838"/>
      <c r="CF65" s="838"/>
      <c r="CG65" s="838"/>
      <c r="CH65" s="838"/>
      <c r="CI65" s="838"/>
      <c r="CJ65" s="838"/>
      <c r="CK65" s="838"/>
      <c r="CL65" s="838"/>
      <c r="CM65" s="838"/>
      <c r="CN65" s="838"/>
      <c r="CO65" s="2174" t="s">
        <v>5135</v>
      </c>
      <c r="CP65" s="838" t="s">
        <v>1991</v>
      </c>
      <c r="CQ65" s="839"/>
      <c r="CR65" s="840"/>
      <c r="CT65" s="77"/>
    </row>
    <row r="66" spans="2:105" ht="18" x14ac:dyDescent="0.25">
      <c r="B66" s="1089">
        <v>63</v>
      </c>
      <c r="C66" s="1079" t="s">
        <v>2385</v>
      </c>
      <c r="D66" s="837" t="s">
        <v>3562</v>
      </c>
      <c r="E66" s="838"/>
      <c r="F66" s="838"/>
      <c r="G66" s="838"/>
      <c r="H66" s="838"/>
      <c r="I66" s="838">
        <v>-1</v>
      </c>
      <c r="J66" s="838">
        <v>1</v>
      </c>
      <c r="K66" s="2172"/>
      <c r="L66" s="838"/>
      <c r="M66" s="838"/>
      <c r="N66" s="838"/>
      <c r="O66" s="838"/>
      <c r="P66" s="838"/>
      <c r="Q66" s="838"/>
      <c r="R66" s="838"/>
      <c r="S66" s="838"/>
      <c r="T66" s="838"/>
      <c r="U66" s="838"/>
      <c r="V66" s="838"/>
      <c r="W66" s="838"/>
      <c r="X66" s="838"/>
      <c r="Y66" s="838"/>
      <c r="Z66" s="838"/>
      <c r="AA66" s="838"/>
      <c r="AB66" s="838"/>
      <c r="AC66" s="2172"/>
      <c r="AD66" s="838"/>
      <c r="AE66" s="838"/>
      <c r="AF66" s="838"/>
      <c r="AG66" s="838"/>
      <c r="AH66" s="838"/>
      <c r="AI66" s="838" t="s">
        <v>1685</v>
      </c>
      <c r="AJ66" s="2172"/>
      <c r="AK66" s="838"/>
      <c r="AL66" s="838"/>
      <c r="AM66" s="838"/>
      <c r="AN66" s="838"/>
      <c r="AO66" s="838" t="s">
        <v>1686</v>
      </c>
      <c r="AP66" s="2172"/>
      <c r="AQ66" s="838"/>
      <c r="AR66" s="838"/>
      <c r="AS66" s="838"/>
      <c r="AT66" s="838"/>
      <c r="AU66" s="838"/>
      <c r="AV66" s="838"/>
      <c r="AW66" s="838"/>
      <c r="AX66" s="838"/>
      <c r="AY66" s="838"/>
      <c r="AZ66" s="838"/>
      <c r="BA66" s="838"/>
      <c r="BB66" s="838"/>
      <c r="BC66" s="838"/>
      <c r="BD66" s="838"/>
      <c r="BE66" s="838"/>
      <c r="BF66" s="838"/>
      <c r="BG66" s="838"/>
      <c r="BH66" s="838"/>
      <c r="BI66" s="838"/>
      <c r="BJ66" s="1045"/>
      <c r="BK66" s="1045"/>
      <c r="BL66" s="1045"/>
      <c r="BM66" s="1045"/>
      <c r="BN66" s="1045"/>
      <c r="BO66" s="1045"/>
      <c r="BP66" s="1045"/>
      <c r="BQ66" s="838"/>
      <c r="BR66" s="838"/>
      <c r="BS66" s="1045"/>
      <c r="BT66" s="838"/>
      <c r="BU66" s="838"/>
      <c r="BV66" s="2172"/>
      <c r="BW66" s="2172"/>
      <c r="BX66" s="2172"/>
      <c r="BY66" s="2172"/>
      <c r="BZ66" s="838"/>
      <c r="CA66" s="838"/>
      <c r="CB66" s="2089"/>
      <c r="CC66" s="838"/>
      <c r="CD66" s="838"/>
      <c r="CE66" s="838"/>
      <c r="CF66" s="838"/>
      <c r="CG66" s="838"/>
      <c r="CH66" s="838"/>
      <c r="CI66" s="838"/>
      <c r="CJ66" s="838"/>
      <c r="CK66" s="838"/>
      <c r="CL66" s="838"/>
      <c r="CM66" s="838"/>
      <c r="CN66" s="838"/>
      <c r="CO66" s="839" t="s">
        <v>3567</v>
      </c>
      <c r="CP66" s="838" t="s">
        <v>1991</v>
      </c>
      <c r="CQ66" s="839" t="s">
        <v>3566</v>
      </c>
      <c r="CR66" s="840" t="s">
        <v>3577</v>
      </c>
      <c r="CT66" s="77"/>
    </row>
    <row r="67" spans="2:105" ht="18" x14ac:dyDescent="0.25">
      <c r="B67" s="1089">
        <v>64</v>
      </c>
      <c r="C67" s="1079" t="s">
        <v>2386</v>
      </c>
      <c r="D67" s="837" t="s">
        <v>3563</v>
      </c>
      <c r="E67" s="838"/>
      <c r="F67" s="838"/>
      <c r="G67" s="838"/>
      <c r="H67" s="838"/>
      <c r="I67" s="838"/>
      <c r="J67" s="838"/>
      <c r="K67" s="2172"/>
      <c r="L67" s="838"/>
      <c r="M67" s="838">
        <v>-1</v>
      </c>
      <c r="N67" s="838">
        <v>1</v>
      </c>
      <c r="O67" s="838"/>
      <c r="P67" s="838"/>
      <c r="Q67" s="838"/>
      <c r="R67" s="838"/>
      <c r="S67" s="838"/>
      <c r="T67" s="838"/>
      <c r="U67" s="838"/>
      <c r="V67" s="838"/>
      <c r="W67" s="838"/>
      <c r="X67" s="838"/>
      <c r="Y67" s="838"/>
      <c r="Z67" s="838"/>
      <c r="AA67" s="838"/>
      <c r="AB67" s="838"/>
      <c r="AC67" s="2172"/>
      <c r="AD67" s="838"/>
      <c r="AE67" s="838"/>
      <c r="AF67" s="838"/>
      <c r="AG67" s="838"/>
      <c r="AH67" s="838"/>
      <c r="AI67" s="838"/>
      <c r="AJ67" s="2172"/>
      <c r="AK67" s="838" t="s">
        <v>1688</v>
      </c>
      <c r="AL67" s="838"/>
      <c r="AM67" s="838"/>
      <c r="AN67" s="838"/>
      <c r="AO67" s="838"/>
      <c r="AP67" s="2172"/>
      <c r="AQ67" s="838" t="s">
        <v>1689</v>
      </c>
      <c r="AR67" s="838"/>
      <c r="AS67" s="838"/>
      <c r="AT67" s="838"/>
      <c r="AU67" s="838"/>
      <c r="AV67" s="838"/>
      <c r="AW67" s="838"/>
      <c r="AX67" s="838"/>
      <c r="AY67" s="838"/>
      <c r="AZ67" s="838"/>
      <c r="BA67" s="838"/>
      <c r="BB67" s="838"/>
      <c r="BC67" s="838"/>
      <c r="BD67" s="838"/>
      <c r="BE67" s="838"/>
      <c r="BF67" s="838"/>
      <c r="BG67" s="838"/>
      <c r="BH67" s="838"/>
      <c r="BI67" s="838"/>
      <c r="BJ67" s="1045"/>
      <c r="BK67" s="1045"/>
      <c r="BL67" s="1045"/>
      <c r="BM67" s="1045"/>
      <c r="BN67" s="1045"/>
      <c r="BO67" s="1045"/>
      <c r="BP67" s="1045"/>
      <c r="BQ67" s="838"/>
      <c r="BR67" s="838"/>
      <c r="BS67" s="1045"/>
      <c r="BT67" s="838"/>
      <c r="BU67" s="838"/>
      <c r="BV67" s="2172"/>
      <c r="BW67" s="2172"/>
      <c r="BX67" s="2172"/>
      <c r="BY67" s="2172"/>
      <c r="BZ67" s="838"/>
      <c r="CA67" s="838"/>
      <c r="CB67" s="2089"/>
      <c r="CC67" s="838"/>
      <c r="CD67" s="838"/>
      <c r="CE67" s="838"/>
      <c r="CF67" s="838"/>
      <c r="CG67" s="838"/>
      <c r="CH67" s="838"/>
      <c r="CI67" s="838"/>
      <c r="CJ67" s="838"/>
      <c r="CK67" s="838"/>
      <c r="CL67" s="838"/>
      <c r="CM67" s="838"/>
      <c r="CN67" s="838"/>
      <c r="CO67" s="839" t="s">
        <v>3568</v>
      </c>
      <c r="CP67" s="838" t="s">
        <v>1991</v>
      </c>
      <c r="CQ67" s="839" t="s">
        <v>3566</v>
      </c>
      <c r="CR67" s="840" t="s">
        <v>3577</v>
      </c>
      <c r="CT67" s="77"/>
    </row>
    <row r="68" spans="2:105" ht="18" x14ac:dyDescent="0.35">
      <c r="B68" s="1089">
        <v>65</v>
      </c>
      <c r="C68" s="1079" t="s">
        <v>2387</v>
      </c>
      <c r="D68" s="837" t="s">
        <v>5366</v>
      </c>
      <c r="E68" s="838"/>
      <c r="F68" s="838"/>
      <c r="G68" s="838">
        <v>1</v>
      </c>
      <c r="H68" s="838"/>
      <c r="I68" s="838"/>
      <c r="J68" s="838">
        <v>-1</v>
      </c>
      <c r="K68" s="2172"/>
      <c r="L68" s="838"/>
      <c r="M68" s="838"/>
      <c r="N68" s="838"/>
      <c r="O68" s="838"/>
      <c r="P68" s="838"/>
      <c r="Q68" s="838"/>
      <c r="R68" s="838"/>
      <c r="S68" s="838"/>
      <c r="T68" s="838"/>
      <c r="U68" s="838"/>
      <c r="V68" s="838"/>
      <c r="W68" s="838"/>
      <c r="X68" s="838"/>
      <c r="Y68" s="838"/>
      <c r="Z68" s="838"/>
      <c r="AA68" s="838"/>
      <c r="AB68" s="838"/>
      <c r="AC68" s="2172"/>
      <c r="AD68" s="838"/>
      <c r="AE68" s="838"/>
      <c r="AF68" s="838"/>
      <c r="AG68" s="838"/>
      <c r="AH68" s="842" t="s">
        <v>1690</v>
      </c>
      <c r="AI68" s="842" t="s">
        <v>1691</v>
      </c>
      <c r="AJ68" s="2193"/>
      <c r="AK68" s="838"/>
      <c r="AL68" s="838"/>
      <c r="AM68" s="838"/>
      <c r="AN68" s="842" t="s">
        <v>1692</v>
      </c>
      <c r="AO68" s="842" t="s">
        <v>1693</v>
      </c>
      <c r="AP68" s="2193"/>
      <c r="AQ68" s="838"/>
      <c r="AR68" s="838"/>
      <c r="AS68" s="838"/>
      <c r="AT68" s="838"/>
      <c r="AU68" s="838"/>
      <c r="AV68" s="838"/>
      <c r="AW68" s="838"/>
      <c r="AX68" s="838"/>
      <c r="AY68" s="838"/>
      <c r="AZ68" s="838"/>
      <c r="BA68" s="838"/>
      <c r="BB68" s="838"/>
      <c r="BC68" s="838"/>
      <c r="BD68" s="838"/>
      <c r="BE68" s="838"/>
      <c r="BF68" s="838"/>
      <c r="BG68" s="838"/>
      <c r="BH68" s="838"/>
      <c r="BI68" s="838"/>
      <c r="BJ68" s="1045"/>
      <c r="BK68" s="1045"/>
      <c r="BL68" s="1045"/>
      <c r="BM68" s="1045"/>
      <c r="BN68" s="1045"/>
      <c r="BO68" s="1045"/>
      <c r="BP68" s="1045"/>
      <c r="BQ68" s="838"/>
      <c r="BR68" s="838"/>
      <c r="BS68" s="1045"/>
      <c r="BT68" s="838"/>
      <c r="BU68" s="838"/>
      <c r="BV68" s="2172"/>
      <c r="BW68" s="2172"/>
      <c r="BX68" s="2172"/>
      <c r="BY68" s="2172"/>
      <c r="BZ68" s="838"/>
      <c r="CA68" s="838"/>
      <c r="CB68" s="2089"/>
      <c r="CC68" s="838"/>
      <c r="CD68" s="838"/>
      <c r="CE68" s="838"/>
      <c r="CF68" s="838"/>
      <c r="CG68" s="838"/>
      <c r="CH68" s="838"/>
      <c r="CI68" s="838"/>
      <c r="CJ68" s="838"/>
      <c r="CK68" s="838"/>
      <c r="CL68" s="838"/>
      <c r="CM68" s="838"/>
      <c r="CN68" s="838"/>
      <c r="CO68" s="839" t="s">
        <v>5364</v>
      </c>
      <c r="CP68" s="838" t="s">
        <v>1991</v>
      </c>
      <c r="CQ68" s="839"/>
      <c r="CR68" s="840"/>
    </row>
    <row r="69" spans="2:105" ht="18" x14ac:dyDescent="0.25">
      <c r="B69" s="2607">
        <v>66</v>
      </c>
      <c r="C69" s="2608" t="s">
        <v>2388</v>
      </c>
      <c r="D69" s="2173" t="s">
        <v>5367</v>
      </c>
      <c r="E69" s="2173"/>
      <c r="F69" s="2172"/>
      <c r="G69" s="2172">
        <v>1</v>
      </c>
      <c r="H69" s="2172"/>
      <c r="I69" s="2172"/>
      <c r="J69" s="2172"/>
      <c r="K69" s="2172">
        <v>-1</v>
      </c>
      <c r="L69" s="2172"/>
      <c r="M69" s="2172"/>
      <c r="N69" s="2172"/>
      <c r="O69" s="2172"/>
      <c r="P69" s="2172"/>
      <c r="Q69" s="2172"/>
      <c r="R69" s="2172"/>
      <c r="S69" s="2172"/>
      <c r="T69" s="2172"/>
      <c r="U69" s="2172"/>
      <c r="V69" s="2172"/>
      <c r="W69" s="2172"/>
      <c r="X69" s="2172"/>
      <c r="Y69" s="2172"/>
      <c r="Z69" s="2172"/>
      <c r="AA69" s="2172"/>
      <c r="AB69" s="2172"/>
      <c r="AC69" s="2172"/>
      <c r="AD69" s="2172"/>
      <c r="AE69" s="2172"/>
      <c r="AF69" s="2172"/>
      <c r="AG69" s="2172"/>
      <c r="AH69" s="2193" t="s">
        <v>5358</v>
      </c>
      <c r="AI69" s="2193"/>
      <c r="AJ69" s="2193" t="s">
        <v>5359</v>
      </c>
      <c r="AK69" s="2172"/>
      <c r="AL69" s="2172"/>
      <c r="AM69" s="2172"/>
      <c r="AN69" s="2193" t="s">
        <v>5360</v>
      </c>
      <c r="AO69" s="2193"/>
      <c r="AP69" s="2193" t="s">
        <v>5361</v>
      </c>
      <c r="AQ69" s="2172"/>
      <c r="AR69" s="2172"/>
      <c r="AS69" s="2172"/>
      <c r="AT69" s="2172"/>
      <c r="AU69" s="2172" t="s">
        <v>5363</v>
      </c>
      <c r="AV69" s="2172" t="s">
        <v>2425</v>
      </c>
      <c r="AW69" s="2172" t="s">
        <v>3834</v>
      </c>
      <c r="AX69" s="2172" t="s">
        <v>3835</v>
      </c>
      <c r="AY69" s="2172" t="s">
        <v>3836</v>
      </c>
      <c r="AZ69" s="2172" t="s">
        <v>3837</v>
      </c>
      <c r="BA69" s="2172"/>
      <c r="BB69" s="2172"/>
      <c r="BC69" s="2172"/>
      <c r="BD69" s="2172"/>
      <c r="BE69" s="2172"/>
      <c r="BF69" s="2172"/>
      <c r="BG69" s="2172"/>
      <c r="BH69" s="2172"/>
      <c r="BI69" s="2172"/>
      <c r="BJ69" s="2172"/>
      <c r="BK69" s="2172"/>
      <c r="BL69" s="2172"/>
      <c r="BM69" s="2172"/>
      <c r="BN69" s="2172"/>
      <c r="BO69" s="2172"/>
      <c r="BP69" s="2172"/>
      <c r="BQ69" s="2172"/>
      <c r="BR69" s="2172"/>
      <c r="BS69" s="2172"/>
      <c r="BT69" s="2172"/>
      <c r="BU69" s="2172"/>
      <c r="BV69" s="2172"/>
      <c r="BW69" s="2172"/>
      <c r="BX69" s="2172"/>
      <c r="BY69" s="2172"/>
      <c r="BZ69" s="2172"/>
      <c r="CA69" s="2172"/>
      <c r="CB69" s="2172"/>
      <c r="CC69" s="2172"/>
      <c r="CD69" s="2172"/>
      <c r="CE69" s="2172"/>
      <c r="CF69" s="2172"/>
      <c r="CG69" s="2172"/>
      <c r="CH69" s="2172"/>
      <c r="CI69" s="2172"/>
      <c r="CJ69" s="2172"/>
      <c r="CK69" s="2172"/>
      <c r="CL69" s="2172"/>
      <c r="CM69" s="2172"/>
      <c r="CN69" s="2172"/>
      <c r="CO69" s="2174" t="s">
        <v>5362</v>
      </c>
      <c r="CP69" s="2609" t="s">
        <v>1991</v>
      </c>
      <c r="CQ69" s="2173"/>
      <c r="CR69" s="2174"/>
    </row>
    <row r="70" spans="2:105" ht="18" x14ac:dyDescent="0.35">
      <c r="B70" s="1089">
        <v>67</v>
      </c>
      <c r="C70" s="1079" t="s">
        <v>2389</v>
      </c>
      <c r="D70" s="837" t="s">
        <v>3057</v>
      </c>
      <c r="E70" s="838">
        <v>1</v>
      </c>
      <c r="F70" s="838">
        <v>-1</v>
      </c>
      <c r="G70" s="838"/>
      <c r="H70" s="838"/>
      <c r="I70" s="838"/>
      <c r="J70" s="838"/>
      <c r="K70" s="2172"/>
      <c r="L70" s="838"/>
      <c r="M70" s="838"/>
      <c r="N70" s="838"/>
      <c r="O70" s="838"/>
      <c r="P70" s="838"/>
      <c r="Q70" s="838"/>
      <c r="R70" s="838"/>
      <c r="S70" s="838"/>
      <c r="T70" s="838"/>
      <c r="U70" s="838"/>
      <c r="V70" s="838"/>
      <c r="W70" s="838"/>
      <c r="X70" s="838"/>
      <c r="Y70" s="838"/>
      <c r="Z70" s="838"/>
      <c r="AA70" s="838"/>
      <c r="AB70" s="838"/>
      <c r="AC70" s="2172"/>
      <c r="AD70" s="838"/>
      <c r="AE70" s="838"/>
      <c r="AF70" s="838"/>
      <c r="AG70" s="838"/>
      <c r="AH70" s="838"/>
      <c r="AI70" s="838"/>
      <c r="AJ70" s="2172"/>
      <c r="AK70" s="838"/>
      <c r="AL70" s="838"/>
      <c r="AM70" s="838"/>
      <c r="AN70" s="838"/>
      <c r="AO70" s="838"/>
      <c r="AP70" s="2172"/>
      <c r="AQ70" s="838"/>
      <c r="AR70" s="838"/>
      <c r="AS70" s="838"/>
      <c r="AT70" s="838"/>
      <c r="AU70" s="838" t="s">
        <v>3058</v>
      </c>
      <c r="AV70" s="838"/>
      <c r="AW70" s="838"/>
      <c r="AX70" s="838"/>
      <c r="AY70" s="838"/>
      <c r="AZ70" s="838"/>
      <c r="BA70" s="838"/>
      <c r="BB70" s="838"/>
      <c r="BC70" s="838"/>
      <c r="BD70" s="838"/>
      <c r="BE70" s="838"/>
      <c r="BF70" s="838"/>
      <c r="BG70" s="838"/>
      <c r="BH70" s="838"/>
      <c r="BI70" s="838"/>
      <c r="BJ70" s="1045"/>
      <c r="BK70" s="1045"/>
      <c r="BL70" s="1045"/>
      <c r="BM70" s="1045"/>
      <c r="BN70" s="1045"/>
      <c r="BO70" s="1045"/>
      <c r="BP70" s="1045"/>
      <c r="BQ70" s="838"/>
      <c r="BR70" s="838"/>
      <c r="BS70" s="1045"/>
      <c r="BT70" s="838"/>
      <c r="BU70" s="838"/>
      <c r="BV70" s="2172"/>
      <c r="BW70" s="2172"/>
      <c r="BX70" s="2172"/>
      <c r="BY70" s="2172"/>
      <c r="BZ70" s="838"/>
      <c r="CA70" s="838"/>
      <c r="CB70" s="2089"/>
      <c r="CC70" s="838"/>
      <c r="CD70" s="838"/>
      <c r="CE70" s="838"/>
      <c r="CF70" s="838"/>
      <c r="CG70" s="838"/>
      <c r="CH70" s="838"/>
      <c r="CI70" s="838"/>
      <c r="CJ70" s="838"/>
      <c r="CK70" s="838"/>
      <c r="CL70" s="838"/>
      <c r="CM70" s="838"/>
      <c r="CN70" s="838"/>
      <c r="CO70" s="839" t="s">
        <v>3059</v>
      </c>
      <c r="CP70" s="838" t="s">
        <v>3048</v>
      </c>
      <c r="CQ70" s="839"/>
      <c r="CR70" s="840"/>
      <c r="CT70" s="669"/>
      <c r="CU70" s="669"/>
      <c r="CV70" s="669"/>
      <c r="CW70" s="669"/>
      <c r="CX70" s="669"/>
      <c r="CY70" s="669"/>
      <c r="CZ70" s="669"/>
      <c r="DA70" s="669"/>
    </row>
    <row r="71" spans="2:105" ht="18" x14ac:dyDescent="0.35">
      <c r="B71" s="1089">
        <v>68</v>
      </c>
      <c r="C71" s="1079" t="s">
        <v>2390</v>
      </c>
      <c r="D71" s="837" t="s">
        <v>5368</v>
      </c>
      <c r="E71" s="838"/>
      <c r="F71" s="838"/>
      <c r="G71" s="838"/>
      <c r="H71" s="838"/>
      <c r="I71" s="838"/>
      <c r="J71" s="838"/>
      <c r="K71" s="2172"/>
      <c r="L71" s="838"/>
      <c r="M71" s="838"/>
      <c r="N71" s="838"/>
      <c r="O71" s="838"/>
      <c r="P71" s="838"/>
      <c r="Q71" s="838"/>
      <c r="R71" s="838"/>
      <c r="S71" s="838"/>
      <c r="T71" s="838"/>
      <c r="U71" s="838"/>
      <c r="V71" s="838"/>
      <c r="W71" s="838"/>
      <c r="X71" s="838"/>
      <c r="Y71" s="838"/>
      <c r="Z71" s="838"/>
      <c r="AA71" s="838"/>
      <c r="AB71" s="838"/>
      <c r="AC71" s="2172"/>
      <c r="AD71" s="838">
        <v>1</v>
      </c>
      <c r="AE71" s="838"/>
      <c r="AF71" s="838"/>
      <c r="AG71" s="838"/>
      <c r="AH71" s="838">
        <v>-1</v>
      </c>
      <c r="AI71" s="838"/>
      <c r="AJ71" s="2172"/>
      <c r="AK71" s="838"/>
      <c r="AL71" s="838"/>
      <c r="AM71" s="838"/>
      <c r="AN71" s="838"/>
      <c r="AO71" s="838"/>
      <c r="AP71" s="2172"/>
      <c r="AQ71" s="838"/>
      <c r="AR71" s="838"/>
      <c r="AS71" s="838"/>
      <c r="AT71" s="838"/>
      <c r="AU71" s="838"/>
      <c r="AV71" s="838"/>
      <c r="AW71" s="838"/>
      <c r="AX71" s="838"/>
      <c r="AY71" s="838"/>
      <c r="AZ71" s="838"/>
      <c r="BA71" s="838"/>
      <c r="BB71" s="838"/>
      <c r="BC71" s="838"/>
      <c r="BD71" s="838"/>
      <c r="BE71" s="838"/>
      <c r="BF71" s="838"/>
      <c r="BG71" s="838"/>
      <c r="BH71" s="838"/>
      <c r="BI71" s="838"/>
      <c r="BJ71" s="1045"/>
      <c r="BK71" s="1045"/>
      <c r="BL71" s="1045"/>
      <c r="BM71" s="1045"/>
      <c r="BN71" s="1045"/>
      <c r="BO71" s="1045"/>
      <c r="BP71" s="1045"/>
      <c r="BQ71" s="838"/>
      <c r="BR71" s="838"/>
      <c r="BS71" s="1045"/>
      <c r="BT71" s="838"/>
      <c r="BU71" s="838"/>
      <c r="BV71" s="2172"/>
      <c r="BW71" s="2172"/>
      <c r="BX71" s="2172"/>
      <c r="BY71" s="2172"/>
      <c r="BZ71" s="838"/>
      <c r="CA71" s="838"/>
      <c r="CB71" s="2089"/>
      <c r="CC71" s="838"/>
      <c r="CD71" s="838"/>
      <c r="CE71" s="838"/>
      <c r="CF71" s="838"/>
      <c r="CG71" s="838"/>
      <c r="CH71" s="838"/>
      <c r="CI71" s="838"/>
      <c r="CJ71" s="838"/>
      <c r="CK71" s="838"/>
      <c r="CL71" s="838"/>
      <c r="CM71" s="838"/>
      <c r="CN71" s="838"/>
      <c r="CO71" s="839" t="s">
        <v>4894</v>
      </c>
      <c r="CP71" s="838" t="s">
        <v>1991</v>
      </c>
      <c r="CQ71" s="839"/>
      <c r="CR71" s="840"/>
    </row>
    <row r="72" spans="2:105" ht="18" x14ac:dyDescent="0.35">
      <c r="B72" s="1089">
        <v>69</v>
      </c>
      <c r="C72" s="1079" t="s">
        <v>2391</v>
      </c>
      <c r="D72" s="837" t="s">
        <v>1694</v>
      </c>
      <c r="E72" s="838"/>
      <c r="F72" s="838"/>
      <c r="G72" s="838"/>
      <c r="H72" s="838"/>
      <c r="I72" s="838"/>
      <c r="J72" s="838"/>
      <c r="K72" s="2172"/>
      <c r="L72" s="838"/>
      <c r="M72" s="838"/>
      <c r="N72" s="838"/>
      <c r="O72" s="838"/>
      <c r="P72" s="838"/>
      <c r="Q72" s="838"/>
      <c r="R72" s="838"/>
      <c r="S72" s="838"/>
      <c r="T72" s="838"/>
      <c r="U72" s="838"/>
      <c r="V72" s="838"/>
      <c r="W72" s="838"/>
      <c r="X72" s="838"/>
      <c r="Y72" s="838"/>
      <c r="Z72" s="838"/>
      <c r="AA72" s="838"/>
      <c r="AB72" s="838"/>
      <c r="AC72" s="2172"/>
      <c r="AD72" s="838"/>
      <c r="AE72" s="838"/>
      <c r="AF72" s="838"/>
      <c r="AG72" s="838"/>
      <c r="AH72" s="838"/>
      <c r="AI72" s="838"/>
      <c r="AJ72" s="2172"/>
      <c r="AK72" s="838"/>
      <c r="AL72" s="838">
        <v>1</v>
      </c>
      <c r="AM72" s="838"/>
      <c r="AN72" s="838">
        <v>-1</v>
      </c>
      <c r="AO72" s="838"/>
      <c r="AP72" s="2172"/>
      <c r="AQ72" s="838"/>
      <c r="AR72" s="838"/>
      <c r="AS72" s="838"/>
      <c r="AT72" s="838"/>
      <c r="AU72" s="838"/>
      <c r="AV72" s="838"/>
      <c r="AW72" s="838"/>
      <c r="AX72" s="838"/>
      <c r="AY72" s="838"/>
      <c r="AZ72" s="838"/>
      <c r="BA72" s="838"/>
      <c r="BB72" s="838"/>
      <c r="BC72" s="838"/>
      <c r="BD72" s="838"/>
      <c r="BE72" s="838"/>
      <c r="BF72" s="838"/>
      <c r="BG72" s="838"/>
      <c r="BH72" s="838"/>
      <c r="BI72" s="838"/>
      <c r="BJ72" s="1045"/>
      <c r="BK72" s="1045"/>
      <c r="BL72" s="1045"/>
      <c r="BM72" s="1045"/>
      <c r="BN72" s="1045"/>
      <c r="BO72" s="1045"/>
      <c r="BP72" s="1045"/>
      <c r="BQ72" s="838"/>
      <c r="BR72" s="838"/>
      <c r="BS72" s="1045"/>
      <c r="BT72" s="838"/>
      <c r="BU72" s="838"/>
      <c r="BV72" s="2172"/>
      <c r="BW72" s="2172"/>
      <c r="BX72" s="2172"/>
      <c r="BY72" s="2172"/>
      <c r="BZ72" s="838"/>
      <c r="CA72" s="838"/>
      <c r="CB72" s="2089"/>
      <c r="CC72" s="838"/>
      <c r="CD72" s="838"/>
      <c r="CE72" s="838"/>
      <c r="CF72" s="838"/>
      <c r="CG72" s="838"/>
      <c r="CH72" s="838"/>
      <c r="CI72" s="838"/>
      <c r="CJ72" s="838"/>
      <c r="CK72" s="838"/>
      <c r="CL72" s="838"/>
      <c r="CM72" s="838"/>
      <c r="CN72" s="838"/>
      <c r="CO72" s="839" t="s">
        <v>4895</v>
      </c>
      <c r="CP72" s="838" t="s">
        <v>1991</v>
      </c>
      <c r="CQ72" s="839"/>
      <c r="CR72" s="840"/>
    </row>
    <row r="73" spans="2:105" ht="18" x14ac:dyDescent="0.35">
      <c r="B73" s="1089">
        <v>70</v>
      </c>
      <c r="C73" s="1079" t="s">
        <v>2392</v>
      </c>
      <c r="D73" s="837" t="s">
        <v>5369</v>
      </c>
      <c r="E73" s="838"/>
      <c r="F73" s="838"/>
      <c r="G73" s="838"/>
      <c r="H73" s="838"/>
      <c r="I73" s="838"/>
      <c r="J73" s="838">
        <v>1</v>
      </c>
      <c r="K73" s="2172"/>
      <c r="L73" s="838"/>
      <c r="M73" s="838"/>
      <c r="N73" s="838"/>
      <c r="O73" s="838"/>
      <c r="P73" s="838"/>
      <c r="Q73" s="838"/>
      <c r="R73" s="838">
        <v>-1</v>
      </c>
      <c r="S73" s="838"/>
      <c r="T73" s="838"/>
      <c r="U73" s="838"/>
      <c r="V73" s="838"/>
      <c r="W73" s="838"/>
      <c r="X73" s="838"/>
      <c r="Y73" s="838"/>
      <c r="Z73" s="838"/>
      <c r="AA73" s="838"/>
      <c r="AB73" s="838"/>
      <c r="AC73" s="2172"/>
      <c r="AD73" s="838"/>
      <c r="AE73" s="838"/>
      <c r="AF73" s="838"/>
      <c r="AG73" s="838"/>
      <c r="AH73" s="838"/>
      <c r="AI73" s="838" t="s">
        <v>3657</v>
      </c>
      <c r="AJ73" s="2172"/>
      <c r="AK73" s="838"/>
      <c r="AL73" s="838"/>
      <c r="AM73" s="838"/>
      <c r="AN73" s="838"/>
      <c r="AO73" s="838" t="s">
        <v>1635</v>
      </c>
      <c r="AP73" s="2172"/>
      <c r="AQ73" s="838"/>
      <c r="AR73" s="838"/>
      <c r="AS73" s="838"/>
      <c r="AT73" s="838"/>
      <c r="AU73" s="838" t="s">
        <v>3176</v>
      </c>
      <c r="AV73" s="838"/>
      <c r="AW73" s="838"/>
      <c r="AX73" s="838"/>
      <c r="AY73" s="838"/>
      <c r="AZ73" s="838"/>
      <c r="BA73" s="838"/>
      <c r="BB73" s="838"/>
      <c r="BC73" s="838"/>
      <c r="BD73" s="838"/>
      <c r="BE73" s="838"/>
      <c r="BF73" s="838"/>
      <c r="BG73" s="838"/>
      <c r="BH73" s="838"/>
      <c r="BI73" s="838"/>
      <c r="BJ73" s="1045"/>
      <c r="BK73" s="1045"/>
      <c r="BL73" s="1045"/>
      <c r="BM73" s="1045"/>
      <c r="BN73" s="1045"/>
      <c r="BO73" s="1045"/>
      <c r="BP73" s="1045"/>
      <c r="BQ73" s="838"/>
      <c r="BR73" s="838"/>
      <c r="BS73" s="1045"/>
      <c r="BT73" s="838"/>
      <c r="BU73" s="838"/>
      <c r="BV73" s="2172"/>
      <c r="BW73" s="2172"/>
      <c r="BX73" s="2172"/>
      <c r="BY73" s="2172"/>
      <c r="BZ73" s="838"/>
      <c r="CA73" s="838"/>
      <c r="CB73" s="2089"/>
      <c r="CC73" s="838"/>
      <c r="CD73" s="838"/>
      <c r="CE73" s="838"/>
      <c r="CF73" s="838"/>
      <c r="CG73" s="838"/>
      <c r="CH73" s="838"/>
      <c r="CI73" s="838"/>
      <c r="CJ73" s="838"/>
      <c r="CK73" s="838"/>
      <c r="CL73" s="838"/>
      <c r="CM73" s="838"/>
      <c r="CN73" s="838"/>
      <c r="CO73" s="839" t="s">
        <v>1734</v>
      </c>
      <c r="CP73" s="838" t="s">
        <v>1991</v>
      </c>
      <c r="CQ73" s="839"/>
      <c r="CR73" s="840"/>
    </row>
    <row r="74" spans="2:105" ht="18" x14ac:dyDescent="0.35">
      <c r="B74" s="1089">
        <v>71</v>
      </c>
      <c r="C74" s="1079" t="s">
        <v>2403</v>
      </c>
      <c r="D74" s="837" t="s">
        <v>5370</v>
      </c>
      <c r="E74" s="838"/>
      <c r="F74" s="838"/>
      <c r="G74" s="838">
        <v>1</v>
      </c>
      <c r="H74" s="838"/>
      <c r="I74" s="838"/>
      <c r="J74" s="838"/>
      <c r="K74" s="2172"/>
      <c r="L74" s="838"/>
      <c r="M74" s="838"/>
      <c r="N74" s="838"/>
      <c r="O74" s="838"/>
      <c r="P74" s="838"/>
      <c r="Q74" s="838"/>
      <c r="R74" s="838"/>
      <c r="S74" s="838">
        <v>-1</v>
      </c>
      <c r="T74" s="838"/>
      <c r="U74" s="838"/>
      <c r="V74" s="838"/>
      <c r="W74" s="838"/>
      <c r="X74" s="838"/>
      <c r="Y74" s="838"/>
      <c r="Z74" s="838"/>
      <c r="AA74" s="838"/>
      <c r="AB74" s="838"/>
      <c r="AC74" s="2172"/>
      <c r="AD74" s="838"/>
      <c r="AE74" s="838"/>
      <c r="AF74" s="838"/>
      <c r="AG74" s="838"/>
      <c r="AH74" s="838"/>
      <c r="AI74" s="838" t="s">
        <v>3657</v>
      </c>
      <c r="AJ74" s="2172"/>
      <c r="AK74" s="838"/>
      <c r="AL74" s="838"/>
      <c r="AM74" s="838"/>
      <c r="AN74" s="838"/>
      <c r="AO74" s="838" t="s">
        <v>1635</v>
      </c>
      <c r="AP74" s="2172"/>
      <c r="AQ74" s="838"/>
      <c r="AR74" s="838"/>
      <c r="AS74" s="838"/>
      <c r="AT74" s="838"/>
      <c r="AU74" s="838" t="s">
        <v>3176</v>
      </c>
      <c r="AV74" s="838"/>
      <c r="AW74" s="838"/>
      <c r="AX74" s="838"/>
      <c r="AY74" s="838"/>
      <c r="AZ74" s="838"/>
      <c r="BA74" s="838"/>
      <c r="BB74" s="838"/>
      <c r="BC74" s="838"/>
      <c r="BD74" s="838"/>
      <c r="BE74" s="838"/>
      <c r="BF74" s="838"/>
      <c r="BG74" s="838"/>
      <c r="BH74" s="838"/>
      <c r="BI74" s="838"/>
      <c r="BJ74" s="1045"/>
      <c r="BK74" s="1045"/>
      <c r="BL74" s="1045"/>
      <c r="BM74" s="1045"/>
      <c r="BN74" s="1045"/>
      <c r="BO74" s="1045"/>
      <c r="BP74" s="1045"/>
      <c r="BQ74" s="838"/>
      <c r="BR74" s="838"/>
      <c r="BS74" s="1045"/>
      <c r="BT74" s="838"/>
      <c r="BU74" s="838"/>
      <c r="BV74" s="2172"/>
      <c r="BW74" s="2172"/>
      <c r="BX74" s="2172"/>
      <c r="BY74" s="2172"/>
      <c r="BZ74" s="838"/>
      <c r="CA74" s="838"/>
      <c r="CB74" s="2089"/>
      <c r="CC74" s="838"/>
      <c r="CD74" s="838"/>
      <c r="CE74" s="838"/>
      <c r="CF74" s="838"/>
      <c r="CG74" s="838"/>
      <c r="CH74" s="838"/>
      <c r="CI74" s="838"/>
      <c r="CJ74" s="838"/>
      <c r="CK74" s="838"/>
      <c r="CL74" s="838"/>
      <c r="CM74" s="838"/>
      <c r="CN74" s="838"/>
      <c r="CO74" s="839" t="s">
        <v>5365</v>
      </c>
      <c r="CP74" s="838" t="s">
        <v>1991</v>
      </c>
      <c r="CQ74" s="839"/>
      <c r="CR74" s="840"/>
    </row>
    <row r="75" spans="2:105" ht="18" x14ac:dyDescent="0.25">
      <c r="B75" s="1089">
        <v>72</v>
      </c>
      <c r="C75" s="1079" t="s">
        <v>2404</v>
      </c>
      <c r="D75" s="2173" t="s">
        <v>5371</v>
      </c>
      <c r="E75" s="2172"/>
      <c r="F75" s="2172"/>
      <c r="G75" s="2172"/>
      <c r="H75" s="2172"/>
      <c r="I75" s="2172"/>
      <c r="J75" s="2172">
        <v>1</v>
      </c>
      <c r="K75" s="2172"/>
      <c r="L75" s="2172"/>
      <c r="M75" s="2172"/>
      <c r="N75" s="2172">
        <v>-1</v>
      </c>
      <c r="O75" s="2172"/>
      <c r="P75" s="2172"/>
      <c r="Q75" s="2172"/>
      <c r="R75" s="2172"/>
      <c r="S75" s="2172"/>
      <c r="T75" s="2172"/>
      <c r="U75" s="2172"/>
      <c r="V75" s="2172"/>
      <c r="W75" s="2172"/>
      <c r="X75" s="2172"/>
      <c r="Y75" s="2172"/>
      <c r="Z75" s="2172"/>
      <c r="AA75" s="2172"/>
      <c r="AB75" s="2172"/>
      <c r="AC75" s="2172"/>
      <c r="AD75" s="2172"/>
      <c r="AE75" s="2172"/>
      <c r="AF75" s="2172"/>
      <c r="AG75" s="2172"/>
      <c r="AH75" s="2172"/>
      <c r="AI75" s="2193" t="s">
        <v>4769</v>
      </c>
      <c r="AJ75" s="2193"/>
      <c r="AK75" s="2193" t="s">
        <v>4770</v>
      </c>
      <c r="AL75" s="2172"/>
      <c r="AM75" s="2172"/>
      <c r="AN75" s="2172"/>
      <c r="AO75" s="2193" t="s">
        <v>4771</v>
      </c>
      <c r="AP75" s="2193"/>
      <c r="AQ75" s="2193" t="s">
        <v>4772</v>
      </c>
      <c r="AR75" s="2172"/>
      <c r="AS75" s="2172"/>
      <c r="AT75" s="2172"/>
      <c r="AU75" s="2172"/>
      <c r="AV75" s="2172"/>
      <c r="AW75" s="2172"/>
      <c r="AX75" s="2172"/>
      <c r="AY75" s="2172"/>
      <c r="AZ75" s="2172"/>
      <c r="BA75" s="2172"/>
      <c r="BB75" s="2172"/>
      <c r="BC75" s="2172"/>
      <c r="BD75" s="2172"/>
      <c r="BE75" s="2172"/>
      <c r="BF75" s="2172"/>
      <c r="BG75" s="2172"/>
      <c r="BH75" s="2172"/>
      <c r="BI75" s="2172"/>
      <c r="BJ75" s="2172"/>
      <c r="BK75" s="2172"/>
      <c r="BL75" s="2172"/>
      <c r="BM75" s="2172"/>
      <c r="BN75" s="2172"/>
      <c r="BO75" s="2172"/>
      <c r="BP75" s="2172"/>
      <c r="BQ75" s="2172"/>
      <c r="BR75" s="2172"/>
      <c r="BS75" s="2172"/>
      <c r="BT75" s="2172"/>
      <c r="BU75" s="2172"/>
      <c r="BV75" s="2172"/>
      <c r="BW75" s="2172"/>
      <c r="BX75" s="2172"/>
      <c r="BY75" s="2172"/>
      <c r="BZ75" s="2172"/>
      <c r="CA75" s="2172"/>
      <c r="CB75" s="2172"/>
      <c r="CC75" s="2172"/>
      <c r="CD75" s="2172"/>
      <c r="CE75" s="2172"/>
      <c r="CF75" s="2172"/>
      <c r="CG75" s="2172"/>
      <c r="CH75" s="2172"/>
      <c r="CI75" s="2172"/>
      <c r="CJ75" s="2172"/>
      <c r="CK75" s="2172"/>
      <c r="CL75" s="2172"/>
      <c r="CM75" s="2172"/>
      <c r="CN75" s="2172"/>
      <c r="CO75" s="2173" t="s">
        <v>4777</v>
      </c>
      <c r="CP75" s="838" t="s">
        <v>1991</v>
      </c>
      <c r="CQ75" s="2173"/>
      <c r="CR75" s="2174"/>
    </row>
    <row r="76" spans="2:105" ht="18" x14ac:dyDescent="0.25">
      <c r="B76" s="1089">
        <v>73</v>
      </c>
      <c r="C76" s="1079" t="s">
        <v>2819</v>
      </c>
      <c r="D76" s="837" t="s">
        <v>292</v>
      </c>
      <c r="E76" s="841" t="s">
        <v>1373</v>
      </c>
      <c r="F76" s="841"/>
      <c r="G76" s="838"/>
      <c r="H76" s="838">
        <v>-1</v>
      </c>
      <c r="I76" s="838"/>
      <c r="J76" s="838"/>
      <c r="K76" s="2172"/>
      <c r="L76" s="838"/>
      <c r="M76" s="838"/>
      <c r="N76" s="838"/>
      <c r="O76" s="838"/>
      <c r="P76" s="838"/>
      <c r="Q76" s="838"/>
      <c r="R76" s="838"/>
      <c r="S76" s="838"/>
      <c r="T76" s="838"/>
      <c r="U76" s="838"/>
      <c r="V76" s="838"/>
      <c r="W76" s="838"/>
      <c r="X76" s="838"/>
      <c r="Y76" s="838"/>
      <c r="Z76" s="838"/>
      <c r="AA76" s="838"/>
      <c r="AB76" s="838"/>
      <c r="AC76" s="2172"/>
      <c r="AD76" s="838"/>
      <c r="AE76" s="838"/>
      <c r="AF76" s="838"/>
      <c r="AG76" s="838"/>
      <c r="AH76" s="838"/>
      <c r="AI76" s="838"/>
      <c r="AJ76" s="2172"/>
      <c r="AK76" s="838"/>
      <c r="AL76" s="838"/>
      <c r="AM76" s="838"/>
      <c r="AN76" s="838"/>
      <c r="AO76" s="838"/>
      <c r="AP76" s="2172"/>
      <c r="AQ76" s="838"/>
      <c r="AR76" s="838"/>
      <c r="AS76" s="838"/>
      <c r="AT76" s="842" t="s">
        <v>1374</v>
      </c>
      <c r="AU76" s="838" t="s">
        <v>1957</v>
      </c>
      <c r="AV76" s="838"/>
      <c r="AW76" s="838"/>
      <c r="AX76" s="838"/>
      <c r="AY76" s="838"/>
      <c r="AZ76" s="838"/>
      <c r="BA76" s="838"/>
      <c r="BB76" s="838"/>
      <c r="BC76" s="838"/>
      <c r="BD76" s="838"/>
      <c r="BE76" s="838"/>
      <c r="BF76" s="838"/>
      <c r="BG76" s="838"/>
      <c r="BH76" s="838"/>
      <c r="BI76" s="838"/>
      <c r="BJ76" s="1045"/>
      <c r="BK76" s="1045"/>
      <c r="BL76" s="1045"/>
      <c r="BM76" s="1045"/>
      <c r="BN76" s="1045"/>
      <c r="BO76" s="1045"/>
      <c r="BP76" s="1045"/>
      <c r="BQ76" s="838"/>
      <c r="BR76" s="838"/>
      <c r="BS76" s="1045"/>
      <c r="BT76" s="838"/>
      <c r="BU76" s="838"/>
      <c r="BV76" s="2172"/>
      <c r="BW76" s="2172"/>
      <c r="BX76" s="2172"/>
      <c r="BY76" s="2172"/>
      <c r="BZ76" s="838"/>
      <c r="CA76" s="838"/>
      <c r="CB76" s="2089"/>
      <c r="CC76" s="838"/>
      <c r="CD76" s="838"/>
      <c r="CE76" s="838"/>
      <c r="CF76" s="838"/>
      <c r="CG76" s="838"/>
      <c r="CH76" s="838"/>
      <c r="CI76" s="838"/>
      <c r="CJ76" s="838"/>
      <c r="CK76" s="838"/>
      <c r="CL76" s="838"/>
      <c r="CM76" s="838"/>
      <c r="CN76" s="838"/>
      <c r="CO76" s="839" t="s">
        <v>2397</v>
      </c>
      <c r="CP76" s="838" t="s">
        <v>1991</v>
      </c>
      <c r="CQ76" s="839" t="s">
        <v>295</v>
      </c>
      <c r="CR76" s="840"/>
    </row>
    <row r="77" spans="2:105" ht="18" x14ac:dyDescent="0.35">
      <c r="B77" s="1089">
        <v>74</v>
      </c>
      <c r="C77" s="1079" t="s">
        <v>2820</v>
      </c>
      <c r="D77" s="837" t="s">
        <v>2291</v>
      </c>
      <c r="E77" s="838"/>
      <c r="F77" s="838"/>
      <c r="G77" s="838"/>
      <c r="H77" s="838"/>
      <c r="I77" s="838"/>
      <c r="J77" s="838"/>
      <c r="K77" s="2172"/>
      <c r="L77" s="838"/>
      <c r="M77" s="838"/>
      <c r="N77" s="838"/>
      <c r="O77" s="838"/>
      <c r="P77" s="838"/>
      <c r="Q77" s="838"/>
      <c r="R77" s="838"/>
      <c r="S77" s="838"/>
      <c r="T77" s="2301" t="s">
        <v>4897</v>
      </c>
      <c r="U77" s="2301" t="s">
        <v>4915</v>
      </c>
      <c r="V77" s="2301" t="s">
        <v>4898</v>
      </c>
      <c r="W77" s="2301" t="s">
        <v>4899</v>
      </c>
      <c r="X77" s="2301" t="s">
        <v>4900</v>
      </c>
      <c r="Y77" s="2301" t="s">
        <v>4901</v>
      </c>
      <c r="Z77" s="2301" t="s">
        <v>4902</v>
      </c>
      <c r="AA77" s="2301" t="s">
        <v>4903</v>
      </c>
      <c r="AB77" s="2301" t="s">
        <v>4904</v>
      </c>
      <c r="AC77" s="2301" t="s">
        <v>4905</v>
      </c>
      <c r="AD77" s="2302" t="s">
        <v>4921</v>
      </c>
      <c r="AE77" s="2302">
        <v>-1</v>
      </c>
      <c r="AF77" s="2302"/>
      <c r="AG77" s="2302"/>
      <c r="AH77" s="2302"/>
      <c r="AI77" s="2302"/>
      <c r="AJ77" s="2172"/>
      <c r="AK77" s="2302"/>
      <c r="AL77" s="2302" t="s">
        <v>4923</v>
      </c>
      <c r="AM77" s="838"/>
      <c r="AN77" s="838"/>
      <c r="AO77" s="838"/>
      <c r="AP77" s="2172"/>
      <c r="AQ77" s="838"/>
      <c r="AR77" s="838"/>
      <c r="AS77" s="838"/>
      <c r="AT77" s="838"/>
      <c r="AU77" s="2302" t="s">
        <v>4917</v>
      </c>
      <c r="AV77" s="838"/>
      <c r="AW77" s="838"/>
      <c r="AX77" s="838"/>
      <c r="AY77" s="838"/>
      <c r="AZ77" s="838"/>
      <c r="BA77" s="838"/>
      <c r="BB77" s="838"/>
      <c r="BC77" s="838"/>
      <c r="BD77" s="838"/>
      <c r="BE77" s="838"/>
      <c r="BF77" s="838"/>
      <c r="BG77" s="838"/>
      <c r="BH77" s="838"/>
      <c r="BI77" s="838"/>
      <c r="BJ77" s="1045"/>
      <c r="BK77" s="1045"/>
      <c r="BL77" s="1045"/>
      <c r="BM77" s="1045"/>
      <c r="BN77" s="1045"/>
      <c r="BO77" s="1045"/>
      <c r="BP77" s="1045"/>
      <c r="BQ77" s="838"/>
      <c r="BR77" s="838"/>
      <c r="BS77" s="1045"/>
      <c r="BT77" s="838"/>
      <c r="BU77" s="838"/>
      <c r="BV77" s="2172"/>
      <c r="BW77" s="2172"/>
      <c r="BX77" s="2172"/>
      <c r="BY77" s="2172"/>
      <c r="BZ77" s="838"/>
      <c r="CA77" s="838"/>
      <c r="CB77" s="2089"/>
      <c r="CC77" s="838"/>
      <c r="CD77" s="838"/>
      <c r="CE77" s="838"/>
      <c r="CF77" s="838"/>
      <c r="CG77" s="838"/>
      <c r="CH77" s="838"/>
      <c r="CI77" s="838"/>
      <c r="CJ77" s="838"/>
      <c r="CK77" s="838"/>
      <c r="CL77" s="838"/>
      <c r="CM77" s="838"/>
      <c r="CN77" s="838"/>
      <c r="CO77" s="2299" t="s">
        <v>4919</v>
      </c>
      <c r="CP77" s="838" t="s">
        <v>1991</v>
      </c>
      <c r="CQ77" s="839"/>
      <c r="CR77" s="840"/>
    </row>
    <row r="78" spans="2:105" ht="18" x14ac:dyDescent="0.35">
      <c r="B78" s="1089">
        <v>75</v>
      </c>
      <c r="C78" s="1079" t="s">
        <v>2942</v>
      </c>
      <c r="D78" s="837" t="s">
        <v>1695</v>
      </c>
      <c r="E78" s="838"/>
      <c r="F78" s="838"/>
      <c r="G78" s="838"/>
      <c r="H78" s="838"/>
      <c r="I78" s="838"/>
      <c r="J78" s="838"/>
      <c r="K78" s="2172"/>
      <c r="L78" s="838"/>
      <c r="M78" s="838"/>
      <c r="N78" s="838"/>
      <c r="O78" s="838"/>
      <c r="P78" s="838"/>
      <c r="Q78" s="838"/>
      <c r="R78" s="838"/>
      <c r="S78" s="838"/>
      <c r="T78" s="2301" t="s">
        <v>4906</v>
      </c>
      <c r="U78" s="2301" t="s">
        <v>4916</v>
      </c>
      <c r="V78" s="2301" t="s">
        <v>4907</v>
      </c>
      <c r="W78" s="2301" t="s">
        <v>4908</v>
      </c>
      <c r="X78" s="2301" t="s">
        <v>4909</v>
      </c>
      <c r="Y78" s="2301" t="s">
        <v>4910</v>
      </c>
      <c r="Z78" s="2301" t="s">
        <v>4911</v>
      </c>
      <c r="AA78" s="2301" t="s">
        <v>4912</v>
      </c>
      <c r="AB78" s="2301" t="s">
        <v>4913</v>
      </c>
      <c r="AC78" s="2301" t="s">
        <v>4914</v>
      </c>
      <c r="AD78" s="2302" t="s">
        <v>4922</v>
      </c>
      <c r="AE78" s="2302"/>
      <c r="AF78" s="2302">
        <v>-1</v>
      </c>
      <c r="AG78" s="2302"/>
      <c r="AH78" s="2302"/>
      <c r="AI78" s="2302"/>
      <c r="AJ78" s="2172"/>
      <c r="AK78" s="2302"/>
      <c r="AL78" s="2302" t="s">
        <v>4924</v>
      </c>
      <c r="AM78" s="838"/>
      <c r="AN78" s="838"/>
      <c r="AO78" s="838"/>
      <c r="AP78" s="2172"/>
      <c r="AQ78" s="838"/>
      <c r="AR78" s="838"/>
      <c r="AS78" s="838"/>
      <c r="AT78" s="838"/>
      <c r="AU78" s="2302" t="s">
        <v>4918</v>
      </c>
      <c r="AV78" s="838"/>
      <c r="AW78" s="838"/>
      <c r="AX78" s="838"/>
      <c r="AY78" s="838"/>
      <c r="AZ78" s="838"/>
      <c r="BA78" s="838"/>
      <c r="BB78" s="838"/>
      <c r="BC78" s="838"/>
      <c r="BD78" s="838"/>
      <c r="BE78" s="838"/>
      <c r="BF78" s="838"/>
      <c r="BG78" s="838"/>
      <c r="BH78" s="838"/>
      <c r="BI78" s="838"/>
      <c r="BJ78" s="1045"/>
      <c r="BK78" s="1045"/>
      <c r="BL78" s="1045"/>
      <c r="BM78" s="1045"/>
      <c r="BN78" s="1045"/>
      <c r="BO78" s="1045"/>
      <c r="BP78" s="1045"/>
      <c r="BQ78" s="838"/>
      <c r="BR78" s="838"/>
      <c r="BS78" s="1045"/>
      <c r="BT78" s="838"/>
      <c r="BU78" s="838"/>
      <c r="BV78" s="2172"/>
      <c r="BW78" s="2172"/>
      <c r="BX78" s="2172"/>
      <c r="BY78" s="2172"/>
      <c r="BZ78" s="838"/>
      <c r="CA78" s="838"/>
      <c r="CB78" s="2089"/>
      <c r="CC78" s="838"/>
      <c r="CD78" s="838"/>
      <c r="CE78" s="838"/>
      <c r="CF78" s="838"/>
      <c r="CG78" s="838"/>
      <c r="CH78" s="838"/>
      <c r="CI78" s="838"/>
      <c r="CJ78" s="838"/>
      <c r="CK78" s="838"/>
      <c r="CL78" s="838"/>
      <c r="CM78" s="838"/>
      <c r="CN78" s="838"/>
      <c r="CO78" s="2299" t="s">
        <v>4920</v>
      </c>
      <c r="CP78" s="838" t="s">
        <v>1991</v>
      </c>
      <c r="CQ78" s="839"/>
      <c r="CR78" s="840"/>
    </row>
    <row r="79" spans="2:105" ht="17.25" customHeight="1" x14ac:dyDescent="0.25">
      <c r="B79" s="2175">
        <v>76</v>
      </c>
      <c r="C79" s="2176" t="s">
        <v>2943</v>
      </c>
      <c r="D79" s="843" t="s">
        <v>2836</v>
      </c>
      <c r="E79" s="844"/>
      <c r="F79" s="844"/>
      <c r="G79" s="844"/>
      <c r="H79" s="844"/>
      <c r="I79" s="844"/>
      <c r="J79" s="844"/>
      <c r="K79" s="2258"/>
      <c r="L79" s="844"/>
      <c r="M79" s="844"/>
      <c r="N79" s="844"/>
      <c r="O79" s="844"/>
      <c r="P79" s="844"/>
      <c r="Q79" s="844"/>
      <c r="R79" s="844"/>
      <c r="S79" s="844"/>
      <c r="T79" s="845"/>
      <c r="U79" s="845"/>
      <c r="V79" s="844"/>
      <c r="W79" s="844"/>
      <c r="X79" s="844"/>
      <c r="Y79" s="844"/>
      <c r="Z79" s="844"/>
      <c r="AA79" s="844"/>
      <c r="AB79" s="844"/>
      <c r="AC79" s="2258"/>
      <c r="AD79" s="844"/>
      <c r="AE79" s="844"/>
      <c r="AF79" s="844"/>
      <c r="AG79" s="844"/>
      <c r="AH79" s="844"/>
      <c r="AI79" s="844"/>
      <c r="AJ79" s="2258"/>
      <c r="AK79" s="844"/>
      <c r="AL79" s="844"/>
      <c r="AM79" s="844"/>
      <c r="AN79" s="844"/>
      <c r="AO79" s="844"/>
      <c r="AP79" s="2258"/>
      <c r="AQ79" s="844"/>
      <c r="AR79" s="844"/>
      <c r="AS79" s="844"/>
      <c r="AT79" s="844"/>
      <c r="AU79" s="844"/>
      <c r="AV79" s="844"/>
      <c r="AW79" s="844"/>
      <c r="AX79" s="844"/>
      <c r="AY79" s="844"/>
      <c r="AZ79" s="844"/>
      <c r="BA79" s="844"/>
      <c r="BB79" s="844"/>
      <c r="BC79" s="846" t="s">
        <v>1353</v>
      </c>
      <c r="BD79" s="846" t="s">
        <v>1354</v>
      </c>
      <c r="BE79" s="844"/>
      <c r="BF79" s="846" t="s">
        <v>1357</v>
      </c>
      <c r="BG79" s="844"/>
      <c r="BH79" s="846" t="s">
        <v>1358</v>
      </c>
      <c r="BI79" s="844"/>
      <c r="BJ79" s="1369"/>
      <c r="BK79" s="1369"/>
      <c r="BL79" s="1369"/>
      <c r="BM79" s="1369"/>
      <c r="BN79" s="1369"/>
      <c r="BO79" s="1369"/>
      <c r="BP79" s="1369"/>
      <c r="BQ79" s="844"/>
      <c r="BR79" s="844"/>
      <c r="BS79" s="1369"/>
      <c r="BT79" s="845"/>
      <c r="BU79" s="844"/>
      <c r="BV79" s="2258"/>
      <c r="BW79" s="2258"/>
      <c r="BX79" s="2258"/>
      <c r="BY79" s="2258"/>
      <c r="BZ79" s="844"/>
      <c r="CA79" s="844"/>
      <c r="CB79" s="2090"/>
      <c r="CC79" s="845"/>
      <c r="CD79" s="845"/>
      <c r="CE79" s="845"/>
      <c r="CF79" s="845"/>
      <c r="CG79" s="845"/>
      <c r="CH79" s="845"/>
      <c r="CI79" s="845"/>
      <c r="CJ79" s="845"/>
      <c r="CK79" s="845"/>
      <c r="CL79" s="845"/>
      <c r="CM79" s="845"/>
      <c r="CN79" s="845"/>
      <c r="CO79" s="847" t="s">
        <v>3592</v>
      </c>
      <c r="CP79" s="844" t="s">
        <v>1991</v>
      </c>
      <c r="CQ79" s="848"/>
      <c r="CR79" s="849"/>
    </row>
    <row r="80" spans="2:105" ht="19.5" customHeight="1" x14ac:dyDescent="0.25">
      <c r="B80" s="2175">
        <v>77</v>
      </c>
      <c r="C80" s="2176" t="s">
        <v>2944</v>
      </c>
      <c r="D80" s="843" t="s">
        <v>2837</v>
      </c>
      <c r="E80" s="844"/>
      <c r="F80" s="844"/>
      <c r="G80" s="844"/>
      <c r="H80" s="844"/>
      <c r="I80" s="844"/>
      <c r="J80" s="844"/>
      <c r="K80" s="2258"/>
      <c r="L80" s="844"/>
      <c r="M80" s="844"/>
      <c r="N80" s="844"/>
      <c r="O80" s="844"/>
      <c r="P80" s="844"/>
      <c r="Q80" s="844"/>
      <c r="R80" s="844"/>
      <c r="S80" s="844"/>
      <c r="T80" s="845"/>
      <c r="U80" s="845"/>
      <c r="V80" s="844"/>
      <c r="W80" s="844"/>
      <c r="X80" s="844"/>
      <c r="Y80" s="844"/>
      <c r="Z80" s="844"/>
      <c r="AA80" s="844"/>
      <c r="AB80" s="844"/>
      <c r="AC80" s="2258"/>
      <c r="AD80" s="844"/>
      <c r="AE80" s="844"/>
      <c r="AF80" s="844"/>
      <c r="AG80" s="844"/>
      <c r="AH80" s="844"/>
      <c r="AI80" s="844"/>
      <c r="AJ80" s="2258"/>
      <c r="AK80" s="844"/>
      <c r="AL80" s="844"/>
      <c r="AM80" s="844"/>
      <c r="AN80" s="844"/>
      <c r="AO80" s="844"/>
      <c r="AP80" s="2258"/>
      <c r="AQ80" s="844"/>
      <c r="AR80" s="844"/>
      <c r="AS80" s="844"/>
      <c r="AT80" s="844"/>
      <c r="AU80" s="844"/>
      <c r="AV80" s="844"/>
      <c r="AW80" s="844"/>
      <c r="AX80" s="844"/>
      <c r="AY80" s="844"/>
      <c r="AZ80" s="844"/>
      <c r="BA80" s="844"/>
      <c r="BB80" s="844"/>
      <c r="BC80" s="844"/>
      <c r="BD80" s="846" t="s">
        <v>1355</v>
      </c>
      <c r="BE80" s="846" t="s">
        <v>1356</v>
      </c>
      <c r="BF80" s="846"/>
      <c r="BG80" s="846" t="s">
        <v>1359</v>
      </c>
      <c r="BH80" s="846"/>
      <c r="BI80" s="846" t="s">
        <v>1360</v>
      </c>
      <c r="BJ80" s="1405"/>
      <c r="BK80" s="1405"/>
      <c r="BL80" s="1405"/>
      <c r="BM80" s="1405"/>
      <c r="BN80" s="1405"/>
      <c r="BO80" s="1405"/>
      <c r="BP80" s="1405"/>
      <c r="BQ80" s="844"/>
      <c r="BR80" s="844"/>
      <c r="BS80" s="1369"/>
      <c r="BT80" s="845"/>
      <c r="BU80" s="844"/>
      <c r="BV80" s="2258"/>
      <c r="BW80" s="2258"/>
      <c r="BX80" s="2258"/>
      <c r="BY80" s="2258"/>
      <c r="BZ80" s="844"/>
      <c r="CA80" s="844"/>
      <c r="CB80" s="2090"/>
      <c r="CC80" s="845"/>
      <c r="CD80" s="845"/>
      <c r="CE80" s="845"/>
      <c r="CF80" s="845"/>
      <c r="CG80" s="845"/>
      <c r="CH80" s="845"/>
      <c r="CI80" s="845"/>
      <c r="CJ80" s="845"/>
      <c r="CK80" s="845"/>
      <c r="CL80" s="845"/>
      <c r="CM80" s="845"/>
      <c r="CN80" s="845"/>
      <c r="CO80" s="847" t="s">
        <v>3593</v>
      </c>
      <c r="CP80" s="844" t="s">
        <v>1991</v>
      </c>
      <c r="CQ80" s="848"/>
      <c r="CR80" s="849"/>
    </row>
    <row r="81" spans="2:96" ht="18" x14ac:dyDescent="0.25">
      <c r="B81" s="2175">
        <v>78</v>
      </c>
      <c r="C81" s="2176" t="s">
        <v>2945</v>
      </c>
      <c r="D81" s="843" t="s">
        <v>2838</v>
      </c>
      <c r="E81" s="844"/>
      <c r="F81" s="844"/>
      <c r="G81" s="844"/>
      <c r="H81" s="844"/>
      <c r="I81" s="844"/>
      <c r="J81" s="844"/>
      <c r="K81" s="2258"/>
      <c r="L81" s="844"/>
      <c r="M81" s="844"/>
      <c r="N81" s="844"/>
      <c r="O81" s="844"/>
      <c r="P81" s="844"/>
      <c r="Q81" s="844"/>
      <c r="R81" s="844"/>
      <c r="S81" s="844"/>
      <c r="T81" s="845"/>
      <c r="U81" s="845"/>
      <c r="V81" s="844"/>
      <c r="W81" s="844"/>
      <c r="X81" s="844"/>
      <c r="Y81" s="844"/>
      <c r="Z81" s="844"/>
      <c r="AA81" s="844"/>
      <c r="AB81" s="844"/>
      <c r="AC81" s="2258"/>
      <c r="AD81" s="844"/>
      <c r="AE81" s="844"/>
      <c r="AF81" s="844"/>
      <c r="AG81" s="844"/>
      <c r="AH81" s="844"/>
      <c r="AI81" s="844"/>
      <c r="AJ81" s="2258"/>
      <c r="AK81" s="844"/>
      <c r="AL81" s="844">
        <v>-1</v>
      </c>
      <c r="AM81" s="844"/>
      <c r="AN81" s="844"/>
      <c r="AO81" s="844"/>
      <c r="AP81" s="2258"/>
      <c r="AQ81" s="844"/>
      <c r="AR81" s="844"/>
      <c r="AS81" s="844"/>
      <c r="AT81" s="844"/>
      <c r="AU81" s="844"/>
      <c r="AV81" s="844"/>
      <c r="AW81" s="844"/>
      <c r="AX81" s="844"/>
      <c r="AY81" s="844"/>
      <c r="AZ81" s="844"/>
      <c r="BA81" s="844"/>
      <c r="BB81" s="844"/>
      <c r="BC81" s="845" t="s">
        <v>4371</v>
      </c>
      <c r="BD81" s="844"/>
      <c r="BE81" s="844"/>
      <c r="BF81" s="845" t="s">
        <v>4372</v>
      </c>
      <c r="BG81" s="844"/>
      <c r="BH81" s="845"/>
      <c r="BI81" s="845"/>
      <c r="BJ81" s="1370"/>
      <c r="BK81" s="1370"/>
      <c r="BL81" s="1370"/>
      <c r="BM81" s="1370"/>
      <c r="BN81" s="1370"/>
      <c r="BO81" s="1370"/>
      <c r="BP81" s="1370"/>
      <c r="BQ81" s="844"/>
      <c r="BR81" s="844"/>
      <c r="BS81" s="1369"/>
      <c r="BT81" s="845"/>
      <c r="BU81" s="844"/>
      <c r="BV81" s="2258"/>
      <c r="BW81" s="2258"/>
      <c r="BX81" s="2258"/>
      <c r="BY81" s="2258"/>
      <c r="BZ81" s="844"/>
      <c r="CA81" s="844"/>
      <c r="CB81" s="2090"/>
      <c r="CC81" s="845"/>
      <c r="CD81" s="845"/>
      <c r="CE81" s="845"/>
      <c r="CF81" s="845"/>
      <c r="CG81" s="845"/>
      <c r="CH81" s="845"/>
      <c r="CI81" s="845"/>
      <c r="CJ81" s="845"/>
      <c r="CK81" s="845"/>
      <c r="CL81" s="845"/>
      <c r="CM81" s="845"/>
      <c r="CN81" s="845"/>
      <c r="CO81" s="847" t="s">
        <v>4937</v>
      </c>
      <c r="CP81" s="844" t="s">
        <v>1991</v>
      </c>
      <c r="CQ81" s="848"/>
      <c r="CR81" s="849"/>
    </row>
    <row r="82" spans="2:96" ht="18" x14ac:dyDescent="0.25">
      <c r="B82" s="2175">
        <v>79</v>
      </c>
      <c r="C82" s="2176" t="s">
        <v>2946</v>
      </c>
      <c r="D82" s="843" t="s">
        <v>2839</v>
      </c>
      <c r="E82" s="844"/>
      <c r="F82" s="844"/>
      <c r="G82" s="844"/>
      <c r="H82" s="844"/>
      <c r="I82" s="844"/>
      <c r="J82" s="844"/>
      <c r="K82" s="2258"/>
      <c r="L82" s="844"/>
      <c r="M82" s="844"/>
      <c r="N82" s="844"/>
      <c r="O82" s="844"/>
      <c r="P82" s="844"/>
      <c r="Q82" s="844"/>
      <c r="R82" s="844"/>
      <c r="S82" s="844"/>
      <c r="T82" s="845"/>
      <c r="U82" s="845"/>
      <c r="V82" s="844"/>
      <c r="W82" s="844"/>
      <c r="X82" s="844"/>
      <c r="Y82" s="844"/>
      <c r="Z82" s="844"/>
      <c r="AA82" s="844"/>
      <c r="AB82" s="844"/>
      <c r="AC82" s="2258"/>
      <c r="AD82" s="844"/>
      <c r="AE82" s="844"/>
      <c r="AF82" s="844"/>
      <c r="AG82" s="844"/>
      <c r="AH82" s="844"/>
      <c r="AI82" s="844"/>
      <c r="AJ82" s="2258"/>
      <c r="AK82" s="844"/>
      <c r="AL82" s="844">
        <v>-1</v>
      </c>
      <c r="AM82" s="844"/>
      <c r="AN82" s="844"/>
      <c r="AO82" s="844"/>
      <c r="AP82" s="2258"/>
      <c r="AQ82" s="844"/>
      <c r="AR82" s="844"/>
      <c r="AS82" s="844"/>
      <c r="AT82" s="844"/>
      <c r="AU82" s="844"/>
      <c r="AV82" s="844"/>
      <c r="AW82" s="844"/>
      <c r="AX82" s="844"/>
      <c r="AY82" s="844"/>
      <c r="AZ82" s="844"/>
      <c r="BA82" s="844"/>
      <c r="BB82" s="844"/>
      <c r="BC82" s="844"/>
      <c r="BD82" s="845" t="s">
        <v>4366</v>
      </c>
      <c r="BE82" s="844"/>
      <c r="BF82" s="844"/>
      <c r="BG82" s="845" t="s">
        <v>4367</v>
      </c>
      <c r="BH82" s="844"/>
      <c r="BI82" s="844"/>
      <c r="BJ82" s="1369"/>
      <c r="BK82" s="1369"/>
      <c r="BL82" s="1369"/>
      <c r="BM82" s="1369"/>
      <c r="BN82" s="1369"/>
      <c r="BO82" s="1369"/>
      <c r="BP82" s="1369"/>
      <c r="BQ82" s="844"/>
      <c r="BR82" s="844"/>
      <c r="BS82" s="1369"/>
      <c r="BT82" s="845"/>
      <c r="BU82" s="844"/>
      <c r="BV82" s="2258"/>
      <c r="BW82" s="2258"/>
      <c r="BX82" s="2258"/>
      <c r="BY82" s="2258"/>
      <c r="BZ82" s="844"/>
      <c r="CA82" s="844"/>
      <c r="CB82" s="2090"/>
      <c r="CC82" s="845"/>
      <c r="CD82" s="845"/>
      <c r="CE82" s="845"/>
      <c r="CF82" s="845"/>
      <c r="CG82" s="845"/>
      <c r="CH82" s="845"/>
      <c r="CI82" s="845"/>
      <c r="CJ82" s="845"/>
      <c r="CK82" s="845"/>
      <c r="CL82" s="845"/>
      <c r="CM82" s="845"/>
      <c r="CN82" s="845"/>
      <c r="CO82" s="847" t="s">
        <v>4938</v>
      </c>
      <c r="CP82" s="844" t="s">
        <v>1991</v>
      </c>
      <c r="CQ82" s="848"/>
      <c r="CR82" s="849"/>
    </row>
    <row r="83" spans="2:96" ht="18" x14ac:dyDescent="0.35">
      <c r="B83" s="2175">
        <v>80</v>
      </c>
      <c r="C83" s="2176" t="s">
        <v>2947</v>
      </c>
      <c r="D83" s="1080" t="s">
        <v>3586</v>
      </c>
      <c r="E83" s="844"/>
      <c r="F83" s="844"/>
      <c r="G83" s="844"/>
      <c r="H83" s="844"/>
      <c r="I83" s="844"/>
      <c r="J83" s="844"/>
      <c r="K83" s="2258"/>
      <c r="L83" s="844"/>
      <c r="M83" s="844"/>
      <c r="N83" s="844"/>
      <c r="O83" s="844"/>
      <c r="P83" s="844"/>
      <c r="Q83" s="844"/>
      <c r="R83" s="844"/>
      <c r="S83" s="844"/>
      <c r="T83" s="845"/>
      <c r="U83" s="845"/>
      <c r="V83" s="844"/>
      <c r="W83" s="844"/>
      <c r="X83" s="844"/>
      <c r="Y83" s="844"/>
      <c r="Z83" s="844"/>
      <c r="AA83" s="844"/>
      <c r="AB83" s="844"/>
      <c r="AC83" s="2258"/>
      <c r="AD83" s="844"/>
      <c r="AE83" s="844"/>
      <c r="AF83" s="844"/>
      <c r="AG83" s="844"/>
      <c r="AH83" s="844"/>
      <c r="AI83" s="844"/>
      <c r="AJ83" s="2258"/>
      <c r="AK83" s="844"/>
      <c r="AL83" s="845" t="s">
        <v>4373</v>
      </c>
      <c r="AM83" s="844"/>
      <c r="AN83" s="844"/>
      <c r="AO83" s="844"/>
      <c r="AP83" s="2258"/>
      <c r="AQ83" s="844"/>
      <c r="AR83" s="844"/>
      <c r="AS83" s="844"/>
      <c r="AT83" s="844"/>
      <c r="AU83" s="844"/>
      <c r="AV83" s="844"/>
      <c r="AW83" s="844"/>
      <c r="AX83" s="844"/>
      <c r="AY83" s="844"/>
      <c r="AZ83" s="844"/>
      <c r="BA83" s="844"/>
      <c r="BB83" s="845"/>
      <c r="BC83" s="844">
        <v>1</v>
      </c>
      <c r="BD83" s="844"/>
      <c r="BE83" s="845"/>
      <c r="BF83" s="845">
        <v>-1</v>
      </c>
      <c r="BG83" s="844"/>
      <c r="BH83" s="845"/>
      <c r="BI83" s="845"/>
      <c r="BJ83" s="1370"/>
      <c r="BK83" s="1370"/>
      <c r="BL83" s="1370"/>
      <c r="BM83" s="1370"/>
      <c r="BN83" s="1370"/>
      <c r="BO83" s="1370"/>
      <c r="BP83" s="1370"/>
      <c r="BQ83" s="845"/>
      <c r="BR83" s="845"/>
      <c r="BS83" s="1370"/>
      <c r="BT83" s="845"/>
      <c r="BU83" s="845"/>
      <c r="BV83" s="2498"/>
      <c r="BW83" s="2498"/>
      <c r="BX83" s="2498"/>
      <c r="BY83" s="2498"/>
      <c r="BZ83" s="845"/>
      <c r="CA83" s="845"/>
      <c r="CB83" s="2091"/>
      <c r="CC83" s="845"/>
      <c r="CD83" s="845"/>
      <c r="CE83" s="845"/>
      <c r="CF83" s="845"/>
      <c r="CG83" s="845"/>
      <c r="CH83" s="845"/>
      <c r="CI83" s="845"/>
      <c r="CJ83" s="845"/>
      <c r="CK83" s="845"/>
      <c r="CL83" s="845"/>
      <c r="CM83" s="845"/>
      <c r="CN83" s="845"/>
      <c r="CO83" s="847" t="s">
        <v>4939</v>
      </c>
      <c r="CP83" s="844" t="s">
        <v>1991</v>
      </c>
      <c r="CQ83" s="848"/>
      <c r="CR83" s="849"/>
    </row>
    <row r="84" spans="2:96" ht="18" x14ac:dyDescent="0.35">
      <c r="B84" s="2175">
        <v>81</v>
      </c>
      <c r="C84" s="2176" t="s">
        <v>2948</v>
      </c>
      <c r="D84" s="1080" t="s">
        <v>3587</v>
      </c>
      <c r="E84" s="844"/>
      <c r="F84" s="844"/>
      <c r="G84" s="844"/>
      <c r="H84" s="844"/>
      <c r="I84" s="844"/>
      <c r="J84" s="844"/>
      <c r="K84" s="2258"/>
      <c r="L84" s="844"/>
      <c r="M84" s="844"/>
      <c r="N84" s="844"/>
      <c r="O84" s="844"/>
      <c r="P84" s="844"/>
      <c r="Q84" s="844"/>
      <c r="R84" s="844"/>
      <c r="S84" s="844"/>
      <c r="T84" s="845"/>
      <c r="U84" s="845"/>
      <c r="V84" s="844"/>
      <c r="W84" s="844"/>
      <c r="X84" s="844"/>
      <c r="Y84" s="844"/>
      <c r="Z84" s="844"/>
      <c r="AA84" s="844"/>
      <c r="AB84" s="844"/>
      <c r="AC84" s="2258"/>
      <c r="AD84" s="844"/>
      <c r="AE84" s="844"/>
      <c r="AF84" s="844"/>
      <c r="AG84" s="844"/>
      <c r="AH84" s="844"/>
      <c r="AI84" s="844"/>
      <c r="AJ84" s="2258"/>
      <c r="AK84" s="844"/>
      <c r="AL84" s="845" t="s">
        <v>4368</v>
      </c>
      <c r="AM84" s="844"/>
      <c r="AN84" s="844"/>
      <c r="AO84" s="844"/>
      <c r="AP84" s="2258"/>
      <c r="AQ84" s="844"/>
      <c r="AR84" s="844"/>
      <c r="AS84" s="844"/>
      <c r="AT84" s="844"/>
      <c r="AU84" s="844"/>
      <c r="AV84" s="844"/>
      <c r="AW84" s="844"/>
      <c r="AX84" s="844"/>
      <c r="AY84" s="844"/>
      <c r="AZ84" s="844"/>
      <c r="BA84" s="844"/>
      <c r="BB84" s="845"/>
      <c r="BC84" s="844"/>
      <c r="BD84" s="844">
        <v>1</v>
      </c>
      <c r="BE84" s="845"/>
      <c r="BF84" s="845"/>
      <c r="BG84" s="844">
        <v>-1</v>
      </c>
      <c r="BH84" s="845"/>
      <c r="BI84" s="845"/>
      <c r="BJ84" s="1370"/>
      <c r="BK84" s="1370"/>
      <c r="BL84" s="1370"/>
      <c r="BM84" s="1370"/>
      <c r="BN84" s="1370"/>
      <c r="BO84" s="1370"/>
      <c r="BP84" s="1370"/>
      <c r="BQ84" s="845"/>
      <c r="BR84" s="845"/>
      <c r="BS84" s="1370"/>
      <c r="BT84" s="845"/>
      <c r="BU84" s="845"/>
      <c r="BV84" s="2498"/>
      <c r="BW84" s="2498"/>
      <c r="BX84" s="2498"/>
      <c r="BY84" s="2498"/>
      <c r="BZ84" s="845"/>
      <c r="CA84" s="845"/>
      <c r="CB84" s="2091"/>
      <c r="CC84" s="845"/>
      <c r="CD84" s="845"/>
      <c r="CE84" s="845"/>
      <c r="CF84" s="845"/>
      <c r="CG84" s="845"/>
      <c r="CH84" s="845"/>
      <c r="CI84" s="845"/>
      <c r="CJ84" s="845"/>
      <c r="CK84" s="845"/>
      <c r="CL84" s="845"/>
      <c r="CM84" s="845"/>
      <c r="CN84" s="845"/>
      <c r="CO84" s="847" t="s">
        <v>4940</v>
      </c>
      <c r="CP84" s="844" t="s">
        <v>1991</v>
      </c>
      <c r="CQ84" s="848"/>
      <c r="CR84" s="849"/>
    </row>
    <row r="85" spans="2:96" ht="18" customHeight="1" x14ac:dyDescent="0.35">
      <c r="B85" s="2175">
        <v>82</v>
      </c>
      <c r="C85" s="2176" t="s">
        <v>2949</v>
      </c>
      <c r="D85" s="1080" t="s">
        <v>3588</v>
      </c>
      <c r="E85" s="844"/>
      <c r="F85" s="844"/>
      <c r="G85" s="844"/>
      <c r="H85" s="844"/>
      <c r="I85" s="844"/>
      <c r="J85" s="844"/>
      <c r="K85" s="2258"/>
      <c r="L85" s="844"/>
      <c r="M85" s="844"/>
      <c r="N85" s="844"/>
      <c r="O85" s="844"/>
      <c r="P85" s="844"/>
      <c r="Q85" s="844"/>
      <c r="R85" s="844"/>
      <c r="S85" s="844"/>
      <c r="T85" s="845"/>
      <c r="U85" s="845"/>
      <c r="V85" s="844"/>
      <c r="W85" s="844"/>
      <c r="X85" s="844"/>
      <c r="Y85" s="844"/>
      <c r="Z85" s="844"/>
      <c r="AA85" s="844"/>
      <c r="AB85" s="844"/>
      <c r="AC85" s="2258"/>
      <c r="AD85" s="844"/>
      <c r="AE85" s="844"/>
      <c r="AF85" s="844"/>
      <c r="AG85" s="844"/>
      <c r="AH85" s="844"/>
      <c r="AI85" s="844"/>
      <c r="AJ85" s="2258"/>
      <c r="AK85" s="844"/>
      <c r="AL85" s="845" t="s">
        <v>4374</v>
      </c>
      <c r="AM85" s="844"/>
      <c r="AN85" s="844"/>
      <c r="AO85" s="844"/>
      <c r="AP85" s="2258"/>
      <c r="AQ85" s="844"/>
      <c r="AR85" s="844"/>
      <c r="AS85" s="844"/>
      <c r="AT85" s="844"/>
      <c r="AU85" s="844"/>
      <c r="AV85" s="844"/>
      <c r="AW85" s="844"/>
      <c r="AX85" s="844"/>
      <c r="AY85" s="844"/>
      <c r="AZ85" s="844"/>
      <c r="BA85" s="844"/>
      <c r="BB85" s="845"/>
      <c r="BC85" s="844"/>
      <c r="BD85" s="844"/>
      <c r="BE85" s="845">
        <v>1</v>
      </c>
      <c r="BF85" s="845"/>
      <c r="BG85" s="844"/>
      <c r="BH85" s="846" t="s">
        <v>3589</v>
      </c>
      <c r="BI85" s="846" t="s">
        <v>3590</v>
      </c>
      <c r="BJ85" s="1405"/>
      <c r="BK85" s="1405"/>
      <c r="BL85" s="1405"/>
      <c r="BM85" s="1405"/>
      <c r="BN85" s="1405"/>
      <c r="BO85" s="1405"/>
      <c r="BP85" s="1405"/>
      <c r="BQ85" s="845"/>
      <c r="BR85" s="845"/>
      <c r="BS85" s="1370"/>
      <c r="BT85" s="845"/>
      <c r="BU85" s="845"/>
      <c r="BV85" s="2498"/>
      <c r="BW85" s="2498"/>
      <c r="BX85" s="2498"/>
      <c r="BY85" s="2498"/>
      <c r="BZ85" s="845"/>
      <c r="CA85" s="845"/>
      <c r="CB85" s="2091"/>
      <c r="CC85" s="845"/>
      <c r="CD85" s="845"/>
      <c r="CE85" s="845"/>
      <c r="CF85" s="845"/>
      <c r="CG85" s="845"/>
      <c r="CH85" s="845"/>
      <c r="CI85" s="845"/>
      <c r="CJ85" s="845"/>
      <c r="CK85" s="845"/>
      <c r="CL85" s="845"/>
      <c r="CM85" s="845"/>
      <c r="CN85" s="845"/>
      <c r="CO85" s="847" t="s">
        <v>4502</v>
      </c>
      <c r="CP85" s="844" t="s">
        <v>1991</v>
      </c>
      <c r="CQ85" s="848"/>
      <c r="CR85" s="849"/>
    </row>
    <row r="86" spans="2:96" ht="18.75" customHeight="1" x14ac:dyDescent="0.25">
      <c r="B86" s="2177">
        <v>83</v>
      </c>
      <c r="C86" s="2178" t="s">
        <v>2950</v>
      </c>
      <c r="D86" s="850" t="s">
        <v>1696</v>
      </c>
      <c r="E86" s="851" t="s">
        <v>3164</v>
      </c>
      <c r="F86" s="851"/>
      <c r="G86" s="851" t="s">
        <v>3165</v>
      </c>
      <c r="H86" s="852"/>
      <c r="I86" s="852"/>
      <c r="J86" s="852"/>
      <c r="K86" s="2259"/>
      <c r="L86" s="852"/>
      <c r="M86" s="852"/>
      <c r="N86" s="852"/>
      <c r="O86" s="852"/>
      <c r="P86" s="852"/>
      <c r="Q86" s="852"/>
      <c r="R86" s="852"/>
      <c r="S86" s="852"/>
      <c r="T86" s="851"/>
      <c r="U86" s="851"/>
      <c r="V86" s="852"/>
      <c r="W86" s="852"/>
      <c r="X86" s="852"/>
      <c r="Y86" s="852"/>
      <c r="Z86" s="852"/>
      <c r="AA86" s="852"/>
      <c r="AB86" s="852"/>
      <c r="AC86" s="2259"/>
      <c r="AD86" s="852"/>
      <c r="AE86" s="852"/>
      <c r="AF86" s="852"/>
      <c r="AG86" s="852"/>
      <c r="AH86" s="852"/>
      <c r="AI86" s="852"/>
      <c r="AJ86" s="2259"/>
      <c r="AK86" s="852"/>
      <c r="AL86" s="853" t="s">
        <v>4197</v>
      </c>
      <c r="AM86" s="852"/>
      <c r="AN86" s="852"/>
      <c r="AO86" s="852"/>
      <c r="AP86" s="2259"/>
      <c r="AQ86" s="852"/>
      <c r="AR86" s="852"/>
      <c r="AS86" s="852"/>
      <c r="AT86" s="852"/>
      <c r="AU86" s="852" t="s">
        <v>3166</v>
      </c>
      <c r="AV86" s="852"/>
      <c r="AW86" s="852"/>
      <c r="AX86" s="852"/>
      <c r="AY86" s="852"/>
      <c r="AZ86" s="852"/>
      <c r="BA86" s="852"/>
      <c r="BB86" s="851">
        <v>1</v>
      </c>
      <c r="BC86" s="853" t="s">
        <v>4189</v>
      </c>
      <c r="BD86" s="853" t="s">
        <v>4190</v>
      </c>
      <c r="BE86" s="853" t="s">
        <v>4191</v>
      </c>
      <c r="BF86" s="853" t="s">
        <v>4192</v>
      </c>
      <c r="BG86" s="853" t="s">
        <v>4193</v>
      </c>
      <c r="BH86" s="853" t="s">
        <v>4194</v>
      </c>
      <c r="BI86" s="853" t="s">
        <v>4195</v>
      </c>
      <c r="BJ86" s="1406"/>
      <c r="BK86" s="1406"/>
      <c r="BL86" s="1406"/>
      <c r="BM86" s="1406"/>
      <c r="BN86" s="1406"/>
      <c r="BO86" s="1406"/>
      <c r="BP86" s="1406"/>
      <c r="BQ86" s="851"/>
      <c r="BR86" s="851"/>
      <c r="BS86" s="1371"/>
      <c r="BT86" s="851"/>
      <c r="BU86" s="851"/>
      <c r="BV86" s="2499"/>
      <c r="BW86" s="2499"/>
      <c r="BX86" s="2499"/>
      <c r="BY86" s="2499"/>
      <c r="BZ86" s="851"/>
      <c r="CA86" s="851"/>
      <c r="CB86" s="2092"/>
      <c r="CC86" s="851"/>
      <c r="CD86" s="851"/>
      <c r="CE86" s="851"/>
      <c r="CF86" s="851"/>
      <c r="CG86" s="851"/>
      <c r="CH86" s="851"/>
      <c r="CI86" s="851"/>
      <c r="CJ86" s="851"/>
      <c r="CK86" s="851"/>
      <c r="CL86" s="851"/>
      <c r="CM86" s="851"/>
      <c r="CN86" s="851"/>
      <c r="CO86" s="854" t="s">
        <v>4196</v>
      </c>
      <c r="CP86" s="852" t="s">
        <v>1991</v>
      </c>
      <c r="CQ86" s="850"/>
      <c r="CR86" s="855"/>
    </row>
    <row r="87" spans="2:96" ht="18" x14ac:dyDescent="0.25">
      <c r="B87" s="2179">
        <v>84</v>
      </c>
      <c r="C87" s="2180" t="s">
        <v>2951</v>
      </c>
      <c r="D87" s="856" t="s">
        <v>1697</v>
      </c>
      <c r="E87" s="852"/>
      <c r="F87" s="852"/>
      <c r="G87" s="852"/>
      <c r="H87" s="852"/>
      <c r="I87" s="852"/>
      <c r="J87" s="852"/>
      <c r="K87" s="2259"/>
      <c r="L87" s="852"/>
      <c r="M87" s="852"/>
      <c r="N87" s="852"/>
      <c r="O87" s="852"/>
      <c r="P87" s="852"/>
      <c r="Q87" s="852"/>
      <c r="R87" s="852"/>
      <c r="S87" s="852"/>
      <c r="T87" s="851"/>
      <c r="U87" s="851"/>
      <c r="V87" s="852"/>
      <c r="W87" s="852"/>
      <c r="X87" s="852"/>
      <c r="Y87" s="852"/>
      <c r="Z87" s="852"/>
      <c r="AA87" s="852"/>
      <c r="AB87" s="852"/>
      <c r="AC87" s="2259"/>
      <c r="AD87" s="852"/>
      <c r="AE87" s="852"/>
      <c r="AF87" s="852"/>
      <c r="AG87" s="852"/>
      <c r="AH87" s="852"/>
      <c r="AI87" s="852"/>
      <c r="AJ87" s="2259"/>
      <c r="AK87" s="852"/>
      <c r="AL87" s="851"/>
      <c r="AM87" s="852"/>
      <c r="AN87" s="852"/>
      <c r="AO87" s="852"/>
      <c r="AP87" s="2259"/>
      <c r="AQ87" s="852"/>
      <c r="AR87" s="851" t="s">
        <v>1698</v>
      </c>
      <c r="AS87" s="852"/>
      <c r="AT87" s="852"/>
      <c r="AU87" s="851"/>
      <c r="AV87" s="852"/>
      <c r="AW87" s="852"/>
      <c r="AX87" s="852"/>
      <c r="AY87" s="852"/>
      <c r="AZ87" s="852"/>
      <c r="BA87" s="852"/>
      <c r="BB87" s="851" t="s">
        <v>1149</v>
      </c>
      <c r="BC87" s="852">
        <v>1</v>
      </c>
      <c r="BD87" s="852"/>
      <c r="BE87" s="852"/>
      <c r="BF87" s="851"/>
      <c r="BG87" s="852"/>
      <c r="BH87" s="851"/>
      <c r="BI87" s="851"/>
      <c r="BJ87" s="1371"/>
      <c r="BK87" s="1371"/>
      <c r="BL87" s="1371"/>
      <c r="BM87" s="1371"/>
      <c r="BN87" s="1371"/>
      <c r="BO87" s="1371"/>
      <c r="BP87" s="1371"/>
      <c r="BQ87" s="851"/>
      <c r="BR87" s="851"/>
      <c r="BS87" s="1371"/>
      <c r="BT87" s="851"/>
      <c r="BU87" s="851"/>
      <c r="BV87" s="2499"/>
      <c r="BW87" s="2499"/>
      <c r="BX87" s="2499"/>
      <c r="BY87" s="2499"/>
      <c r="BZ87" s="851"/>
      <c r="CA87" s="851"/>
      <c r="CB87" s="2092"/>
      <c r="CC87" s="851"/>
      <c r="CD87" s="851"/>
      <c r="CE87" s="851"/>
      <c r="CF87" s="851"/>
      <c r="CG87" s="851"/>
      <c r="CH87" s="851"/>
      <c r="CI87" s="851"/>
      <c r="CJ87" s="851"/>
      <c r="CK87" s="851"/>
      <c r="CL87" s="851"/>
      <c r="CM87" s="851"/>
      <c r="CN87" s="851"/>
      <c r="CO87" s="854" t="s">
        <v>3594</v>
      </c>
      <c r="CP87" s="852" t="s">
        <v>1991</v>
      </c>
      <c r="CQ87" s="850"/>
      <c r="CR87" s="855"/>
    </row>
    <row r="88" spans="2:96" ht="18" x14ac:dyDescent="0.25">
      <c r="B88" s="2181">
        <v>85</v>
      </c>
      <c r="C88" s="2182" t="s">
        <v>2952</v>
      </c>
      <c r="D88" s="1408" t="s">
        <v>4310</v>
      </c>
      <c r="E88" s="1045"/>
      <c r="F88" s="1045"/>
      <c r="G88" s="1045"/>
      <c r="H88" s="1045"/>
      <c r="I88" s="1045"/>
      <c r="J88" s="1045"/>
      <c r="K88" s="2172"/>
      <c r="L88" s="1045"/>
      <c r="M88" s="1045"/>
      <c r="N88" s="1045"/>
      <c r="O88" s="1045"/>
      <c r="P88" s="1045"/>
      <c r="Q88" s="1045"/>
      <c r="R88" s="1417"/>
      <c r="S88" s="1045"/>
      <c r="T88" s="1045"/>
      <c r="U88" s="1045"/>
      <c r="V88" s="1045"/>
      <c r="W88" s="1045"/>
      <c r="X88" s="1045"/>
      <c r="Y88" s="1045"/>
      <c r="Z88" s="1045"/>
      <c r="AA88" s="1045"/>
      <c r="AB88" s="1045"/>
      <c r="AC88" s="2172"/>
      <c r="AD88" s="1045"/>
      <c r="AE88" s="1410"/>
      <c r="AF88" s="1045"/>
      <c r="AG88" s="1045"/>
      <c r="AH88" s="1410"/>
      <c r="AI88" s="1045"/>
      <c r="AJ88" s="2172"/>
      <c r="AK88" s="1417"/>
      <c r="AL88" s="1410"/>
      <c r="AM88" s="1045"/>
      <c r="AN88" s="1417"/>
      <c r="AO88" s="1045"/>
      <c r="AP88" s="2172"/>
      <c r="AQ88" s="1045"/>
      <c r="AR88" s="1045"/>
      <c r="AS88" s="1045"/>
      <c r="AT88" s="1045"/>
      <c r="AU88" s="1045"/>
      <c r="AV88" s="1417"/>
      <c r="AW88" s="1045"/>
      <c r="AX88" s="1045"/>
      <c r="AY88" s="1045"/>
      <c r="AZ88" s="1417"/>
      <c r="BA88" s="1045"/>
      <c r="BB88" s="1417"/>
      <c r="BC88" s="1417"/>
      <c r="BD88" s="1418"/>
      <c r="BE88" s="1418"/>
      <c r="BF88" s="1045"/>
      <c r="BG88" s="1418"/>
      <c r="BH88" s="1418"/>
      <c r="BI88" s="1045"/>
      <c r="BJ88" s="1419" t="s">
        <v>4311</v>
      </c>
      <c r="BK88" s="1419" t="s">
        <v>4312</v>
      </c>
      <c r="BL88" s="1045"/>
      <c r="BM88" s="1419" t="s">
        <v>4313</v>
      </c>
      <c r="BN88" s="1045"/>
      <c r="BO88" s="1419" t="s">
        <v>4314</v>
      </c>
      <c r="BP88" s="1045"/>
      <c r="BQ88" s="1417"/>
      <c r="BR88" s="1417"/>
      <c r="BS88" s="1417"/>
      <c r="BT88" s="1417"/>
      <c r="BU88" s="1417"/>
      <c r="BV88" s="2193"/>
      <c r="BW88" s="2193"/>
      <c r="BX88" s="2193"/>
      <c r="BY88" s="2193"/>
      <c r="BZ88" s="1417"/>
      <c r="CA88" s="1417"/>
      <c r="CB88" s="2093"/>
      <c r="CC88" s="1417"/>
      <c r="CD88" s="1417"/>
      <c r="CE88" s="1417"/>
      <c r="CF88" s="1417"/>
      <c r="CG88" s="1417"/>
      <c r="CH88" s="1417"/>
      <c r="CI88" s="1417"/>
      <c r="CJ88" s="1417"/>
      <c r="CK88" s="1417"/>
      <c r="CL88" s="1417"/>
      <c r="CM88" s="1417"/>
      <c r="CN88" s="1417"/>
      <c r="CO88" s="1409" t="s">
        <v>4315</v>
      </c>
      <c r="CP88" s="1411" t="s">
        <v>1991</v>
      </c>
      <c r="CQ88" s="1408"/>
      <c r="CR88" s="840"/>
    </row>
    <row r="89" spans="2:96" ht="18" x14ac:dyDescent="0.25">
      <c r="B89" s="2181">
        <v>86</v>
      </c>
      <c r="C89" s="2182" t="s">
        <v>3060</v>
      </c>
      <c r="D89" s="1408" t="s">
        <v>4316</v>
      </c>
      <c r="E89" s="1045"/>
      <c r="F89" s="1045"/>
      <c r="G89" s="1045"/>
      <c r="H89" s="1045"/>
      <c r="I89" s="1045"/>
      <c r="J89" s="1045"/>
      <c r="K89" s="2172"/>
      <c r="L89" s="1045"/>
      <c r="M89" s="1045"/>
      <c r="N89" s="1045"/>
      <c r="O89" s="1045"/>
      <c r="P89" s="1045"/>
      <c r="Q89" s="1045"/>
      <c r="R89" s="1417"/>
      <c r="S89" s="1045"/>
      <c r="T89" s="1045"/>
      <c r="U89" s="1045"/>
      <c r="V89" s="1045"/>
      <c r="W89" s="1045"/>
      <c r="X89" s="1045"/>
      <c r="Y89" s="1045"/>
      <c r="Z89" s="1045"/>
      <c r="AA89" s="1045"/>
      <c r="AB89" s="1045"/>
      <c r="AC89" s="2172"/>
      <c r="AD89" s="1045"/>
      <c r="AE89" s="1410"/>
      <c r="AF89" s="1045"/>
      <c r="AG89" s="1045"/>
      <c r="AH89" s="1410"/>
      <c r="AI89" s="1045"/>
      <c r="AJ89" s="2172"/>
      <c r="AK89" s="1417"/>
      <c r="AL89" s="1410"/>
      <c r="AM89" s="1045"/>
      <c r="AN89" s="1417"/>
      <c r="AO89" s="1045"/>
      <c r="AP89" s="2172"/>
      <c r="AQ89" s="1045"/>
      <c r="AR89" s="1045"/>
      <c r="AS89" s="1045"/>
      <c r="AT89" s="1045"/>
      <c r="AU89" s="1045"/>
      <c r="AV89" s="1417"/>
      <c r="AW89" s="1045"/>
      <c r="AX89" s="1045"/>
      <c r="AY89" s="1045"/>
      <c r="AZ89" s="1417"/>
      <c r="BA89" s="1045"/>
      <c r="BB89" s="1417"/>
      <c r="BC89" s="1417"/>
      <c r="BD89" s="1045"/>
      <c r="BE89" s="1418"/>
      <c r="BF89" s="1418"/>
      <c r="BG89" s="1045"/>
      <c r="BH89" s="1418"/>
      <c r="BI89" s="1418"/>
      <c r="BJ89" s="1045"/>
      <c r="BK89" s="1419" t="s">
        <v>4317</v>
      </c>
      <c r="BL89" s="1419" t="s">
        <v>4318</v>
      </c>
      <c r="BM89" s="1419"/>
      <c r="BN89" s="1419" t="s">
        <v>4319</v>
      </c>
      <c r="BO89" s="1419"/>
      <c r="BP89" s="1419" t="s">
        <v>4320</v>
      </c>
      <c r="BQ89" s="1417"/>
      <c r="BR89" s="1417"/>
      <c r="BS89" s="1417"/>
      <c r="BT89" s="1417"/>
      <c r="BU89" s="1417"/>
      <c r="BV89" s="2193"/>
      <c r="BW89" s="2193"/>
      <c r="BX89" s="2193"/>
      <c r="BY89" s="2193"/>
      <c r="BZ89" s="1417"/>
      <c r="CA89" s="1417"/>
      <c r="CB89" s="2093"/>
      <c r="CC89" s="1417"/>
      <c r="CD89" s="1417"/>
      <c r="CE89" s="1417"/>
      <c r="CF89" s="1417"/>
      <c r="CG89" s="1417"/>
      <c r="CH89" s="1417"/>
      <c r="CI89" s="1417"/>
      <c r="CJ89" s="1417"/>
      <c r="CK89" s="1417"/>
      <c r="CL89" s="1417"/>
      <c r="CM89" s="1417"/>
      <c r="CN89" s="1417"/>
      <c r="CO89" s="1409" t="s">
        <v>4321</v>
      </c>
      <c r="CP89" s="1411" t="s">
        <v>1991</v>
      </c>
      <c r="CQ89" s="1408"/>
      <c r="CR89" s="840"/>
    </row>
    <row r="90" spans="2:96" ht="18" x14ac:dyDescent="0.25">
      <c r="B90" s="2181">
        <v>87</v>
      </c>
      <c r="C90" s="2182" t="s">
        <v>3061</v>
      </c>
      <c r="D90" s="1408" t="s">
        <v>4322</v>
      </c>
      <c r="E90" s="1045"/>
      <c r="F90" s="1045"/>
      <c r="G90" s="1045"/>
      <c r="H90" s="1045"/>
      <c r="I90" s="1045"/>
      <c r="J90" s="1045"/>
      <c r="K90" s="2172"/>
      <c r="L90" s="1045"/>
      <c r="M90" s="1045"/>
      <c r="N90" s="1045"/>
      <c r="O90" s="1045"/>
      <c r="P90" s="1045"/>
      <c r="Q90" s="1045"/>
      <c r="R90" s="1417"/>
      <c r="S90" s="1045"/>
      <c r="T90" s="1045"/>
      <c r="U90" s="1045"/>
      <c r="V90" s="1045"/>
      <c r="W90" s="1045"/>
      <c r="X90" s="1045"/>
      <c r="Y90" s="1045"/>
      <c r="Z90" s="1045"/>
      <c r="AA90" s="1045"/>
      <c r="AB90" s="1045"/>
      <c r="AC90" s="2172"/>
      <c r="AD90" s="1045"/>
      <c r="AE90" s="1410"/>
      <c r="AF90" s="1045"/>
      <c r="AG90" s="1045"/>
      <c r="AH90" s="1410"/>
      <c r="AI90" s="1045"/>
      <c r="AJ90" s="2172"/>
      <c r="AK90" s="1417"/>
      <c r="AL90" s="1410">
        <v>-1</v>
      </c>
      <c r="AM90" s="1045"/>
      <c r="AN90" s="1417"/>
      <c r="AO90" s="1045"/>
      <c r="AP90" s="2172"/>
      <c r="AQ90" s="1045"/>
      <c r="AR90" s="1045"/>
      <c r="AS90" s="1045"/>
      <c r="AT90" s="1045"/>
      <c r="AU90" s="1045"/>
      <c r="AV90" s="1417"/>
      <c r="AW90" s="1045"/>
      <c r="AX90" s="1045"/>
      <c r="AY90" s="1045"/>
      <c r="AZ90" s="1417"/>
      <c r="BA90" s="1045"/>
      <c r="BB90" s="1417"/>
      <c r="BC90" s="1417"/>
      <c r="BD90" s="1417"/>
      <c r="BE90" s="1045"/>
      <c r="BF90" s="1045"/>
      <c r="BG90" s="1417"/>
      <c r="BH90" s="1045"/>
      <c r="BI90" s="1045"/>
      <c r="BJ90" s="1417" t="s">
        <v>4323</v>
      </c>
      <c r="BK90" s="1045"/>
      <c r="BL90" s="1045"/>
      <c r="BM90" s="1417" t="s">
        <v>4324</v>
      </c>
      <c r="BN90" s="1045"/>
      <c r="BO90" s="1417"/>
      <c r="BP90" s="1417"/>
      <c r="BQ90" s="1417"/>
      <c r="BR90" s="1417"/>
      <c r="BS90" s="1417"/>
      <c r="BT90" s="1417"/>
      <c r="BU90" s="1417"/>
      <c r="BV90" s="2193"/>
      <c r="BW90" s="2193"/>
      <c r="BX90" s="2193"/>
      <c r="BY90" s="2193"/>
      <c r="BZ90" s="1417"/>
      <c r="CA90" s="1417"/>
      <c r="CB90" s="2093"/>
      <c r="CC90" s="1417"/>
      <c r="CD90" s="1417"/>
      <c r="CE90" s="1417"/>
      <c r="CF90" s="1417"/>
      <c r="CG90" s="1417"/>
      <c r="CH90" s="1417"/>
      <c r="CI90" s="1417"/>
      <c r="CJ90" s="1417"/>
      <c r="CK90" s="1417"/>
      <c r="CL90" s="1417"/>
      <c r="CM90" s="1417"/>
      <c r="CN90" s="1417"/>
      <c r="CO90" s="1409" t="s">
        <v>4325</v>
      </c>
      <c r="CP90" s="1411" t="s">
        <v>1991</v>
      </c>
      <c r="CQ90" s="1408"/>
      <c r="CR90" s="840"/>
    </row>
    <row r="91" spans="2:96" ht="18" x14ac:dyDescent="0.25">
      <c r="B91" s="2181">
        <v>88</v>
      </c>
      <c r="C91" s="2182" t="s">
        <v>3062</v>
      </c>
      <c r="D91" s="1408" t="s">
        <v>4326</v>
      </c>
      <c r="E91" s="1045"/>
      <c r="F91" s="1045"/>
      <c r="G91" s="1045"/>
      <c r="H91" s="1045"/>
      <c r="I91" s="1045"/>
      <c r="J91" s="1045"/>
      <c r="K91" s="2172"/>
      <c r="L91" s="1045"/>
      <c r="M91" s="1045"/>
      <c r="N91" s="1045"/>
      <c r="O91" s="1045"/>
      <c r="P91" s="1045"/>
      <c r="Q91" s="1045"/>
      <c r="R91" s="1417"/>
      <c r="S91" s="1045"/>
      <c r="T91" s="1045"/>
      <c r="U91" s="1045"/>
      <c r="V91" s="1045"/>
      <c r="W91" s="1045"/>
      <c r="X91" s="1045"/>
      <c r="Y91" s="1045"/>
      <c r="Z91" s="1045"/>
      <c r="AA91" s="1045"/>
      <c r="AB91" s="1045"/>
      <c r="AC91" s="2172"/>
      <c r="AD91" s="1045"/>
      <c r="AE91" s="1410"/>
      <c r="AF91" s="1045"/>
      <c r="AG91" s="1045"/>
      <c r="AH91" s="1410"/>
      <c r="AI91" s="1045"/>
      <c r="AJ91" s="2172"/>
      <c r="AK91" s="1417"/>
      <c r="AL91" s="1410">
        <v>-1</v>
      </c>
      <c r="AM91" s="1045"/>
      <c r="AN91" s="1417"/>
      <c r="AO91" s="1045"/>
      <c r="AP91" s="2172"/>
      <c r="AQ91" s="1045"/>
      <c r="AR91" s="1045"/>
      <c r="AS91" s="1045"/>
      <c r="AT91" s="1045"/>
      <c r="AU91" s="1045"/>
      <c r="AV91" s="1417"/>
      <c r="AW91" s="1045"/>
      <c r="AX91" s="1045"/>
      <c r="AY91" s="1045"/>
      <c r="AZ91" s="1417"/>
      <c r="BA91" s="1045"/>
      <c r="BB91" s="1417"/>
      <c r="BC91" s="1417"/>
      <c r="BD91" s="1045"/>
      <c r="BE91" s="1417"/>
      <c r="BF91" s="1045"/>
      <c r="BG91" s="1045"/>
      <c r="BH91" s="1417"/>
      <c r="BI91" s="1045"/>
      <c r="BJ91" s="1045"/>
      <c r="BK91" s="1417" t="s">
        <v>4327</v>
      </c>
      <c r="BL91" s="1045"/>
      <c r="BM91" s="1045"/>
      <c r="BN91" s="1417" t="s">
        <v>4328</v>
      </c>
      <c r="BO91" s="1045"/>
      <c r="BP91" s="1045"/>
      <c r="BQ91" s="1417"/>
      <c r="BR91" s="1417"/>
      <c r="BS91" s="1417"/>
      <c r="BT91" s="1417"/>
      <c r="BU91" s="1417"/>
      <c r="BV91" s="2193"/>
      <c r="BW91" s="2193"/>
      <c r="BX91" s="2193"/>
      <c r="BY91" s="2193"/>
      <c r="BZ91" s="1417"/>
      <c r="CA91" s="1417"/>
      <c r="CB91" s="2093"/>
      <c r="CC91" s="1417"/>
      <c r="CD91" s="1417"/>
      <c r="CE91" s="1417"/>
      <c r="CF91" s="1417"/>
      <c r="CG91" s="1417"/>
      <c r="CH91" s="1417"/>
      <c r="CI91" s="1417"/>
      <c r="CJ91" s="1417"/>
      <c r="CK91" s="1417"/>
      <c r="CL91" s="1417"/>
      <c r="CM91" s="1417"/>
      <c r="CN91" s="1417"/>
      <c r="CO91" s="1409" t="s">
        <v>4329</v>
      </c>
      <c r="CP91" s="1411" t="s">
        <v>1991</v>
      </c>
      <c r="CQ91" s="1408"/>
      <c r="CR91" s="840"/>
    </row>
    <row r="92" spans="2:96" ht="18" x14ac:dyDescent="0.25">
      <c r="B92" s="2181">
        <v>89</v>
      </c>
      <c r="C92" s="2182" t="s">
        <v>3063</v>
      </c>
      <c r="D92" s="1408" t="s">
        <v>4330</v>
      </c>
      <c r="E92" s="1045"/>
      <c r="F92" s="1045"/>
      <c r="G92" s="1045"/>
      <c r="H92" s="1045"/>
      <c r="I92" s="1045"/>
      <c r="J92" s="1045"/>
      <c r="K92" s="2172"/>
      <c r="L92" s="1045"/>
      <c r="M92" s="1045"/>
      <c r="N92" s="1045"/>
      <c r="O92" s="1045"/>
      <c r="P92" s="1045"/>
      <c r="Q92" s="1045"/>
      <c r="R92" s="1417"/>
      <c r="S92" s="1045"/>
      <c r="T92" s="1045"/>
      <c r="U92" s="1045"/>
      <c r="V92" s="1045"/>
      <c r="W92" s="1045"/>
      <c r="X92" s="1045"/>
      <c r="Y92" s="1045"/>
      <c r="Z92" s="1045"/>
      <c r="AA92" s="1045"/>
      <c r="AB92" s="1045"/>
      <c r="AC92" s="2172"/>
      <c r="AD92" s="1045"/>
      <c r="AE92" s="1417"/>
      <c r="AF92" s="1045"/>
      <c r="AG92" s="1045"/>
      <c r="AH92" s="1417"/>
      <c r="AI92" s="1045"/>
      <c r="AJ92" s="2172"/>
      <c r="AK92" s="1417"/>
      <c r="AL92" s="1417" t="s">
        <v>4331</v>
      </c>
      <c r="AM92" s="1045"/>
      <c r="AN92" s="1417"/>
      <c r="AO92" s="1045"/>
      <c r="AP92" s="2172"/>
      <c r="AQ92" s="1045"/>
      <c r="AR92" s="1045"/>
      <c r="AS92" s="1045"/>
      <c r="AT92" s="1045"/>
      <c r="AU92" s="1045"/>
      <c r="AV92" s="1417"/>
      <c r="AW92" s="1045"/>
      <c r="AX92" s="1045"/>
      <c r="AY92" s="1045"/>
      <c r="AZ92" s="1417"/>
      <c r="BA92" s="1045"/>
      <c r="BB92" s="1417"/>
      <c r="BC92" s="1417"/>
      <c r="BD92" s="1411"/>
      <c r="BE92" s="1411"/>
      <c r="BF92" s="1411"/>
      <c r="BG92" s="1411"/>
      <c r="BH92" s="1411"/>
      <c r="BI92" s="1411"/>
      <c r="BJ92" s="1411">
        <v>1</v>
      </c>
      <c r="BK92" s="1411"/>
      <c r="BL92" s="1411"/>
      <c r="BM92" s="1411">
        <v>-1</v>
      </c>
      <c r="BN92" s="1411"/>
      <c r="BO92" s="1411"/>
      <c r="BP92" s="1411"/>
      <c r="BQ92" s="1417"/>
      <c r="BR92" s="1417"/>
      <c r="BS92" s="1417"/>
      <c r="BT92" s="1417"/>
      <c r="BU92" s="1417"/>
      <c r="BV92" s="2193"/>
      <c r="BW92" s="2193"/>
      <c r="BX92" s="2193"/>
      <c r="BY92" s="2193"/>
      <c r="BZ92" s="1417"/>
      <c r="CA92" s="1417"/>
      <c r="CB92" s="2093"/>
      <c r="CC92" s="1417"/>
      <c r="CD92" s="1417"/>
      <c r="CE92" s="1417"/>
      <c r="CF92" s="1417"/>
      <c r="CG92" s="1417"/>
      <c r="CH92" s="1417"/>
      <c r="CI92" s="1417"/>
      <c r="CJ92" s="1417"/>
      <c r="CK92" s="1417"/>
      <c r="CL92" s="1417"/>
      <c r="CM92" s="1417"/>
      <c r="CN92" s="1417"/>
      <c r="CO92" s="1409" t="s">
        <v>4332</v>
      </c>
      <c r="CP92" s="1411" t="s">
        <v>1991</v>
      </c>
      <c r="CQ92" s="1408"/>
      <c r="CR92" s="840"/>
    </row>
    <row r="93" spans="2:96" ht="18" x14ac:dyDescent="0.25">
      <c r="B93" s="2181">
        <v>90</v>
      </c>
      <c r="C93" s="2182" t="s">
        <v>3174</v>
      </c>
      <c r="D93" s="1408" t="s">
        <v>4333</v>
      </c>
      <c r="E93" s="1045"/>
      <c r="F93" s="1045"/>
      <c r="G93" s="1045"/>
      <c r="H93" s="1045"/>
      <c r="I93" s="1045"/>
      <c r="J93" s="1045"/>
      <c r="K93" s="2172"/>
      <c r="L93" s="1045"/>
      <c r="M93" s="1045"/>
      <c r="N93" s="1045"/>
      <c r="O93" s="1045"/>
      <c r="P93" s="1045"/>
      <c r="Q93" s="1045"/>
      <c r="R93" s="1417"/>
      <c r="S93" s="1045"/>
      <c r="T93" s="1045"/>
      <c r="U93" s="1045"/>
      <c r="V93" s="1045"/>
      <c r="W93" s="1045"/>
      <c r="X93" s="1045"/>
      <c r="Y93" s="1045"/>
      <c r="Z93" s="1045"/>
      <c r="AA93" s="1045"/>
      <c r="AB93" s="1045"/>
      <c r="AC93" s="2172"/>
      <c r="AD93" s="1045"/>
      <c r="AE93" s="1417"/>
      <c r="AF93" s="1045"/>
      <c r="AG93" s="1045"/>
      <c r="AH93" s="1417"/>
      <c r="AI93" s="1045"/>
      <c r="AJ93" s="2172"/>
      <c r="AK93" s="1417"/>
      <c r="AL93" s="1417" t="s">
        <v>4334</v>
      </c>
      <c r="AM93" s="1045"/>
      <c r="AN93" s="1417"/>
      <c r="AO93" s="1045"/>
      <c r="AP93" s="2172"/>
      <c r="AQ93" s="1045"/>
      <c r="AR93" s="1045"/>
      <c r="AS93" s="1045"/>
      <c r="AT93" s="1045"/>
      <c r="AU93" s="1045"/>
      <c r="AV93" s="1417"/>
      <c r="AW93" s="1045"/>
      <c r="AX93" s="1045"/>
      <c r="AY93" s="1045"/>
      <c r="AZ93" s="1417"/>
      <c r="BA93" s="1045"/>
      <c r="BB93" s="1417"/>
      <c r="BC93" s="1417"/>
      <c r="BD93" s="1411"/>
      <c r="BE93" s="1411"/>
      <c r="BF93" s="1411"/>
      <c r="BG93" s="1411"/>
      <c r="BH93" s="1411"/>
      <c r="BI93" s="1411"/>
      <c r="BJ93" s="1411"/>
      <c r="BK93" s="1411">
        <v>1</v>
      </c>
      <c r="BL93" s="1411"/>
      <c r="BM93" s="1411"/>
      <c r="BN93" s="1411">
        <v>-1</v>
      </c>
      <c r="BO93" s="1411"/>
      <c r="BP93" s="1411"/>
      <c r="BQ93" s="1417"/>
      <c r="BR93" s="1417"/>
      <c r="BS93" s="1417"/>
      <c r="BT93" s="1417"/>
      <c r="BU93" s="1417"/>
      <c r="BV93" s="2193"/>
      <c r="BW93" s="2193"/>
      <c r="BX93" s="2193"/>
      <c r="BY93" s="2193"/>
      <c r="BZ93" s="1417"/>
      <c r="CA93" s="1417"/>
      <c r="CB93" s="2093"/>
      <c r="CC93" s="1417"/>
      <c r="CD93" s="1417"/>
      <c r="CE93" s="1417"/>
      <c r="CF93" s="1417"/>
      <c r="CG93" s="1417"/>
      <c r="CH93" s="1417"/>
      <c r="CI93" s="1417"/>
      <c r="CJ93" s="1417"/>
      <c r="CK93" s="1417"/>
      <c r="CL93" s="1417"/>
      <c r="CM93" s="1417"/>
      <c r="CN93" s="1417"/>
      <c r="CO93" s="1409" t="s">
        <v>4335</v>
      </c>
      <c r="CP93" s="1411" t="s">
        <v>1991</v>
      </c>
      <c r="CQ93" s="1408"/>
      <c r="CR93" s="840"/>
    </row>
    <row r="94" spans="2:96" ht="18" x14ac:dyDescent="0.25">
      <c r="B94" s="2181">
        <v>91</v>
      </c>
      <c r="C94" s="2182" t="s">
        <v>3254</v>
      </c>
      <c r="D94" s="1408" t="s">
        <v>4336</v>
      </c>
      <c r="E94" s="1045"/>
      <c r="F94" s="1045"/>
      <c r="G94" s="1045"/>
      <c r="H94" s="1045"/>
      <c r="I94" s="1045"/>
      <c r="J94" s="1045"/>
      <c r="K94" s="2172"/>
      <c r="L94" s="1045"/>
      <c r="M94" s="1045"/>
      <c r="N94" s="1045"/>
      <c r="O94" s="1045"/>
      <c r="P94" s="1045"/>
      <c r="Q94" s="1045"/>
      <c r="R94" s="1417"/>
      <c r="S94" s="1045"/>
      <c r="T94" s="1045"/>
      <c r="U94" s="1045"/>
      <c r="V94" s="1045"/>
      <c r="W94" s="1045"/>
      <c r="X94" s="1045"/>
      <c r="Y94" s="1045"/>
      <c r="Z94" s="1045"/>
      <c r="AA94" s="1045"/>
      <c r="AB94" s="1045"/>
      <c r="AC94" s="2172"/>
      <c r="AD94" s="1045"/>
      <c r="AE94" s="1417"/>
      <c r="AF94" s="1045"/>
      <c r="AG94" s="1045"/>
      <c r="AH94" s="1417"/>
      <c r="AI94" s="1045"/>
      <c r="AJ94" s="2172"/>
      <c r="AK94" s="1417"/>
      <c r="AL94" s="1417" t="s">
        <v>4337</v>
      </c>
      <c r="AM94" s="1045"/>
      <c r="AN94" s="1417"/>
      <c r="AO94" s="1045"/>
      <c r="AP94" s="2172"/>
      <c r="AQ94" s="1045"/>
      <c r="AR94" s="1045"/>
      <c r="AS94" s="1045"/>
      <c r="AT94" s="1045"/>
      <c r="AU94" s="1045"/>
      <c r="AV94" s="1417"/>
      <c r="AW94" s="1045"/>
      <c r="AX94" s="1045"/>
      <c r="AY94" s="1045"/>
      <c r="AZ94" s="1417"/>
      <c r="BA94" s="1045"/>
      <c r="BB94" s="1417"/>
      <c r="BC94" s="1417"/>
      <c r="BD94" s="1411"/>
      <c r="BE94" s="1411"/>
      <c r="BF94" s="1411"/>
      <c r="BG94" s="1411"/>
      <c r="BH94" s="1411"/>
      <c r="BI94" s="1411"/>
      <c r="BJ94" s="1411"/>
      <c r="BK94" s="1411"/>
      <c r="BL94" s="1411">
        <v>1</v>
      </c>
      <c r="BM94" s="1411"/>
      <c r="BN94" s="1411"/>
      <c r="BO94" s="1419" t="s">
        <v>4338</v>
      </c>
      <c r="BP94" s="1419" t="s">
        <v>4339</v>
      </c>
      <c r="BQ94" s="1417"/>
      <c r="BR94" s="1417"/>
      <c r="BS94" s="1417"/>
      <c r="BT94" s="1417"/>
      <c r="BU94" s="1417"/>
      <c r="BV94" s="2193"/>
      <c r="BW94" s="2193"/>
      <c r="BX94" s="2193"/>
      <c r="BY94" s="2193"/>
      <c r="BZ94" s="1417"/>
      <c r="CA94" s="1417"/>
      <c r="CB94" s="2093"/>
      <c r="CC94" s="1417"/>
      <c r="CD94" s="1417"/>
      <c r="CE94" s="1417"/>
      <c r="CF94" s="1417"/>
      <c r="CG94" s="1417"/>
      <c r="CH94" s="1417"/>
      <c r="CI94" s="1417"/>
      <c r="CJ94" s="1417"/>
      <c r="CK94" s="1417"/>
      <c r="CL94" s="1417"/>
      <c r="CM94" s="1417"/>
      <c r="CN94" s="1417"/>
      <c r="CO94" s="1409" t="s">
        <v>4340</v>
      </c>
      <c r="CP94" s="1411" t="s">
        <v>1991</v>
      </c>
      <c r="CQ94" s="1408"/>
      <c r="CR94" s="840"/>
    </row>
    <row r="95" spans="2:96" ht="18" x14ac:dyDescent="0.25">
      <c r="B95" s="2183">
        <v>92</v>
      </c>
      <c r="C95" s="2184" t="s">
        <v>3483</v>
      </c>
      <c r="D95" s="857" t="s">
        <v>1128</v>
      </c>
      <c r="E95" s="858"/>
      <c r="F95" s="858"/>
      <c r="G95" s="858"/>
      <c r="H95" s="858"/>
      <c r="I95" s="858"/>
      <c r="J95" s="858"/>
      <c r="K95" s="2260"/>
      <c r="L95" s="858"/>
      <c r="M95" s="858"/>
      <c r="N95" s="858"/>
      <c r="O95" s="858"/>
      <c r="P95" s="858"/>
      <c r="Q95" s="858"/>
      <c r="R95" s="858"/>
      <c r="S95" s="858"/>
      <c r="T95" s="859"/>
      <c r="U95" s="859"/>
      <c r="V95" s="858"/>
      <c r="W95" s="858"/>
      <c r="X95" s="858"/>
      <c r="Y95" s="858"/>
      <c r="Z95" s="858"/>
      <c r="AA95" s="858"/>
      <c r="AB95" s="858"/>
      <c r="AC95" s="2260"/>
      <c r="AD95" s="858"/>
      <c r="AE95" s="858"/>
      <c r="AF95" s="858"/>
      <c r="AG95" s="858"/>
      <c r="AH95" s="858"/>
      <c r="AI95" s="858"/>
      <c r="AJ95" s="2260"/>
      <c r="AK95" s="858"/>
      <c r="AL95" s="859"/>
      <c r="AM95" s="858"/>
      <c r="AN95" s="858"/>
      <c r="AO95" s="858"/>
      <c r="AP95" s="2260"/>
      <c r="AQ95" s="858"/>
      <c r="AR95" s="858"/>
      <c r="AS95" s="858"/>
      <c r="AT95" s="858"/>
      <c r="AU95" s="859" t="s">
        <v>2422</v>
      </c>
      <c r="AV95" s="858"/>
      <c r="AW95" s="858"/>
      <c r="AX95" s="858"/>
      <c r="AY95" s="859" t="s">
        <v>1699</v>
      </c>
      <c r="AZ95" s="858"/>
      <c r="BA95" s="858"/>
      <c r="BB95" s="859"/>
      <c r="BC95" s="858"/>
      <c r="BD95" s="858"/>
      <c r="BE95" s="859"/>
      <c r="BF95" s="859"/>
      <c r="BG95" s="858"/>
      <c r="BH95" s="859"/>
      <c r="BI95" s="859"/>
      <c r="BJ95" s="1372"/>
      <c r="BK95" s="1372"/>
      <c r="BL95" s="1372"/>
      <c r="BM95" s="1372"/>
      <c r="BN95" s="1372"/>
      <c r="BO95" s="1372"/>
      <c r="BP95" s="1372"/>
      <c r="BQ95" s="859">
        <v>1</v>
      </c>
      <c r="BR95" s="859"/>
      <c r="BS95" s="1372"/>
      <c r="BT95" s="859"/>
      <c r="BU95" s="859"/>
      <c r="BV95" s="2500"/>
      <c r="BW95" s="2500"/>
      <c r="BX95" s="2500"/>
      <c r="BY95" s="2500"/>
      <c r="BZ95" s="859"/>
      <c r="CA95" s="859"/>
      <c r="CB95" s="2094"/>
      <c r="CC95" s="859"/>
      <c r="CD95" s="859"/>
      <c r="CE95" s="859"/>
      <c r="CF95" s="859"/>
      <c r="CG95" s="859"/>
      <c r="CH95" s="859"/>
      <c r="CI95" s="859"/>
      <c r="CJ95" s="859"/>
      <c r="CK95" s="859"/>
      <c r="CL95" s="859"/>
      <c r="CM95" s="859"/>
      <c r="CN95" s="859"/>
      <c r="CO95" s="860" t="s">
        <v>1700</v>
      </c>
      <c r="CP95" s="858" t="s">
        <v>1991</v>
      </c>
      <c r="CQ95" s="861" t="s">
        <v>1129</v>
      </c>
      <c r="CR95" s="862"/>
    </row>
    <row r="96" spans="2:96" ht="18" x14ac:dyDescent="0.25">
      <c r="B96" s="2183">
        <v>93</v>
      </c>
      <c r="C96" s="2184" t="s">
        <v>3484</v>
      </c>
      <c r="D96" s="857" t="s">
        <v>1127</v>
      </c>
      <c r="E96" s="858"/>
      <c r="F96" s="858"/>
      <c r="G96" s="858"/>
      <c r="H96" s="858"/>
      <c r="I96" s="858"/>
      <c r="J96" s="858"/>
      <c r="K96" s="2260"/>
      <c r="L96" s="858"/>
      <c r="M96" s="858"/>
      <c r="N96" s="858"/>
      <c r="O96" s="858"/>
      <c r="P96" s="858"/>
      <c r="Q96" s="858"/>
      <c r="R96" s="858"/>
      <c r="S96" s="858"/>
      <c r="T96" s="859"/>
      <c r="U96" s="859"/>
      <c r="V96" s="858"/>
      <c r="W96" s="858"/>
      <c r="X96" s="858"/>
      <c r="Y96" s="858"/>
      <c r="Z96" s="858"/>
      <c r="AA96" s="858"/>
      <c r="AB96" s="858"/>
      <c r="AC96" s="2260"/>
      <c r="AD96" s="858"/>
      <c r="AE96" s="858"/>
      <c r="AF96" s="858"/>
      <c r="AG96" s="858"/>
      <c r="AH96" s="858"/>
      <c r="AI96" s="858"/>
      <c r="AJ96" s="2260"/>
      <c r="AK96" s="858"/>
      <c r="AL96" s="859" t="s">
        <v>1701</v>
      </c>
      <c r="AM96" s="858"/>
      <c r="AN96" s="858"/>
      <c r="AO96" s="858"/>
      <c r="AP96" s="2260"/>
      <c r="AQ96" s="858"/>
      <c r="AR96" s="858"/>
      <c r="AS96" s="858"/>
      <c r="AT96" s="858"/>
      <c r="AU96" s="858"/>
      <c r="AV96" s="858"/>
      <c r="AW96" s="858"/>
      <c r="AX96" s="858"/>
      <c r="AY96" s="859" t="s">
        <v>1702</v>
      </c>
      <c r="AZ96" s="858"/>
      <c r="BA96" s="858"/>
      <c r="BB96" s="859"/>
      <c r="BC96" s="858"/>
      <c r="BD96" s="858"/>
      <c r="BE96" s="859"/>
      <c r="BF96" s="859"/>
      <c r="BG96" s="858"/>
      <c r="BH96" s="859"/>
      <c r="BI96" s="859"/>
      <c r="BJ96" s="1372"/>
      <c r="BK96" s="1372"/>
      <c r="BL96" s="1372"/>
      <c r="BM96" s="1372"/>
      <c r="BN96" s="1372"/>
      <c r="BO96" s="1372"/>
      <c r="BP96" s="1372"/>
      <c r="BQ96" s="859"/>
      <c r="BR96" s="859">
        <v>1</v>
      </c>
      <c r="BS96" s="1372"/>
      <c r="BT96" s="859"/>
      <c r="BU96" s="859"/>
      <c r="BV96" s="2500"/>
      <c r="BW96" s="2500"/>
      <c r="BX96" s="2500"/>
      <c r="BY96" s="2500"/>
      <c r="BZ96" s="859"/>
      <c r="CA96" s="859"/>
      <c r="CB96" s="2094"/>
      <c r="CC96" s="859"/>
      <c r="CD96" s="859"/>
      <c r="CE96" s="859"/>
      <c r="CF96" s="859"/>
      <c r="CG96" s="859"/>
      <c r="CH96" s="859"/>
      <c r="CI96" s="859"/>
      <c r="CJ96" s="859"/>
      <c r="CK96" s="859"/>
      <c r="CL96" s="859"/>
      <c r="CM96" s="859"/>
      <c r="CN96" s="859"/>
      <c r="CO96" s="860" t="s">
        <v>1703</v>
      </c>
      <c r="CP96" s="858" t="s">
        <v>1991</v>
      </c>
      <c r="CQ96" s="861" t="s">
        <v>1130</v>
      </c>
      <c r="CR96" s="862"/>
    </row>
    <row r="97" spans="2:97" ht="18" x14ac:dyDescent="0.25">
      <c r="B97" s="2183">
        <v>94</v>
      </c>
      <c r="C97" s="2184" t="s">
        <v>3485</v>
      </c>
      <c r="D97" s="1342" t="s">
        <v>4219</v>
      </c>
      <c r="E97" s="1377"/>
      <c r="F97" s="1377"/>
      <c r="G97" s="1377"/>
      <c r="H97" s="1377"/>
      <c r="I97" s="1377"/>
      <c r="J97" s="1377"/>
      <c r="K97" s="2260"/>
      <c r="L97" s="1377"/>
      <c r="M97" s="1377"/>
      <c r="N97" s="1377"/>
      <c r="O97" s="1377"/>
      <c r="P97" s="1377"/>
      <c r="Q97" s="1377"/>
      <c r="R97" s="1377"/>
      <c r="S97" s="1377"/>
      <c r="T97" s="1372"/>
      <c r="U97" s="1372"/>
      <c r="V97" s="1377"/>
      <c r="W97" s="1377"/>
      <c r="X97" s="1377"/>
      <c r="Y97" s="1377"/>
      <c r="Z97" s="1377"/>
      <c r="AA97" s="1377"/>
      <c r="AB97" s="1377"/>
      <c r="AC97" s="2260"/>
      <c r="AD97" s="1377"/>
      <c r="AE97" s="1377"/>
      <c r="AF97" s="1377"/>
      <c r="AG97" s="1377"/>
      <c r="AH97" s="1377"/>
      <c r="AI97" s="1377"/>
      <c r="AJ97" s="2260"/>
      <c r="AK97" s="1377"/>
      <c r="AL97" s="1372" t="s">
        <v>4220</v>
      </c>
      <c r="AM97" s="1377"/>
      <c r="AN97" s="1377"/>
      <c r="AO97" s="1377"/>
      <c r="AP97" s="2260"/>
      <c r="AQ97" s="1377"/>
      <c r="AR97" s="1377"/>
      <c r="AS97" s="1377"/>
      <c r="AT97" s="1377"/>
      <c r="AU97" s="1377"/>
      <c r="AV97" s="1377"/>
      <c r="AW97" s="1377"/>
      <c r="AX97" s="1377"/>
      <c r="AY97" s="1372" t="s">
        <v>4221</v>
      </c>
      <c r="AZ97" s="1377"/>
      <c r="BA97" s="1377"/>
      <c r="BB97" s="1372"/>
      <c r="BC97" s="1377"/>
      <c r="BD97" s="1377"/>
      <c r="BE97" s="1372"/>
      <c r="BF97" s="1372"/>
      <c r="BG97" s="1377"/>
      <c r="BH97" s="1372"/>
      <c r="BI97" s="1372"/>
      <c r="BJ97" s="1372"/>
      <c r="BK97" s="1372"/>
      <c r="BL97" s="1372"/>
      <c r="BM97" s="1372"/>
      <c r="BN97" s="1372"/>
      <c r="BO97" s="1372"/>
      <c r="BP97" s="1372"/>
      <c r="BQ97" s="1372"/>
      <c r="BR97" s="1372"/>
      <c r="BS97" s="1372">
        <v>1</v>
      </c>
      <c r="BT97" s="1372"/>
      <c r="BU97" s="1372"/>
      <c r="BV97" s="2500"/>
      <c r="BW97" s="2500"/>
      <c r="BX97" s="2500"/>
      <c r="BY97" s="2500"/>
      <c r="BZ97" s="1372"/>
      <c r="CA97" s="1372"/>
      <c r="CB97" s="2094"/>
      <c r="CC97" s="1372"/>
      <c r="CD97" s="1372"/>
      <c r="CE97" s="1372"/>
      <c r="CF97" s="1372"/>
      <c r="CG97" s="1372"/>
      <c r="CH97" s="1372"/>
      <c r="CI97" s="1372"/>
      <c r="CJ97" s="1372"/>
      <c r="CK97" s="1372"/>
      <c r="CL97" s="1372"/>
      <c r="CM97" s="1372"/>
      <c r="CN97" s="1372"/>
      <c r="CO97" s="1378" t="s">
        <v>4222</v>
      </c>
      <c r="CP97" s="1377" t="s">
        <v>1991</v>
      </c>
      <c r="CQ97" s="1379" t="s">
        <v>4223</v>
      </c>
      <c r="CR97" s="862"/>
    </row>
    <row r="98" spans="2:97" ht="18" x14ac:dyDescent="0.25">
      <c r="B98" s="2183">
        <v>95</v>
      </c>
      <c r="C98" s="2184" t="s">
        <v>3486</v>
      </c>
      <c r="D98" s="857" t="s">
        <v>287</v>
      </c>
      <c r="E98" s="858"/>
      <c r="F98" s="858"/>
      <c r="G98" s="858"/>
      <c r="H98" s="858"/>
      <c r="I98" s="858"/>
      <c r="J98" s="858"/>
      <c r="K98" s="2260"/>
      <c r="L98" s="858"/>
      <c r="M98" s="858"/>
      <c r="N98" s="858"/>
      <c r="O98" s="858"/>
      <c r="P98" s="858"/>
      <c r="Q98" s="858"/>
      <c r="R98" s="858"/>
      <c r="S98" s="858"/>
      <c r="T98" s="859"/>
      <c r="U98" s="859"/>
      <c r="V98" s="858"/>
      <c r="W98" s="858"/>
      <c r="X98" s="858"/>
      <c r="Y98" s="858"/>
      <c r="Z98" s="858"/>
      <c r="AA98" s="858"/>
      <c r="AB98" s="858"/>
      <c r="AC98" s="2260"/>
      <c r="AD98" s="859" t="s">
        <v>1704</v>
      </c>
      <c r="AE98" s="858"/>
      <c r="AF98" s="858"/>
      <c r="AG98" s="858"/>
      <c r="AH98" s="858"/>
      <c r="AI98" s="858"/>
      <c r="AJ98" s="2260"/>
      <c r="AK98" s="858"/>
      <c r="AL98" s="859" t="s">
        <v>1705</v>
      </c>
      <c r="AM98" s="858"/>
      <c r="AN98" s="858"/>
      <c r="AO98" s="858"/>
      <c r="AP98" s="2260"/>
      <c r="AQ98" s="858"/>
      <c r="AR98" s="858"/>
      <c r="AS98" s="858"/>
      <c r="AT98" s="858"/>
      <c r="AU98" s="858"/>
      <c r="AV98" s="858"/>
      <c r="AW98" s="858"/>
      <c r="AX98" s="858"/>
      <c r="AY98" s="858"/>
      <c r="AZ98" s="859" t="s">
        <v>1706</v>
      </c>
      <c r="BA98" s="858"/>
      <c r="BB98" s="859"/>
      <c r="BC98" s="858"/>
      <c r="BD98" s="858"/>
      <c r="BE98" s="859"/>
      <c r="BF98" s="859"/>
      <c r="BG98" s="858"/>
      <c r="BH98" s="859"/>
      <c r="BI98" s="859"/>
      <c r="BJ98" s="1372"/>
      <c r="BK98" s="1372"/>
      <c r="BL98" s="1372"/>
      <c r="BM98" s="1372"/>
      <c r="BN98" s="1372"/>
      <c r="BO98" s="1372"/>
      <c r="BP98" s="1372"/>
      <c r="BQ98" s="859"/>
      <c r="BR98" s="859"/>
      <c r="BS98" s="1372"/>
      <c r="BT98" s="859">
        <v>1</v>
      </c>
      <c r="BU98" s="859"/>
      <c r="BV98" s="2500"/>
      <c r="BW98" s="2500"/>
      <c r="BX98" s="2500"/>
      <c r="BY98" s="2500"/>
      <c r="BZ98" s="859"/>
      <c r="CA98" s="859"/>
      <c r="CB98" s="2094"/>
      <c r="CC98" s="859"/>
      <c r="CD98" s="859"/>
      <c r="CE98" s="859"/>
      <c r="CF98" s="859"/>
      <c r="CG98" s="859"/>
      <c r="CH98" s="859"/>
      <c r="CI98" s="859"/>
      <c r="CJ98" s="859"/>
      <c r="CK98" s="859"/>
      <c r="CL98" s="859"/>
      <c r="CM98" s="859"/>
      <c r="CN98" s="859"/>
      <c r="CO98" s="860" t="s">
        <v>1707</v>
      </c>
      <c r="CP98" s="858" t="s">
        <v>1991</v>
      </c>
      <c r="CQ98" s="861" t="s">
        <v>1126</v>
      </c>
      <c r="CR98" s="862"/>
    </row>
    <row r="99" spans="2:97" ht="18" x14ac:dyDescent="0.25">
      <c r="B99" s="2183">
        <v>96</v>
      </c>
      <c r="C99" s="2184" t="s">
        <v>3487</v>
      </c>
      <c r="D99" s="857" t="s">
        <v>1125</v>
      </c>
      <c r="E99" s="858"/>
      <c r="F99" s="858"/>
      <c r="G99" s="858"/>
      <c r="H99" s="858"/>
      <c r="I99" s="858"/>
      <c r="J99" s="858"/>
      <c r="K99" s="2260"/>
      <c r="L99" s="858"/>
      <c r="M99" s="858"/>
      <c r="N99" s="858"/>
      <c r="O99" s="858"/>
      <c r="P99" s="858"/>
      <c r="Q99" s="858"/>
      <c r="R99" s="858"/>
      <c r="S99" s="858"/>
      <c r="T99" s="859"/>
      <c r="U99" s="859"/>
      <c r="V99" s="858"/>
      <c r="W99" s="858"/>
      <c r="X99" s="858"/>
      <c r="Y99" s="858"/>
      <c r="Z99" s="858"/>
      <c r="AA99" s="858"/>
      <c r="AB99" s="858"/>
      <c r="AC99" s="2260"/>
      <c r="AD99" s="859"/>
      <c r="AE99" s="858"/>
      <c r="AF99" s="858"/>
      <c r="AG99" s="858"/>
      <c r="AH99" s="858"/>
      <c r="AI99" s="858"/>
      <c r="AJ99" s="2260"/>
      <c r="AK99" s="858"/>
      <c r="AL99" s="859" t="s">
        <v>1708</v>
      </c>
      <c r="AM99" s="858"/>
      <c r="AN99" s="858"/>
      <c r="AO99" s="858"/>
      <c r="AP99" s="2260"/>
      <c r="AQ99" s="858"/>
      <c r="AR99" s="858"/>
      <c r="AS99" s="858"/>
      <c r="AT99" s="858"/>
      <c r="AU99" s="858"/>
      <c r="AV99" s="858"/>
      <c r="AW99" s="858"/>
      <c r="AX99" s="858"/>
      <c r="AY99" s="858"/>
      <c r="AZ99" s="859"/>
      <c r="BA99" s="858"/>
      <c r="BB99" s="859" t="s">
        <v>1709</v>
      </c>
      <c r="BC99" s="858"/>
      <c r="BD99" s="858"/>
      <c r="BE99" s="859"/>
      <c r="BF99" s="859"/>
      <c r="BG99" s="858"/>
      <c r="BH99" s="859"/>
      <c r="BI99" s="859"/>
      <c r="BJ99" s="1372"/>
      <c r="BK99" s="1372"/>
      <c r="BL99" s="1372"/>
      <c r="BM99" s="1372"/>
      <c r="BN99" s="1372"/>
      <c r="BO99" s="1372"/>
      <c r="BP99" s="1372"/>
      <c r="BQ99" s="859"/>
      <c r="BR99" s="859"/>
      <c r="BS99" s="1372"/>
      <c r="BT99" s="859"/>
      <c r="BU99" s="859">
        <v>1</v>
      </c>
      <c r="BV99" s="2500"/>
      <c r="BW99" s="2500"/>
      <c r="BX99" s="2500"/>
      <c r="BY99" s="2500"/>
      <c r="BZ99" s="859"/>
      <c r="CA99" s="859"/>
      <c r="CB99" s="2094"/>
      <c r="CC99" s="859"/>
      <c r="CD99" s="859"/>
      <c r="CE99" s="859"/>
      <c r="CF99" s="859"/>
      <c r="CG99" s="859"/>
      <c r="CH99" s="859"/>
      <c r="CI99" s="859"/>
      <c r="CJ99" s="859"/>
      <c r="CK99" s="859"/>
      <c r="CL99" s="859"/>
      <c r="CM99" s="859"/>
      <c r="CN99" s="859"/>
      <c r="CO99" s="860" t="s">
        <v>1710</v>
      </c>
      <c r="CP99" s="858" t="s">
        <v>1991</v>
      </c>
      <c r="CQ99" s="861" t="s">
        <v>1131</v>
      </c>
      <c r="CR99" s="862"/>
    </row>
    <row r="100" spans="2:97" ht="18" x14ac:dyDescent="0.25">
      <c r="B100" s="2506">
        <v>97</v>
      </c>
      <c r="C100" s="2507" t="s">
        <v>3488</v>
      </c>
      <c r="D100" s="2508" t="s">
        <v>5098</v>
      </c>
      <c r="E100" s="2509"/>
      <c r="F100" s="2509"/>
      <c r="G100" s="2509"/>
      <c r="H100" s="2509"/>
      <c r="I100" s="2509"/>
      <c r="J100" s="2510"/>
      <c r="K100" s="2510"/>
      <c r="L100" s="2509"/>
      <c r="M100" s="2509"/>
      <c r="N100" s="2509"/>
      <c r="O100" s="2509"/>
      <c r="P100" s="2509"/>
      <c r="Q100" s="2509"/>
      <c r="R100" s="2509"/>
      <c r="S100" s="2509"/>
      <c r="T100" s="2509"/>
      <c r="U100" s="2509"/>
      <c r="V100" s="2509"/>
      <c r="W100" s="2509"/>
      <c r="X100" s="2509"/>
      <c r="Y100" s="2509"/>
      <c r="Z100" s="2509"/>
      <c r="AA100" s="2509"/>
      <c r="AB100" s="2510"/>
      <c r="AC100" s="2510"/>
      <c r="AD100" s="2510"/>
      <c r="AE100" s="2510"/>
      <c r="AF100" s="2510"/>
      <c r="AG100" s="2510"/>
      <c r="AH100" s="2510"/>
      <c r="AI100" s="2510"/>
      <c r="AJ100" s="2510"/>
      <c r="AK100" s="2510"/>
      <c r="AL100" s="2510"/>
      <c r="AM100" s="2510"/>
      <c r="AN100" s="2509"/>
      <c r="AO100" s="2510"/>
      <c r="AP100" s="2510"/>
      <c r="AQ100" s="2510"/>
      <c r="AR100" s="2510"/>
      <c r="AS100" s="2509"/>
      <c r="AT100" s="2510"/>
      <c r="AU100" s="2510"/>
      <c r="AV100" s="2510"/>
      <c r="AW100" s="2510"/>
      <c r="AX100" s="2510"/>
      <c r="AY100" s="2510"/>
      <c r="AZ100" s="2510"/>
      <c r="BA100" s="2510"/>
      <c r="BB100" s="2510"/>
      <c r="BC100" s="2510"/>
      <c r="BD100" s="2510"/>
      <c r="BE100" s="2510"/>
      <c r="BF100" s="2510"/>
      <c r="BG100" s="2510"/>
      <c r="BH100" s="2510"/>
      <c r="BI100" s="2510"/>
      <c r="BJ100" s="2510"/>
      <c r="BK100" s="2510"/>
      <c r="BL100" s="2510"/>
      <c r="BM100" s="2510"/>
      <c r="BN100" s="2510"/>
      <c r="BO100" s="2510"/>
      <c r="BP100" s="2510"/>
      <c r="BQ100" s="2510"/>
      <c r="BR100" s="2510"/>
      <c r="BS100" s="2510"/>
      <c r="BT100" s="2510"/>
      <c r="BU100" s="2510"/>
      <c r="BV100" s="2510">
        <v>-1</v>
      </c>
      <c r="BW100" s="2510">
        <v>1</v>
      </c>
      <c r="BX100" s="2510"/>
      <c r="BY100" s="2510"/>
      <c r="BZ100" s="2510"/>
      <c r="CA100" s="2510"/>
      <c r="CB100" s="2510"/>
      <c r="CC100" s="2510"/>
      <c r="CD100" s="2510"/>
      <c r="CE100" s="2510"/>
      <c r="CF100" s="2510"/>
      <c r="CG100" s="2510"/>
      <c r="CH100" s="2510"/>
      <c r="CI100" s="2510"/>
      <c r="CJ100" s="2510"/>
      <c r="CK100" s="2508"/>
      <c r="CL100" s="2508"/>
      <c r="CM100" s="2508"/>
      <c r="CN100" s="2508"/>
      <c r="CO100" s="2511" t="s">
        <v>5099</v>
      </c>
      <c r="CP100" s="2509" t="s">
        <v>1991</v>
      </c>
      <c r="CQ100" s="2510"/>
      <c r="CR100" s="2512" t="s">
        <v>5091</v>
      </c>
      <c r="CS100"/>
    </row>
    <row r="101" spans="2:97" ht="18" x14ac:dyDescent="0.25">
      <c r="B101" s="2506">
        <v>98</v>
      </c>
      <c r="C101" s="2507" t="s">
        <v>3564</v>
      </c>
      <c r="D101" s="2508" t="s">
        <v>5100</v>
      </c>
      <c r="E101" s="2509"/>
      <c r="F101" s="2509"/>
      <c r="G101" s="2509"/>
      <c r="H101" s="2509"/>
      <c r="I101" s="2509"/>
      <c r="J101" s="2510"/>
      <c r="K101" s="2510"/>
      <c r="L101" s="2509"/>
      <c r="M101" s="2509"/>
      <c r="N101" s="2509"/>
      <c r="O101" s="2509"/>
      <c r="P101" s="2509"/>
      <c r="Q101" s="2509"/>
      <c r="R101" s="2509"/>
      <c r="S101" s="2509"/>
      <c r="T101" s="2509"/>
      <c r="U101" s="2509"/>
      <c r="V101" s="2509"/>
      <c r="W101" s="2509"/>
      <c r="X101" s="2509"/>
      <c r="Y101" s="2509"/>
      <c r="Z101" s="2509"/>
      <c r="AA101" s="2509"/>
      <c r="AB101" s="2510"/>
      <c r="AC101" s="2510"/>
      <c r="AD101" s="2510"/>
      <c r="AE101" s="2510"/>
      <c r="AF101" s="2510"/>
      <c r="AG101" s="2510"/>
      <c r="AH101" s="2510"/>
      <c r="AI101" s="2510"/>
      <c r="AJ101" s="2510"/>
      <c r="AK101" s="2510"/>
      <c r="AL101" s="2510"/>
      <c r="AM101" s="2510"/>
      <c r="AN101" s="2509"/>
      <c r="AO101" s="2510"/>
      <c r="AP101" s="2510"/>
      <c r="AQ101" s="2510"/>
      <c r="AR101" s="2510"/>
      <c r="AS101" s="2509"/>
      <c r="AT101" s="2510"/>
      <c r="AU101" s="2510"/>
      <c r="AV101" s="2510"/>
      <c r="AW101" s="2510"/>
      <c r="AX101" s="2510"/>
      <c r="AY101" s="2510"/>
      <c r="AZ101" s="2510"/>
      <c r="BA101" s="2510"/>
      <c r="BB101" s="2510"/>
      <c r="BC101" s="2510"/>
      <c r="BD101" s="2510"/>
      <c r="BE101" s="2510"/>
      <c r="BF101" s="2510"/>
      <c r="BG101" s="2510"/>
      <c r="BH101" s="2510"/>
      <c r="BI101" s="2510"/>
      <c r="BJ101" s="2510"/>
      <c r="BK101" s="2510"/>
      <c r="BL101" s="2510"/>
      <c r="BM101" s="2510"/>
      <c r="BN101" s="2510"/>
      <c r="BO101" s="2510"/>
      <c r="BP101" s="2510"/>
      <c r="BQ101" s="2510"/>
      <c r="BR101" s="2510"/>
      <c r="BS101" s="2510"/>
      <c r="BT101" s="2510"/>
      <c r="BU101" s="2510"/>
      <c r="BV101" s="2510"/>
      <c r="BW101" s="2510"/>
      <c r="BX101" s="2510">
        <v>-1</v>
      </c>
      <c r="BY101" s="2510">
        <v>1</v>
      </c>
      <c r="BZ101" s="2510"/>
      <c r="CA101" s="2510"/>
      <c r="CB101" s="2510"/>
      <c r="CC101" s="2510"/>
      <c r="CD101" s="2510"/>
      <c r="CE101" s="2510"/>
      <c r="CF101" s="2510"/>
      <c r="CG101" s="2510"/>
      <c r="CH101" s="2510"/>
      <c r="CI101" s="2510"/>
      <c r="CJ101" s="2510"/>
      <c r="CK101" s="2508"/>
      <c r="CL101" s="2508"/>
      <c r="CM101" s="2508"/>
      <c r="CN101" s="2508"/>
      <c r="CO101" s="2511" t="s">
        <v>5101</v>
      </c>
      <c r="CP101" s="2509" t="s">
        <v>1991</v>
      </c>
      <c r="CQ101" s="2510"/>
      <c r="CR101" s="2512" t="s">
        <v>5091</v>
      </c>
      <c r="CS101"/>
    </row>
    <row r="102" spans="2:97" ht="18" x14ac:dyDescent="0.25">
      <c r="B102" s="2185">
        <v>99</v>
      </c>
      <c r="C102" s="2186" t="s">
        <v>3565</v>
      </c>
      <c r="D102" s="1264" t="s">
        <v>3944</v>
      </c>
      <c r="E102" s="1267"/>
      <c r="F102" s="1267"/>
      <c r="G102" s="1267"/>
      <c r="H102" s="1267"/>
      <c r="I102" s="1267"/>
      <c r="J102" s="1267"/>
      <c r="K102" s="2261"/>
      <c r="L102" s="1267"/>
      <c r="M102" s="1267"/>
      <c r="N102" s="1267"/>
      <c r="O102" s="1267"/>
      <c r="P102" s="1267"/>
      <c r="Q102" s="1267"/>
      <c r="R102" s="1267"/>
      <c r="S102" s="1267"/>
      <c r="T102" s="1267"/>
      <c r="U102" s="1267"/>
      <c r="V102" s="1267"/>
      <c r="W102" s="1267"/>
      <c r="X102" s="1267"/>
      <c r="Y102" s="1267"/>
      <c r="Z102" s="1267"/>
      <c r="AA102" s="1267"/>
      <c r="AB102" s="1267"/>
      <c r="AC102" s="2261"/>
      <c r="AD102" s="1267"/>
      <c r="AE102" s="1267"/>
      <c r="AF102" s="1267"/>
      <c r="AG102" s="1267"/>
      <c r="AH102" s="1267"/>
      <c r="AI102" s="1267"/>
      <c r="AJ102" s="2261"/>
      <c r="AK102" s="1267"/>
      <c r="AL102" s="1267"/>
      <c r="AM102" s="1267"/>
      <c r="AN102" s="1267"/>
      <c r="AO102" s="1267"/>
      <c r="AP102" s="2261"/>
      <c r="AQ102" s="1267"/>
      <c r="AR102" s="1267"/>
      <c r="AS102" s="1267"/>
      <c r="AT102" s="1267"/>
      <c r="AU102" s="1267"/>
      <c r="AV102" s="1267"/>
      <c r="AW102" s="1267"/>
      <c r="AX102" s="1267"/>
      <c r="AY102" s="1267"/>
      <c r="AZ102" s="1267"/>
      <c r="BA102" s="1267"/>
      <c r="BB102" s="1267"/>
      <c r="BC102" s="1267"/>
      <c r="BD102" s="1267"/>
      <c r="BE102" s="1267"/>
      <c r="BF102" s="1267"/>
      <c r="BG102" s="1267"/>
      <c r="BH102" s="1267"/>
      <c r="BI102" s="1267"/>
      <c r="BJ102" s="1373"/>
      <c r="BK102" s="1373"/>
      <c r="BL102" s="1373"/>
      <c r="BM102" s="1373"/>
      <c r="BN102" s="1373"/>
      <c r="BO102" s="1373"/>
      <c r="BP102" s="1373"/>
      <c r="BQ102" s="1267"/>
      <c r="BR102" s="1267"/>
      <c r="BS102" s="1373"/>
      <c r="BT102" s="1267"/>
      <c r="BU102" s="1267"/>
      <c r="BV102" s="2261"/>
      <c r="BW102" s="2261"/>
      <c r="BX102" s="2261"/>
      <c r="BY102" s="2261"/>
      <c r="BZ102" s="1267"/>
      <c r="CA102" s="1267">
        <v>1</v>
      </c>
      <c r="CB102" s="2095"/>
      <c r="CC102" s="1267"/>
      <c r="CD102" s="1267"/>
      <c r="CE102" s="1267"/>
      <c r="CF102" s="1267"/>
      <c r="CG102" s="1267"/>
      <c r="CH102" s="1267"/>
      <c r="CI102" s="1267"/>
      <c r="CJ102" s="1267"/>
      <c r="CK102" s="1267"/>
      <c r="CL102" s="1267"/>
      <c r="CM102" s="1267"/>
      <c r="CN102" s="1267"/>
      <c r="CO102" s="1275" t="s">
        <v>4713</v>
      </c>
      <c r="CP102" s="1413" t="s">
        <v>3946</v>
      </c>
      <c r="CQ102" s="1265"/>
      <c r="CR102" s="1266"/>
    </row>
    <row r="103" spans="2:97" ht="18" x14ac:dyDescent="0.25">
      <c r="B103" s="2187">
        <v>100</v>
      </c>
      <c r="C103" s="2188" t="s">
        <v>3585</v>
      </c>
      <c r="D103" s="863" t="s">
        <v>3495</v>
      </c>
      <c r="E103" s="864"/>
      <c r="F103" s="864"/>
      <c r="G103" s="864"/>
      <c r="H103" s="864"/>
      <c r="I103" s="864"/>
      <c r="J103" s="864"/>
      <c r="K103" s="2262"/>
      <c r="L103" s="864"/>
      <c r="M103" s="864"/>
      <c r="N103" s="864"/>
      <c r="O103" s="864"/>
      <c r="P103" s="864"/>
      <c r="Q103" s="864"/>
      <c r="R103" s="864"/>
      <c r="S103" s="864"/>
      <c r="T103" s="865"/>
      <c r="U103" s="865"/>
      <c r="V103" s="864"/>
      <c r="W103" s="864"/>
      <c r="X103" s="864"/>
      <c r="Y103" s="864"/>
      <c r="Z103" s="864"/>
      <c r="AA103" s="864"/>
      <c r="AB103" s="864"/>
      <c r="AC103" s="2262"/>
      <c r="AD103" s="864"/>
      <c r="AE103" s="864"/>
      <c r="AF103" s="864"/>
      <c r="AG103" s="864"/>
      <c r="AH103" s="864"/>
      <c r="AI103" s="864"/>
      <c r="AJ103" s="2262"/>
      <c r="AK103" s="864"/>
      <c r="AL103" s="864"/>
      <c r="AM103" s="864"/>
      <c r="AN103" s="864"/>
      <c r="AO103" s="864"/>
      <c r="AP103" s="2262"/>
      <c r="AQ103" s="864"/>
      <c r="AR103" s="864"/>
      <c r="AS103" s="864"/>
      <c r="AT103" s="864"/>
      <c r="AU103" s="864">
        <v>1</v>
      </c>
      <c r="AV103" s="864"/>
      <c r="AW103" s="864"/>
      <c r="AX103" s="864"/>
      <c r="AY103" s="864"/>
      <c r="AZ103" s="864"/>
      <c r="BA103" s="864"/>
      <c r="BB103" s="865"/>
      <c r="BC103" s="865"/>
      <c r="BD103" s="865"/>
      <c r="BE103" s="865"/>
      <c r="BF103" s="865"/>
      <c r="BG103" s="865"/>
      <c r="BH103" s="865"/>
      <c r="BI103" s="865"/>
      <c r="BJ103" s="1374"/>
      <c r="BK103" s="1374"/>
      <c r="BL103" s="1374"/>
      <c r="BM103" s="1374"/>
      <c r="BN103" s="1374"/>
      <c r="BO103" s="1374"/>
      <c r="BP103" s="1374"/>
      <c r="BQ103" s="865"/>
      <c r="BR103" s="865"/>
      <c r="BS103" s="1374"/>
      <c r="BT103" s="865"/>
      <c r="BU103" s="865"/>
      <c r="BV103" s="2501"/>
      <c r="BW103" s="2501"/>
      <c r="BX103" s="2501"/>
      <c r="BY103" s="2501"/>
      <c r="BZ103" s="865"/>
      <c r="CA103" s="865"/>
      <c r="CB103" s="2096"/>
      <c r="CC103" s="865">
        <v>-1</v>
      </c>
      <c r="CD103" s="865"/>
      <c r="CE103" s="865"/>
      <c r="CF103" s="865"/>
      <c r="CG103" s="865"/>
      <c r="CH103" s="865"/>
      <c r="CI103" s="865"/>
      <c r="CJ103" s="865"/>
      <c r="CK103" s="865"/>
      <c r="CL103" s="865"/>
      <c r="CM103" s="865"/>
      <c r="CN103" s="865"/>
      <c r="CO103" s="863" t="s">
        <v>3455</v>
      </c>
      <c r="CP103" s="864" t="s">
        <v>1991</v>
      </c>
      <c r="CQ103" s="863"/>
      <c r="CR103" s="866"/>
    </row>
    <row r="104" spans="2:97" ht="18" x14ac:dyDescent="0.25">
      <c r="B104" s="2187">
        <v>101</v>
      </c>
      <c r="C104" s="2188" t="s">
        <v>4363</v>
      </c>
      <c r="D104" s="863" t="s">
        <v>3496</v>
      </c>
      <c r="E104" s="864"/>
      <c r="F104" s="864"/>
      <c r="G104" s="864"/>
      <c r="H104" s="864"/>
      <c r="I104" s="864"/>
      <c r="J104" s="864"/>
      <c r="K104" s="2262"/>
      <c r="L104" s="864"/>
      <c r="M104" s="864"/>
      <c r="N104" s="864"/>
      <c r="O104" s="864"/>
      <c r="P104" s="864"/>
      <c r="Q104" s="864"/>
      <c r="R104" s="864"/>
      <c r="S104" s="864"/>
      <c r="T104" s="865"/>
      <c r="U104" s="865"/>
      <c r="V104" s="864"/>
      <c r="W104" s="864"/>
      <c r="X104" s="864"/>
      <c r="Y104" s="864"/>
      <c r="Z104" s="864"/>
      <c r="AA104" s="864"/>
      <c r="AB104" s="864"/>
      <c r="AC104" s="2262"/>
      <c r="AD104" s="864"/>
      <c r="AE104" s="864"/>
      <c r="AF104" s="864"/>
      <c r="AG104" s="864"/>
      <c r="AH104" s="864"/>
      <c r="AI104" s="864"/>
      <c r="AJ104" s="2262"/>
      <c r="AK104" s="864"/>
      <c r="AL104" s="864"/>
      <c r="AM104" s="864"/>
      <c r="AN104" s="864"/>
      <c r="AO104" s="864"/>
      <c r="AP104" s="2262"/>
      <c r="AQ104" s="864"/>
      <c r="AR104" s="864"/>
      <c r="AS104" s="864">
        <v>1</v>
      </c>
      <c r="AT104" s="864"/>
      <c r="AU104" s="864"/>
      <c r="AV104" s="864"/>
      <c r="AW104" s="864"/>
      <c r="AX104" s="864"/>
      <c r="AY104" s="864"/>
      <c r="AZ104" s="864"/>
      <c r="BA104" s="864"/>
      <c r="BB104" s="865"/>
      <c r="BC104" s="865"/>
      <c r="BD104" s="865"/>
      <c r="BE104" s="865"/>
      <c r="BF104" s="865"/>
      <c r="BG104" s="865"/>
      <c r="BH104" s="865"/>
      <c r="BI104" s="865"/>
      <c r="BJ104" s="1374"/>
      <c r="BK104" s="1374"/>
      <c r="BL104" s="1374"/>
      <c r="BM104" s="1374"/>
      <c r="BN104" s="1374"/>
      <c r="BO104" s="1374"/>
      <c r="BP104" s="1374"/>
      <c r="BQ104" s="865"/>
      <c r="BR104" s="865"/>
      <c r="BS104" s="1374"/>
      <c r="BT104" s="865"/>
      <c r="BU104" s="865"/>
      <c r="BV104" s="2501"/>
      <c r="BW104" s="2501"/>
      <c r="BX104" s="2501"/>
      <c r="BY104" s="2501"/>
      <c r="BZ104" s="865"/>
      <c r="CA104" s="865"/>
      <c r="CB104" s="2096"/>
      <c r="CC104" s="865"/>
      <c r="CD104" s="865">
        <v>-1</v>
      </c>
      <c r="CE104" s="865"/>
      <c r="CF104" s="865"/>
      <c r="CG104" s="865"/>
      <c r="CH104" s="865"/>
      <c r="CI104" s="865"/>
      <c r="CJ104" s="865"/>
      <c r="CK104" s="865"/>
      <c r="CL104" s="865"/>
      <c r="CM104" s="865"/>
      <c r="CN104" s="865"/>
      <c r="CO104" s="863" t="s">
        <v>3501</v>
      </c>
      <c r="CP104" s="864" t="s">
        <v>1991</v>
      </c>
      <c r="CQ104" s="863"/>
      <c r="CR104" s="866"/>
    </row>
    <row r="105" spans="2:97" ht="18" x14ac:dyDescent="0.25">
      <c r="B105" s="2187">
        <v>102</v>
      </c>
      <c r="C105" s="2188" t="s">
        <v>4364</v>
      </c>
      <c r="D105" s="863" t="s">
        <v>3497</v>
      </c>
      <c r="E105" s="864"/>
      <c r="F105" s="864"/>
      <c r="G105" s="864"/>
      <c r="H105" s="864"/>
      <c r="I105" s="864"/>
      <c r="J105" s="864"/>
      <c r="K105" s="2262"/>
      <c r="L105" s="864"/>
      <c r="M105" s="864"/>
      <c r="N105" s="864"/>
      <c r="O105" s="864"/>
      <c r="P105" s="864"/>
      <c r="Q105" s="864"/>
      <c r="R105" s="864"/>
      <c r="S105" s="864"/>
      <c r="T105" s="865"/>
      <c r="U105" s="865"/>
      <c r="V105" s="864"/>
      <c r="W105" s="864"/>
      <c r="X105" s="864"/>
      <c r="Y105" s="864"/>
      <c r="Z105" s="864"/>
      <c r="AA105" s="864"/>
      <c r="AB105" s="864"/>
      <c r="AC105" s="2262"/>
      <c r="AD105" s="864"/>
      <c r="AE105" s="864"/>
      <c r="AF105" s="864"/>
      <c r="AG105" s="864"/>
      <c r="AH105" s="864"/>
      <c r="AI105" s="864"/>
      <c r="AJ105" s="2262"/>
      <c r="AK105" s="864"/>
      <c r="AL105" s="864"/>
      <c r="AM105" s="864"/>
      <c r="AN105" s="864"/>
      <c r="AO105" s="864"/>
      <c r="AP105" s="2262"/>
      <c r="AQ105" s="864"/>
      <c r="AR105" s="864"/>
      <c r="AS105" s="864"/>
      <c r="AT105" s="864">
        <v>1</v>
      </c>
      <c r="AU105" s="864"/>
      <c r="AV105" s="864"/>
      <c r="AW105" s="864"/>
      <c r="AX105" s="864"/>
      <c r="AY105" s="864"/>
      <c r="AZ105" s="864"/>
      <c r="BA105" s="864"/>
      <c r="BB105" s="865"/>
      <c r="BC105" s="865"/>
      <c r="BD105" s="865"/>
      <c r="BE105" s="865"/>
      <c r="BF105" s="865"/>
      <c r="BG105" s="865"/>
      <c r="BH105" s="865"/>
      <c r="BI105" s="865"/>
      <c r="BJ105" s="1374"/>
      <c r="BK105" s="1374"/>
      <c r="BL105" s="1374"/>
      <c r="BM105" s="1374"/>
      <c r="BN105" s="1374"/>
      <c r="BO105" s="1374"/>
      <c r="BP105" s="1374"/>
      <c r="BQ105" s="865"/>
      <c r="BR105" s="865"/>
      <c r="BS105" s="1374"/>
      <c r="BT105" s="865"/>
      <c r="BU105" s="865"/>
      <c r="BV105" s="2501"/>
      <c r="BW105" s="2501"/>
      <c r="BX105" s="2501"/>
      <c r="BY105" s="2501"/>
      <c r="BZ105" s="865"/>
      <c r="CA105" s="865"/>
      <c r="CB105" s="2096"/>
      <c r="CC105" s="865"/>
      <c r="CD105" s="865"/>
      <c r="CE105" s="865">
        <v>-1</v>
      </c>
      <c r="CF105" s="865"/>
      <c r="CG105" s="865"/>
      <c r="CH105" s="865"/>
      <c r="CI105" s="865"/>
      <c r="CJ105" s="865"/>
      <c r="CK105" s="865"/>
      <c r="CL105" s="865"/>
      <c r="CM105" s="865"/>
      <c r="CN105" s="865"/>
      <c r="CO105" s="863" t="s">
        <v>3502</v>
      </c>
      <c r="CP105" s="864" t="s">
        <v>1991</v>
      </c>
      <c r="CQ105" s="863"/>
      <c r="CR105" s="866"/>
    </row>
    <row r="106" spans="2:97" ht="18" x14ac:dyDescent="0.25">
      <c r="B106" s="2187">
        <v>103</v>
      </c>
      <c r="C106" s="2188" t="s">
        <v>4729</v>
      </c>
      <c r="D106" s="863" t="s">
        <v>3498</v>
      </c>
      <c r="E106" s="864"/>
      <c r="F106" s="864"/>
      <c r="G106" s="864"/>
      <c r="H106" s="864"/>
      <c r="I106" s="864"/>
      <c r="J106" s="864"/>
      <c r="K106" s="2262"/>
      <c r="L106" s="864"/>
      <c r="M106" s="864"/>
      <c r="N106" s="864"/>
      <c r="O106" s="864"/>
      <c r="P106" s="864"/>
      <c r="Q106" s="864"/>
      <c r="R106" s="864"/>
      <c r="S106" s="864"/>
      <c r="T106" s="865"/>
      <c r="U106" s="865"/>
      <c r="V106" s="864"/>
      <c r="W106" s="864"/>
      <c r="X106" s="864"/>
      <c r="Y106" s="864"/>
      <c r="Z106" s="864"/>
      <c r="AA106" s="864"/>
      <c r="AB106" s="864"/>
      <c r="AC106" s="2262"/>
      <c r="AD106" s="864"/>
      <c r="AE106" s="864"/>
      <c r="AF106" s="864"/>
      <c r="AG106" s="864"/>
      <c r="AH106" s="864"/>
      <c r="AI106" s="864"/>
      <c r="AJ106" s="2262"/>
      <c r="AK106" s="864"/>
      <c r="AL106" s="864"/>
      <c r="AM106" s="864"/>
      <c r="AN106" s="864"/>
      <c r="AO106" s="864"/>
      <c r="AP106" s="2262"/>
      <c r="AQ106" s="864"/>
      <c r="AR106" s="864">
        <v>1</v>
      </c>
      <c r="AS106" s="864"/>
      <c r="AT106" s="864"/>
      <c r="AU106" s="864"/>
      <c r="AV106" s="864"/>
      <c r="AW106" s="864"/>
      <c r="AX106" s="864"/>
      <c r="AY106" s="864"/>
      <c r="AZ106" s="864"/>
      <c r="BA106" s="864"/>
      <c r="BB106" s="865"/>
      <c r="BC106" s="865"/>
      <c r="BD106" s="865"/>
      <c r="BE106" s="865"/>
      <c r="BF106" s="865"/>
      <c r="BG106" s="865"/>
      <c r="BH106" s="865"/>
      <c r="BI106" s="865"/>
      <c r="BJ106" s="1374"/>
      <c r="BK106" s="1374"/>
      <c r="BL106" s="1374"/>
      <c r="BM106" s="1374"/>
      <c r="BN106" s="1374"/>
      <c r="BO106" s="1374"/>
      <c r="BP106" s="1374"/>
      <c r="BQ106" s="865"/>
      <c r="BR106" s="865"/>
      <c r="BS106" s="1374"/>
      <c r="BT106" s="865"/>
      <c r="BU106" s="865"/>
      <c r="BV106" s="2501"/>
      <c r="BW106" s="2501"/>
      <c r="BX106" s="2501"/>
      <c r="BY106" s="2501"/>
      <c r="BZ106" s="865"/>
      <c r="CA106" s="865"/>
      <c r="CB106" s="2096"/>
      <c r="CC106" s="865"/>
      <c r="CD106" s="865"/>
      <c r="CE106" s="865"/>
      <c r="CF106" s="865">
        <v>-1</v>
      </c>
      <c r="CG106" s="865"/>
      <c r="CH106" s="865"/>
      <c r="CI106" s="865"/>
      <c r="CJ106" s="865"/>
      <c r="CK106" s="865"/>
      <c r="CL106" s="865"/>
      <c r="CM106" s="865"/>
      <c r="CN106" s="865"/>
      <c r="CO106" s="863" t="s">
        <v>3503</v>
      </c>
      <c r="CP106" s="864" t="s">
        <v>1991</v>
      </c>
      <c r="CQ106" s="863"/>
      <c r="CR106" s="866"/>
    </row>
    <row r="107" spans="2:97" ht="18" x14ac:dyDescent="0.25">
      <c r="B107" s="2187">
        <v>104</v>
      </c>
      <c r="C107" s="2188" t="s">
        <v>4768</v>
      </c>
      <c r="D107" s="863" t="s">
        <v>3499</v>
      </c>
      <c r="E107" s="864"/>
      <c r="F107" s="864"/>
      <c r="G107" s="864"/>
      <c r="H107" s="864"/>
      <c r="I107" s="864"/>
      <c r="J107" s="864"/>
      <c r="K107" s="2262"/>
      <c r="L107" s="864"/>
      <c r="M107" s="864"/>
      <c r="N107" s="864"/>
      <c r="O107" s="864"/>
      <c r="P107" s="864"/>
      <c r="Q107" s="864"/>
      <c r="R107" s="864"/>
      <c r="S107" s="864"/>
      <c r="T107" s="865"/>
      <c r="U107" s="865"/>
      <c r="V107" s="864"/>
      <c r="W107" s="864"/>
      <c r="X107" s="864"/>
      <c r="Y107" s="864"/>
      <c r="Z107" s="864"/>
      <c r="AA107" s="864"/>
      <c r="AB107" s="864"/>
      <c r="AC107" s="2262"/>
      <c r="AD107" s="864">
        <v>1</v>
      </c>
      <c r="AE107" s="864"/>
      <c r="AF107" s="864"/>
      <c r="AG107" s="864"/>
      <c r="AH107" s="864"/>
      <c r="AI107" s="864"/>
      <c r="AJ107" s="2262"/>
      <c r="AK107" s="864"/>
      <c r="AL107" s="864"/>
      <c r="AM107" s="864"/>
      <c r="AN107" s="864"/>
      <c r="AO107" s="864"/>
      <c r="AP107" s="2262"/>
      <c r="AQ107" s="864"/>
      <c r="AR107" s="864"/>
      <c r="AS107" s="864"/>
      <c r="AT107" s="864"/>
      <c r="AU107" s="864"/>
      <c r="AV107" s="864"/>
      <c r="AW107" s="864"/>
      <c r="AX107" s="864"/>
      <c r="AY107" s="864"/>
      <c r="AZ107" s="864"/>
      <c r="BA107" s="864"/>
      <c r="BB107" s="865"/>
      <c r="BC107" s="865"/>
      <c r="BD107" s="865"/>
      <c r="BE107" s="865"/>
      <c r="BF107" s="865"/>
      <c r="BG107" s="865"/>
      <c r="BH107" s="865"/>
      <c r="BI107" s="865"/>
      <c r="BJ107" s="1374"/>
      <c r="BK107" s="1374"/>
      <c r="BL107" s="1374"/>
      <c r="BM107" s="1374"/>
      <c r="BN107" s="1374"/>
      <c r="BO107" s="1374"/>
      <c r="BP107" s="1374"/>
      <c r="BQ107" s="865"/>
      <c r="BR107" s="865"/>
      <c r="BS107" s="1374"/>
      <c r="BT107" s="865"/>
      <c r="BU107" s="865"/>
      <c r="BV107" s="2501"/>
      <c r="BW107" s="2501"/>
      <c r="BX107" s="2501"/>
      <c r="BY107" s="2501"/>
      <c r="BZ107" s="865"/>
      <c r="CA107" s="865"/>
      <c r="CB107" s="2096"/>
      <c r="CC107" s="865"/>
      <c r="CD107" s="865"/>
      <c r="CE107" s="865"/>
      <c r="CF107" s="865"/>
      <c r="CG107" s="865">
        <v>-1</v>
      </c>
      <c r="CH107" s="865"/>
      <c r="CI107" s="865"/>
      <c r="CJ107" s="865"/>
      <c r="CK107" s="865"/>
      <c r="CL107" s="865"/>
      <c r="CM107" s="865"/>
      <c r="CN107" s="865"/>
      <c r="CO107" s="863" t="s">
        <v>3458</v>
      </c>
      <c r="CP107" s="864" t="s">
        <v>1991</v>
      </c>
      <c r="CQ107" s="863"/>
      <c r="CR107" s="866"/>
    </row>
    <row r="108" spans="2:97" ht="18" x14ac:dyDescent="0.25">
      <c r="B108" s="2187">
        <v>105</v>
      </c>
      <c r="C108" s="2188" t="s">
        <v>4848</v>
      </c>
      <c r="D108" s="863" t="s">
        <v>3500</v>
      </c>
      <c r="E108" s="864"/>
      <c r="F108" s="864"/>
      <c r="G108" s="864"/>
      <c r="H108" s="864"/>
      <c r="I108" s="864"/>
      <c r="J108" s="864"/>
      <c r="K108" s="2262"/>
      <c r="L108" s="864"/>
      <c r="M108" s="864"/>
      <c r="N108" s="864"/>
      <c r="O108" s="864"/>
      <c r="P108" s="864"/>
      <c r="Q108" s="864"/>
      <c r="R108" s="864"/>
      <c r="S108" s="864"/>
      <c r="T108" s="865"/>
      <c r="U108" s="865"/>
      <c r="V108" s="864"/>
      <c r="W108" s="864"/>
      <c r="X108" s="864"/>
      <c r="Y108" s="864"/>
      <c r="Z108" s="864"/>
      <c r="AA108" s="864"/>
      <c r="AB108" s="864"/>
      <c r="AC108" s="2262"/>
      <c r="AD108" s="864"/>
      <c r="AE108" s="864"/>
      <c r="AF108" s="864"/>
      <c r="AG108" s="864">
        <v>1</v>
      </c>
      <c r="AH108" s="864"/>
      <c r="AI108" s="864"/>
      <c r="AJ108" s="2262"/>
      <c r="AK108" s="864"/>
      <c r="AL108" s="864"/>
      <c r="AM108" s="864"/>
      <c r="AN108" s="864"/>
      <c r="AO108" s="864"/>
      <c r="AP108" s="2262"/>
      <c r="AQ108" s="864"/>
      <c r="AR108" s="864"/>
      <c r="AS108" s="864"/>
      <c r="AT108" s="864"/>
      <c r="AU108" s="864"/>
      <c r="AV108" s="864"/>
      <c r="AW108" s="864"/>
      <c r="AX108" s="864"/>
      <c r="AY108" s="864"/>
      <c r="AZ108" s="864"/>
      <c r="BA108" s="864"/>
      <c r="BB108" s="865"/>
      <c r="BC108" s="865"/>
      <c r="BD108" s="865"/>
      <c r="BE108" s="865"/>
      <c r="BF108" s="865"/>
      <c r="BG108" s="865"/>
      <c r="BH108" s="865"/>
      <c r="BI108" s="865"/>
      <c r="BJ108" s="865"/>
      <c r="BK108" s="865"/>
      <c r="BL108" s="865"/>
      <c r="BM108" s="865"/>
      <c r="BN108" s="865"/>
      <c r="BO108" s="865"/>
      <c r="BP108" s="865"/>
      <c r="BQ108" s="865"/>
      <c r="BR108" s="865"/>
      <c r="BS108" s="865"/>
      <c r="BT108" s="865"/>
      <c r="BU108" s="865"/>
      <c r="BV108" s="2501"/>
      <c r="BW108" s="2501"/>
      <c r="BX108" s="2501"/>
      <c r="BY108" s="2501"/>
      <c r="BZ108" s="865"/>
      <c r="CA108" s="865"/>
      <c r="CB108" s="2096"/>
      <c r="CC108" s="865"/>
      <c r="CD108" s="865"/>
      <c r="CE108" s="865"/>
      <c r="CF108" s="865"/>
      <c r="CG108" s="865"/>
      <c r="CH108" s="865">
        <v>-1</v>
      </c>
      <c r="CI108" s="865"/>
      <c r="CJ108" s="865"/>
      <c r="CK108" s="865"/>
      <c r="CL108" s="865"/>
      <c r="CM108" s="865"/>
      <c r="CN108" s="865"/>
      <c r="CO108" s="863" t="s">
        <v>3504</v>
      </c>
      <c r="CP108" s="864" t="s">
        <v>1991</v>
      </c>
      <c r="CQ108" s="863"/>
      <c r="CR108" s="866"/>
    </row>
    <row r="109" spans="2:97" ht="18" x14ac:dyDescent="0.25">
      <c r="B109" s="2189">
        <v>106</v>
      </c>
      <c r="C109" s="2190" t="s">
        <v>4849</v>
      </c>
      <c r="D109" s="835" t="s">
        <v>3489</v>
      </c>
      <c r="E109" s="832"/>
      <c r="F109" s="832"/>
      <c r="G109" s="832"/>
      <c r="H109" s="832"/>
      <c r="I109" s="832"/>
      <c r="J109" s="832"/>
      <c r="K109" s="2257"/>
      <c r="L109" s="832"/>
      <c r="M109" s="832"/>
      <c r="N109" s="832"/>
      <c r="O109" s="832"/>
      <c r="P109" s="832"/>
      <c r="Q109" s="832"/>
      <c r="R109" s="832"/>
      <c r="S109" s="832"/>
      <c r="T109" s="833"/>
      <c r="U109" s="833"/>
      <c r="V109" s="832"/>
      <c r="W109" s="832"/>
      <c r="X109" s="832"/>
      <c r="Y109" s="832"/>
      <c r="Z109" s="832"/>
      <c r="AA109" s="832"/>
      <c r="AB109" s="832"/>
      <c r="AC109" s="2257"/>
      <c r="AD109" s="832"/>
      <c r="AE109" s="832"/>
      <c r="AF109" s="832"/>
      <c r="AG109" s="832"/>
      <c r="AH109" s="832"/>
      <c r="AI109" s="832"/>
      <c r="AJ109" s="2257"/>
      <c r="AK109" s="832"/>
      <c r="AL109" s="832"/>
      <c r="AM109" s="832"/>
      <c r="AN109" s="832"/>
      <c r="AO109" s="832"/>
      <c r="AP109" s="2257"/>
      <c r="AQ109" s="832"/>
      <c r="AR109" s="832"/>
      <c r="AS109" s="832"/>
      <c r="AT109" s="832"/>
      <c r="AU109" s="832">
        <v>1</v>
      </c>
      <c r="AV109" s="832"/>
      <c r="AW109" s="832"/>
      <c r="AX109" s="832"/>
      <c r="AY109" s="832"/>
      <c r="AZ109" s="832"/>
      <c r="BA109" s="832"/>
      <c r="BB109" s="833"/>
      <c r="BC109" s="833"/>
      <c r="BD109" s="833"/>
      <c r="BE109" s="833"/>
      <c r="BF109" s="833"/>
      <c r="BG109" s="833"/>
      <c r="BH109" s="833"/>
      <c r="BI109" s="833"/>
      <c r="BJ109" s="833"/>
      <c r="BK109" s="833"/>
      <c r="BL109" s="833"/>
      <c r="BM109" s="833"/>
      <c r="BN109" s="833"/>
      <c r="BO109" s="833"/>
      <c r="BP109" s="833"/>
      <c r="BQ109" s="833"/>
      <c r="BR109" s="833"/>
      <c r="BS109" s="833"/>
      <c r="BT109" s="833"/>
      <c r="BU109" s="833"/>
      <c r="BV109" s="2497"/>
      <c r="BW109" s="2497"/>
      <c r="BX109" s="2497"/>
      <c r="BY109" s="2497"/>
      <c r="BZ109" s="833"/>
      <c r="CA109" s="833"/>
      <c r="CB109" s="2087"/>
      <c r="CC109" s="833"/>
      <c r="CD109" s="833"/>
      <c r="CE109" s="833"/>
      <c r="CF109" s="833"/>
      <c r="CG109" s="833"/>
      <c r="CH109" s="833"/>
      <c r="CI109" s="833" t="s">
        <v>3509</v>
      </c>
      <c r="CJ109" s="833"/>
      <c r="CK109" s="833"/>
      <c r="CL109" s="833"/>
      <c r="CM109" s="833"/>
      <c r="CN109" s="833"/>
      <c r="CO109" s="835" t="s">
        <v>3461</v>
      </c>
      <c r="CP109" s="832" t="s">
        <v>1991</v>
      </c>
      <c r="CQ109" s="835"/>
      <c r="CR109" s="836"/>
    </row>
    <row r="110" spans="2:97" ht="18" x14ac:dyDescent="0.25">
      <c r="B110" s="2189">
        <v>107</v>
      </c>
      <c r="C110" s="2190" t="s">
        <v>4850</v>
      </c>
      <c r="D110" s="835" t="s">
        <v>3490</v>
      </c>
      <c r="E110" s="832"/>
      <c r="F110" s="832"/>
      <c r="G110" s="832"/>
      <c r="H110" s="832"/>
      <c r="I110" s="832"/>
      <c r="J110" s="832"/>
      <c r="K110" s="2257"/>
      <c r="L110" s="832"/>
      <c r="M110" s="832"/>
      <c r="N110" s="832"/>
      <c r="O110" s="832"/>
      <c r="P110" s="832"/>
      <c r="Q110" s="832"/>
      <c r="R110" s="832"/>
      <c r="S110" s="832"/>
      <c r="T110" s="833"/>
      <c r="U110" s="833"/>
      <c r="V110" s="832"/>
      <c r="W110" s="832"/>
      <c r="X110" s="832"/>
      <c r="Y110" s="832"/>
      <c r="Z110" s="832"/>
      <c r="AA110" s="832"/>
      <c r="AB110" s="832"/>
      <c r="AC110" s="2257"/>
      <c r="AD110" s="832"/>
      <c r="AE110" s="832"/>
      <c r="AF110" s="832"/>
      <c r="AG110" s="832"/>
      <c r="AH110" s="832"/>
      <c r="AI110" s="832"/>
      <c r="AJ110" s="2257"/>
      <c r="AK110" s="832"/>
      <c r="AL110" s="832"/>
      <c r="AM110" s="832"/>
      <c r="AN110" s="832"/>
      <c r="AO110" s="832"/>
      <c r="AP110" s="2257"/>
      <c r="AQ110" s="832"/>
      <c r="AR110" s="832"/>
      <c r="AS110" s="832">
        <v>1</v>
      </c>
      <c r="AT110" s="832"/>
      <c r="AU110" s="832"/>
      <c r="AV110" s="832"/>
      <c r="AW110" s="832"/>
      <c r="AX110" s="832"/>
      <c r="AY110" s="832"/>
      <c r="AZ110" s="832"/>
      <c r="BA110" s="832"/>
      <c r="BB110" s="833"/>
      <c r="BC110" s="833"/>
      <c r="BD110" s="833"/>
      <c r="BE110" s="833"/>
      <c r="BF110" s="833"/>
      <c r="BG110" s="833"/>
      <c r="BH110" s="833"/>
      <c r="BI110" s="833"/>
      <c r="BJ110" s="1367"/>
      <c r="BK110" s="1367"/>
      <c r="BL110" s="1367"/>
      <c r="BM110" s="1367"/>
      <c r="BN110" s="1367"/>
      <c r="BO110" s="1367"/>
      <c r="BP110" s="1367"/>
      <c r="BQ110" s="833"/>
      <c r="BR110" s="833"/>
      <c r="BS110" s="1367"/>
      <c r="BT110" s="833"/>
      <c r="BU110" s="833"/>
      <c r="BV110" s="2497"/>
      <c r="BW110" s="2497"/>
      <c r="BX110" s="2497"/>
      <c r="BY110" s="2497"/>
      <c r="BZ110" s="833"/>
      <c r="CA110" s="833"/>
      <c r="CB110" s="2087"/>
      <c r="CC110" s="833"/>
      <c r="CD110" s="833"/>
      <c r="CE110" s="833"/>
      <c r="CF110" s="833"/>
      <c r="CG110" s="833"/>
      <c r="CH110" s="833"/>
      <c r="CI110" s="833"/>
      <c r="CJ110" s="833" t="s">
        <v>3509</v>
      </c>
      <c r="CK110" s="833"/>
      <c r="CL110" s="833"/>
      <c r="CM110" s="833"/>
      <c r="CN110" s="833"/>
      <c r="CO110" s="835" t="s">
        <v>3505</v>
      </c>
      <c r="CP110" s="832" t="s">
        <v>1991</v>
      </c>
      <c r="CQ110" s="835"/>
      <c r="CR110" s="836"/>
    </row>
    <row r="111" spans="2:97" ht="18" x14ac:dyDescent="0.25">
      <c r="B111" s="2189">
        <v>108</v>
      </c>
      <c r="C111" s="2190" t="s">
        <v>4851</v>
      </c>
      <c r="D111" s="835" t="s">
        <v>3491</v>
      </c>
      <c r="E111" s="832"/>
      <c r="F111" s="832"/>
      <c r="G111" s="832"/>
      <c r="H111" s="832"/>
      <c r="I111" s="832"/>
      <c r="J111" s="832"/>
      <c r="K111" s="2257"/>
      <c r="L111" s="832"/>
      <c r="M111" s="832"/>
      <c r="N111" s="832"/>
      <c r="O111" s="832"/>
      <c r="P111" s="832"/>
      <c r="Q111" s="832"/>
      <c r="R111" s="832"/>
      <c r="S111" s="832"/>
      <c r="T111" s="833"/>
      <c r="U111" s="833"/>
      <c r="V111" s="832"/>
      <c r="W111" s="832"/>
      <c r="X111" s="832"/>
      <c r="Y111" s="832"/>
      <c r="Z111" s="832"/>
      <c r="AA111" s="832"/>
      <c r="AB111" s="832"/>
      <c r="AC111" s="2257"/>
      <c r="AD111" s="832"/>
      <c r="AE111" s="832"/>
      <c r="AF111" s="832"/>
      <c r="AG111" s="832"/>
      <c r="AH111" s="832"/>
      <c r="AI111" s="832"/>
      <c r="AJ111" s="2257"/>
      <c r="AK111" s="832"/>
      <c r="AL111" s="832"/>
      <c r="AM111" s="832"/>
      <c r="AN111" s="832"/>
      <c r="AO111" s="832"/>
      <c r="AP111" s="2257"/>
      <c r="AQ111" s="832"/>
      <c r="AR111" s="832"/>
      <c r="AS111" s="832"/>
      <c r="AT111" s="832">
        <v>1</v>
      </c>
      <c r="AU111" s="832"/>
      <c r="AV111" s="832"/>
      <c r="AW111" s="832"/>
      <c r="AX111" s="832"/>
      <c r="AY111" s="832"/>
      <c r="AZ111" s="832"/>
      <c r="BA111" s="832"/>
      <c r="BB111" s="833"/>
      <c r="BC111" s="833"/>
      <c r="BD111" s="833"/>
      <c r="BE111" s="833"/>
      <c r="BF111" s="833"/>
      <c r="BG111" s="833"/>
      <c r="BH111" s="833"/>
      <c r="BI111" s="833"/>
      <c r="BJ111" s="1367"/>
      <c r="BK111" s="1367"/>
      <c r="BL111" s="1367"/>
      <c r="BM111" s="1367"/>
      <c r="BN111" s="1367"/>
      <c r="BO111" s="1367"/>
      <c r="BP111" s="1367"/>
      <c r="BQ111" s="833"/>
      <c r="BR111" s="833"/>
      <c r="BS111" s="1367"/>
      <c r="BT111" s="833"/>
      <c r="BU111" s="833"/>
      <c r="BV111" s="2497"/>
      <c r="BW111" s="2497"/>
      <c r="BX111" s="2497"/>
      <c r="BY111" s="2497"/>
      <c r="BZ111" s="833"/>
      <c r="CA111" s="833"/>
      <c r="CB111" s="2087"/>
      <c r="CC111" s="833"/>
      <c r="CD111" s="833"/>
      <c r="CE111" s="833"/>
      <c r="CF111" s="833"/>
      <c r="CG111" s="833"/>
      <c r="CH111" s="833"/>
      <c r="CI111" s="833"/>
      <c r="CJ111" s="833"/>
      <c r="CK111" s="833" t="s">
        <v>3509</v>
      </c>
      <c r="CL111" s="833"/>
      <c r="CM111" s="833"/>
      <c r="CN111" s="833"/>
      <c r="CO111" s="835" t="s">
        <v>3506</v>
      </c>
      <c r="CP111" s="832" t="s">
        <v>1991</v>
      </c>
      <c r="CQ111" s="835"/>
      <c r="CR111" s="836"/>
    </row>
    <row r="112" spans="2:97" ht="18" x14ac:dyDescent="0.25">
      <c r="B112" s="2189">
        <v>109</v>
      </c>
      <c r="C112" s="2190" t="s">
        <v>5109</v>
      </c>
      <c r="D112" s="835" t="s">
        <v>3492</v>
      </c>
      <c r="E112" s="832"/>
      <c r="F112" s="832"/>
      <c r="G112" s="832"/>
      <c r="H112" s="832"/>
      <c r="I112" s="832"/>
      <c r="J112" s="832"/>
      <c r="K112" s="2257"/>
      <c r="L112" s="832"/>
      <c r="M112" s="832"/>
      <c r="N112" s="832"/>
      <c r="O112" s="832"/>
      <c r="P112" s="832"/>
      <c r="Q112" s="832"/>
      <c r="R112" s="832"/>
      <c r="S112" s="832"/>
      <c r="T112" s="833"/>
      <c r="U112" s="833"/>
      <c r="V112" s="832"/>
      <c r="W112" s="832"/>
      <c r="X112" s="832"/>
      <c r="Y112" s="832"/>
      <c r="Z112" s="832"/>
      <c r="AA112" s="832"/>
      <c r="AB112" s="832"/>
      <c r="AC112" s="2257"/>
      <c r="AD112" s="832"/>
      <c r="AE112" s="832"/>
      <c r="AF112" s="832"/>
      <c r="AG112" s="832"/>
      <c r="AH112" s="832"/>
      <c r="AI112" s="832"/>
      <c r="AJ112" s="2257"/>
      <c r="AK112" s="832"/>
      <c r="AL112" s="832"/>
      <c r="AM112" s="832"/>
      <c r="AN112" s="832"/>
      <c r="AO112" s="832"/>
      <c r="AP112" s="2257"/>
      <c r="AQ112" s="832"/>
      <c r="AR112" s="832">
        <v>1</v>
      </c>
      <c r="AS112" s="832"/>
      <c r="AT112" s="832"/>
      <c r="AU112" s="832"/>
      <c r="AV112" s="832"/>
      <c r="AW112" s="832"/>
      <c r="AX112" s="832"/>
      <c r="AY112" s="832"/>
      <c r="AZ112" s="832"/>
      <c r="BA112" s="832"/>
      <c r="BB112" s="833"/>
      <c r="BC112" s="833"/>
      <c r="BD112" s="833"/>
      <c r="BE112" s="833"/>
      <c r="BF112" s="833"/>
      <c r="BG112" s="833"/>
      <c r="BH112" s="833"/>
      <c r="BI112" s="833"/>
      <c r="BJ112" s="1367"/>
      <c r="BK112" s="1367"/>
      <c r="BL112" s="1367"/>
      <c r="BM112" s="1367"/>
      <c r="BN112" s="1367"/>
      <c r="BO112" s="1367"/>
      <c r="BP112" s="1367"/>
      <c r="BQ112" s="833"/>
      <c r="BR112" s="833"/>
      <c r="BS112" s="1367"/>
      <c r="BT112" s="833"/>
      <c r="BU112" s="833"/>
      <c r="BV112" s="2497"/>
      <c r="BW112" s="2497"/>
      <c r="BX112" s="2497"/>
      <c r="BY112" s="2497"/>
      <c r="BZ112" s="833"/>
      <c r="CA112" s="833"/>
      <c r="CB112" s="2087"/>
      <c r="CC112" s="833"/>
      <c r="CD112" s="833"/>
      <c r="CE112" s="833"/>
      <c r="CF112" s="833"/>
      <c r="CG112" s="833"/>
      <c r="CH112" s="833"/>
      <c r="CI112" s="833"/>
      <c r="CJ112" s="833"/>
      <c r="CK112" s="833"/>
      <c r="CL112" s="833" t="s">
        <v>3509</v>
      </c>
      <c r="CM112" s="833"/>
      <c r="CN112" s="833"/>
      <c r="CO112" s="835" t="s">
        <v>3507</v>
      </c>
      <c r="CP112" s="832" t="s">
        <v>1991</v>
      </c>
      <c r="CQ112" s="835"/>
      <c r="CR112" s="836"/>
    </row>
    <row r="113" spans="2:96" ht="18" x14ac:dyDescent="0.25">
      <c r="B113" s="2189">
        <v>110</v>
      </c>
      <c r="C113" s="2190" t="s">
        <v>5110</v>
      </c>
      <c r="D113" s="835" t="s">
        <v>3493</v>
      </c>
      <c r="E113" s="832"/>
      <c r="F113" s="832"/>
      <c r="G113" s="832"/>
      <c r="H113" s="832"/>
      <c r="I113" s="832"/>
      <c r="J113" s="832"/>
      <c r="K113" s="2257"/>
      <c r="L113" s="832"/>
      <c r="M113" s="832"/>
      <c r="N113" s="832"/>
      <c r="O113" s="832"/>
      <c r="P113" s="832"/>
      <c r="Q113" s="832"/>
      <c r="R113" s="832"/>
      <c r="S113" s="832"/>
      <c r="T113" s="833"/>
      <c r="U113" s="833"/>
      <c r="V113" s="832"/>
      <c r="W113" s="832"/>
      <c r="X113" s="832"/>
      <c r="Y113" s="832"/>
      <c r="Z113" s="832"/>
      <c r="AA113" s="832"/>
      <c r="AB113" s="832"/>
      <c r="AC113" s="2257"/>
      <c r="AD113" s="832">
        <v>1</v>
      </c>
      <c r="AE113" s="832"/>
      <c r="AF113" s="832"/>
      <c r="AG113" s="832"/>
      <c r="AH113" s="832"/>
      <c r="AI113" s="832"/>
      <c r="AJ113" s="2257"/>
      <c r="AK113" s="832"/>
      <c r="AL113" s="832"/>
      <c r="AM113" s="832"/>
      <c r="AN113" s="832"/>
      <c r="AO113" s="832"/>
      <c r="AP113" s="2257"/>
      <c r="AQ113" s="832"/>
      <c r="AR113" s="832"/>
      <c r="AS113" s="832"/>
      <c r="AT113" s="832"/>
      <c r="AU113" s="832"/>
      <c r="AV113" s="832"/>
      <c r="AW113" s="832"/>
      <c r="AX113" s="832"/>
      <c r="AY113" s="832"/>
      <c r="AZ113" s="832"/>
      <c r="BA113" s="832"/>
      <c r="BB113" s="833"/>
      <c r="BC113" s="833"/>
      <c r="BD113" s="833"/>
      <c r="BE113" s="833"/>
      <c r="BF113" s="833"/>
      <c r="BG113" s="833"/>
      <c r="BH113" s="833"/>
      <c r="BI113" s="833"/>
      <c r="BJ113" s="1367"/>
      <c r="BK113" s="1367"/>
      <c r="BL113" s="1367"/>
      <c r="BM113" s="1367"/>
      <c r="BN113" s="1367"/>
      <c r="BO113" s="1367"/>
      <c r="BP113" s="1367"/>
      <c r="BQ113" s="833"/>
      <c r="BR113" s="833"/>
      <c r="BS113" s="1367"/>
      <c r="BT113" s="833"/>
      <c r="BU113" s="833"/>
      <c r="BV113" s="2497"/>
      <c r="BW113" s="2497"/>
      <c r="BX113" s="2497"/>
      <c r="BY113" s="2497"/>
      <c r="BZ113" s="833"/>
      <c r="CA113" s="833"/>
      <c r="CB113" s="2087"/>
      <c r="CC113" s="833"/>
      <c r="CD113" s="833"/>
      <c r="CE113" s="833"/>
      <c r="CF113" s="833"/>
      <c r="CG113" s="833"/>
      <c r="CH113" s="833"/>
      <c r="CI113" s="833"/>
      <c r="CJ113" s="833"/>
      <c r="CK113" s="833"/>
      <c r="CL113" s="833"/>
      <c r="CM113" s="833" t="s">
        <v>3509</v>
      </c>
      <c r="CN113" s="833"/>
      <c r="CO113" s="835" t="s">
        <v>3463</v>
      </c>
      <c r="CP113" s="832" t="s">
        <v>1991</v>
      </c>
      <c r="CQ113" s="835"/>
      <c r="CR113" s="836"/>
    </row>
    <row r="114" spans="2:96" ht="18.75" thickBot="1" x14ac:dyDescent="0.3">
      <c r="B114" s="2191">
        <v>111</v>
      </c>
      <c r="C114" s="2192" t="s">
        <v>5378</v>
      </c>
      <c r="D114" s="971" t="s">
        <v>3494</v>
      </c>
      <c r="E114" s="972"/>
      <c r="F114" s="972"/>
      <c r="G114" s="972"/>
      <c r="H114" s="972"/>
      <c r="I114" s="972"/>
      <c r="J114" s="972"/>
      <c r="K114" s="2263"/>
      <c r="L114" s="972"/>
      <c r="M114" s="972"/>
      <c r="N114" s="972"/>
      <c r="O114" s="972"/>
      <c r="P114" s="972"/>
      <c r="Q114" s="972"/>
      <c r="R114" s="972"/>
      <c r="S114" s="972"/>
      <c r="T114" s="973"/>
      <c r="U114" s="973"/>
      <c r="V114" s="972"/>
      <c r="W114" s="972"/>
      <c r="X114" s="972"/>
      <c r="Y114" s="972"/>
      <c r="Z114" s="972"/>
      <c r="AA114" s="972"/>
      <c r="AB114" s="972"/>
      <c r="AC114" s="2263"/>
      <c r="AD114" s="972"/>
      <c r="AE114" s="972"/>
      <c r="AF114" s="972"/>
      <c r="AG114" s="972">
        <v>1</v>
      </c>
      <c r="AH114" s="972"/>
      <c r="AI114" s="972"/>
      <c r="AJ114" s="2263"/>
      <c r="AK114" s="972"/>
      <c r="AL114" s="972"/>
      <c r="AM114" s="972"/>
      <c r="AN114" s="972"/>
      <c r="AO114" s="972"/>
      <c r="AP114" s="2263"/>
      <c r="AQ114" s="972"/>
      <c r="AR114" s="972"/>
      <c r="AS114" s="972"/>
      <c r="AT114" s="972"/>
      <c r="AU114" s="972"/>
      <c r="AV114" s="972"/>
      <c r="AW114" s="972"/>
      <c r="AX114" s="972"/>
      <c r="AY114" s="972"/>
      <c r="AZ114" s="972"/>
      <c r="BA114" s="972"/>
      <c r="BB114" s="973"/>
      <c r="BC114" s="973"/>
      <c r="BD114" s="973"/>
      <c r="BE114" s="973"/>
      <c r="BF114" s="973"/>
      <c r="BG114" s="973"/>
      <c r="BH114" s="973"/>
      <c r="BI114" s="973"/>
      <c r="BJ114" s="1269"/>
      <c r="BK114" s="1269"/>
      <c r="BL114" s="1269"/>
      <c r="BM114" s="1269"/>
      <c r="BN114" s="1269"/>
      <c r="BO114" s="1269"/>
      <c r="BP114" s="1269"/>
      <c r="BQ114" s="973"/>
      <c r="BR114" s="973"/>
      <c r="BS114" s="1269"/>
      <c r="BT114" s="973"/>
      <c r="BU114" s="973"/>
      <c r="BV114" s="2502"/>
      <c r="BW114" s="2502"/>
      <c r="BX114" s="2502"/>
      <c r="BY114" s="2502"/>
      <c r="BZ114" s="973"/>
      <c r="CA114" s="1269"/>
      <c r="CB114" s="2097"/>
      <c r="CC114" s="973"/>
      <c r="CD114" s="973"/>
      <c r="CE114" s="973"/>
      <c r="CF114" s="973"/>
      <c r="CG114" s="973"/>
      <c r="CH114" s="973"/>
      <c r="CI114" s="973"/>
      <c r="CJ114" s="973"/>
      <c r="CK114" s="973"/>
      <c r="CL114" s="973"/>
      <c r="CM114" s="973"/>
      <c r="CN114" s="973" t="s">
        <v>3509</v>
      </c>
      <c r="CO114" s="971" t="s">
        <v>3508</v>
      </c>
      <c r="CP114" s="972" t="s">
        <v>1991</v>
      </c>
      <c r="CQ114" s="971"/>
      <c r="CR114" s="974"/>
    </row>
    <row r="115" spans="2:96" ht="15.75" thickBot="1" x14ac:dyDescent="0.3"/>
    <row r="116" spans="2:96" ht="15.75" thickBot="1" x14ac:dyDescent="0.3">
      <c r="D116" s="54" t="s">
        <v>6</v>
      </c>
      <c r="E116" s="71"/>
      <c r="F116" s="71"/>
      <c r="G116" s="71"/>
      <c r="H116" s="71"/>
      <c r="I116" s="71"/>
      <c r="J116" s="71"/>
      <c r="K116" s="71"/>
      <c r="L116" s="71"/>
      <c r="M116" s="71"/>
      <c r="N116" s="71"/>
      <c r="O116" s="71"/>
      <c r="P116" s="71"/>
      <c r="Q116" s="71"/>
      <c r="R116" s="71"/>
      <c r="S116" s="71"/>
      <c r="T116" s="71"/>
      <c r="U116" s="71"/>
      <c r="V116" s="71"/>
      <c r="W116" s="71"/>
      <c r="X116" s="71"/>
      <c r="Y116" s="71"/>
      <c r="Z116" s="71"/>
      <c r="AA116" s="71"/>
      <c r="AB116" s="71"/>
      <c r="AC116" s="71"/>
      <c r="AD116" s="71"/>
      <c r="AE116" s="71"/>
      <c r="AF116" s="71"/>
      <c r="AG116" s="71"/>
      <c r="AH116" s="71"/>
      <c r="AI116" s="71"/>
      <c r="AJ116" s="71"/>
      <c r="AK116" s="71"/>
      <c r="AL116" s="71"/>
      <c r="AM116" s="71"/>
      <c r="AN116" s="71"/>
      <c r="AO116" s="71"/>
      <c r="AP116" s="71"/>
      <c r="AQ116" s="71"/>
      <c r="AR116" s="71"/>
      <c r="AS116" s="71"/>
      <c r="AT116" s="71"/>
      <c r="AU116" s="71"/>
      <c r="AV116" s="71"/>
      <c r="AW116" s="71"/>
      <c r="AX116" s="71"/>
      <c r="AY116" s="71"/>
      <c r="AZ116" s="71"/>
      <c r="BA116" s="71"/>
      <c r="BB116" s="71"/>
      <c r="BC116" s="71"/>
      <c r="BD116" s="71"/>
      <c r="BE116" s="71"/>
      <c r="BF116" s="71"/>
      <c r="BG116" s="71"/>
      <c r="BH116" s="71"/>
      <c r="BI116" s="71"/>
      <c r="BJ116" s="71"/>
      <c r="BK116" s="71"/>
      <c r="BL116" s="71"/>
      <c r="BM116" s="71"/>
      <c r="BN116" s="71"/>
      <c r="BO116" s="71"/>
      <c r="BP116" s="71"/>
      <c r="BQ116" s="71"/>
      <c r="BR116" s="71"/>
      <c r="BS116" s="71"/>
      <c r="BT116" s="71"/>
      <c r="BU116" s="71"/>
      <c r="BV116" s="71"/>
      <c r="BW116" s="71"/>
      <c r="BX116" s="71"/>
      <c r="BY116" s="71"/>
      <c r="BZ116" s="71"/>
      <c r="CA116" s="71"/>
      <c r="CB116" s="71"/>
      <c r="CC116" s="71"/>
      <c r="CD116" s="71"/>
      <c r="CE116" s="71"/>
      <c r="CF116" s="71"/>
      <c r="CG116" s="71"/>
      <c r="CH116" s="71"/>
      <c r="CI116" s="71"/>
      <c r="CJ116" s="71"/>
      <c r="CK116" s="71"/>
      <c r="CL116" s="71"/>
      <c r="CM116" s="71"/>
      <c r="CN116" s="71"/>
      <c r="CO116" s="487"/>
    </row>
    <row r="117" spans="2:96" ht="18.75" x14ac:dyDescent="0.25">
      <c r="D117" s="368" t="s">
        <v>148</v>
      </c>
      <c r="E117" s="675">
        <v>1</v>
      </c>
      <c r="F117" s="675">
        <v>1</v>
      </c>
      <c r="G117" s="675">
        <v>1</v>
      </c>
      <c r="H117" s="675">
        <v>1</v>
      </c>
      <c r="I117" s="675">
        <v>1</v>
      </c>
      <c r="J117" s="675">
        <v>1</v>
      </c>
      <c r="K117" s="2598">
        <v>1</v>
      </c>
      <c r="L117" s="675">
        <v>1</v>
      </c>
      <c r="M117" s="675">
        <v>1</v>
      </c>
      <c r="N117" s="675">
        <v>1</v>
      </c>
      <c r="O117" s="675">
        <v>1</v>
      </c>
      <c r="P117" s="675">
        <v>1</v>
      </c>
      <c r="Q117" s="675">
        <v>1</v>
      </c>
      <c r="R117" s="675">
        <v>1</v>
      </c>
      <c r="S117" s="675">
        <v>1</v>
      </c>
      <c r="T117" s="675">
        <v>1</v>
      </c>
      <c r="U117" s="675">
        <v>1</v>
      </c>
      <c r="V117" s="675">
        <v>1</v>
      </c>
      <c r="W117" s="675">
        <v>1</v>
      </c>
      <c r="X117" s="675">
        <v>1</v>
      </c>
      <c r="Y117" s="675">
        <v>1</v>
      </c>
      <c r="Z117" s="675">
        <v>1</v>
      </c>
      <c r="AA117" s="675">
        <v>1</v>
      </c>
      <c r="AB117" s="675">
        <v>1</v>
      </c>
      <c r="AC117" s="1375">
        <v>1</v>
      </c>
      <c r="AD117" s="369"/>
      <c r="AE117" s="370" t="s">
        <v>2398</v>
      </c>
      <c r="AF117" s="370" t="s">
        <v>1631</v>
      </c>
      <c r="AG117" s="370" t="s">
        <v>1632</v>
      </c>
      <c r="AH117" s="369"/>
      <c r="AI117" s="369"/>
      <c r="AJ117" s="2598"/>
      <c r="AK117" s="369"/>
      <c r="AL117" s="369"/>
      <c r="AM117" s="369"/>
      <c r="AN117" s="369"/>
      <c r="AO117" s="369"/>
      <c r="AP117" s="2598"/>
      <c r="AQ117" s="369"/>
      <c r="AR117" s="369">
        <v>-1</v>
      </c>
      <c r="AS117" s="369">
        <v>1</v>
      </c>
      <c r="AT117" s="369">
        <v>1</v>
      </c>
      <c r="AU117" s="369"/>
      <c r="AV117" s="369"/>
      <c r="AW117" s="369"/>
      <c r="AX117" s="369"/>
      <c r="AY117" s="369"/>
      <c r="AZ117" s="369"/>
      <c r="BA117" s="369"/>
      <c r="BB117" s="369" t="s">
        <v>1345</v>
      </c>
      <c r="BC117" s="369"/>
      <c r="BD117" s="369"/>
      <c r="BE117" s="369"/>
      <c r="BF117" s="369"/>
      <c r="BG117" s="369"/>
      <c r="BH117" s="369"/>
      <c r="BI117" s="369"/>
      <c r="BJ117" s="1375"/>
      <c r="BK117" s="1375"/>
      <c r="BL117" s="1375"/>
      <c r="BM117" s="1375"/>
      <c r="BN117" s="1375"/>
      <c r="BO117" s="1375"/>
      <c r="BP117" s="1375"/>
      <c r="BQ117" s="369"/>
      <c r="BR117" s="369"/>
      <c r="BS117" s="1375"/>
      <c r="BT117" s="369"/>
      <c r="BU117" s="371" t="s">
        <v>1633</v>
      </c>
      <c r="BV117" s="2503"/>
      <c r="BW117" s="2503"/>
      <c r="BX117" s="2503"/>
      <c r="BY117" s="2503"/>
      <c r="BZ117" s="371"/>
      <c r="CA117" s="1270"/>
      <c r="CB117" s="1270"/>
      <c r="CC117" s="975"/>
      <c r="CD117" s="976" t="s">
        <v>3514</v>
      </c>
      <c r="CE117" s="976" t="s">
        <v>3514</v>
      </c>
      <c r="CF117" s="976" t="s">
        <v>1149</v>
      </c>
      <c r="CG117" s="975"/>
      <c r="CH117" s="1423" t="s">
        <v>3515</v>
      </c>
      <c r="CI117" s="1375"/>
      <c r="CJ117" s="976" t="s">
        <v>3510</v>
      </c>
      <c r="CK117" s="976" t="s">
        <v>3510</v>
      </c>
      <c r="CL117" s="976" t="s">
        <v>3511</v>
      </c>
      <c r="CM117" s="975"/>
      <c r="CN117" s="978" t="s">
        <v>3512</v>
      </c>
      <c r="CO117" s="4"/>
    </row>
    <row r="118" spans="2:96" ht="18.75" x14ac:dyDescent="0.25">
      <c r="D118" s="332" t="s">
        <v>258</v>
      </c>
      <c r="E118" s="676" t="s">
        <v>3070</v>
      </c>
      <c r="F118" s="676" t="s">
        <v>3068</v>
      </c>
      <c r="G118" s="676" t="s">
        <v>3069</v>
      </c>
      <c r="H118" s="676" t="s">
        <v>3071</v>
      </c>
      <c r="I118" s="676" t="s">
        <v>3069</v>
      </c>
      <c r="J118" s="676" t="s">
        <v>3069</v>
      </c>
      <c r="K118" s="2264" t="s">
        <v>5372</v>
      </c>
      <c r="L118" s="676" t="s">
        <v>3069</v>
      </c>
      <c r="M118" s="676" t="s">
        <v>3069</v>
      </c>
      <c r="N118" s="676" t="s">
        <v>3069</v>
      </c>
      <c r="O118" s="676" t="s">
        <v>3068</v>
      </c>
      <c r="P118" s="676" t="s">
        <v>3072</v>
      </c>
      <c r="Q118" s="676" t="s">
        <v>3072</v>
      </c>
      <c r="R118" s="676" t="s">
        <v>3073</v>
      </c>
      <c r="S118" s="676" t="s">
        <v>3073</v>
      </c>
      <c r="T118" s="676" t="s">
        <v>3073</v>
      </c>
      <c r="U118" s="676" t="s">
        <v>3073</v>
      </c>
      <c r="V118" s="676" t="s">
        <v>3073</v>
      </c>
      <c r="W118" s="676" t="s">
        <v>3073</v>
      </c>
      <c r="X118" s="676" t="s">
        <v>3073</v>
      </c>
      <c r="Y118" s="676" t="s">
        <v>3073</v>
      </c>
      <c r="Z118" s="676" t="s">
        <v>3073</v>
      </c>
      <c r="AA118" s="676" t="s">
        <v>3073</v>
      </c>
      <c r="AB118" s="676" t="s">
        <v>3073</v>
      </c>
      <c r="AC118" s="2264" t="s">
        <v>4818</v>
      </c>
      <c r="AD118" s="275"/>
      <c r="AE118" s="367"/>
      <c r="AF118" s="367"/>
      <c r="AG118" s="367"/>
      <c r="AH118" s="275"/>
      <c r="AI118" s="275"/>
      <c r="AJ118" s="2264"/>
      <c r="AK118" s="275"/>
      <c r="AL118" s="275"/>
      <c r="AM118" s="275"/>
      <c r="AN118" s="275"/>
      <c r="AO118" s="275"/>
      <c r="AP118" s="2264"/>
      <c r="AQ118" s="275"/>
      <c r="AR118" s="275"/>
      <c r="AS118" s="275" t="s">
        <v>1944</v>
      </c>
      <c r="AT118" s="275"/>
      <c r="AU118" s="275">
        <v>1</v>
      </c>
      <c r="AV118" s="275"/>
      <c r="AW118" s="275"/>
      <c r="AX118" s="275"/>
      <c r="AY118" s="275"/>
      <c r="AZ118" s="275"/>
      <c r="BA118" s="275"/>
      <c r="BB118" s="275"/>
      <c r="BC118" s="275"/>
      <c r="BD118" s="275"/>
      <c r="BE118" s="275"/>
      <c r="BF118" s="275"/>
      <c r="BG118" s="275"/>
      <c r="BH118" s="275"/>
      <c r="BI118" s="275"/>
      <c r="BJ118" s="498"/>
      <c r="BK118" s="498"/>
      <c r="BL118" s="498"/>
      <c r="BM118" s="498"/>
      <c r="BN118" s="498"/>
      <c r="BO118" s="498"/>
      <c r="BP118" s="498"/>
      <c r="BQ118" s="275" t="s">
        <v>2423</v>
      </c>
      <c r="BR118" s="275"/>
      <c r="BS118" s="498"/>
      <c r="BT118" s="275"/>
      <c r="BU118" s="276"/>
      <c r="BV118" s="2504"/>
      <c r="BW118" s="2504"/>
      <c r="BX118" s="2504"/>
      <c r="BY118" s="2504"/>
      <c r="BZ118" s="276"/>
      <c r="CA118" s="1271"/>
      <c r="CB118" s="2072"/>
      <c r="CC118" s="977" t="s">
        <v>3514</v>
      </c>
      <c r="CD118" s="498" t="s">
        <v>1944</v>
      </c>
      <c r="CE118" s="498"/>
      <c r="CF118" s="977"/>
      <c r="CG118" s="498"/>
      <c r="CH118" s="1424"/>
      <c r="CI118" s="1424" t="s">
        <v>3510</v>
      </c>
      <c r="CJ118" s="977" t="s">
        <v>3513</v>
      </c>
      <c r="CK118" s="498"/>
      <c r="CL118" s="977"/>
      <c r="CM118" s="498"/>
      <c r="CN118" s="979"/>
      <c r="CO118" s="4"/>
    </row>
    <row r="119" spans="2:96" ht="18.75" x14ac:dyDescent="0.25">
      <c r="D119" s="332" t="s">
        <v>254</v>
      </c>
      <c r="E119" s="676"/>
      <c r="F119" s="676"/>
      <c r="G119" s="677"/>
      <c r="H119" s="676"/>
      <c r="I119" s="676" t="s">
        <v>3074</v>
      </c>
      <c r="J119" s="676"/>
      <c r="K119" s="2264"/>
      <c r="L119" s="676" t="s">
        <v>3075</v>
      </c>
      <c r="M119" s="676" t="s">
        <v>3076</v>
      </c>
      <c r="N119" s="676"/>
      <c r="O119" s="676"/>
      <c r="P119" s="676"/>
      <c r="Q119" s="676"/>
      <c r="R119" s="676" t="s">
        <v>3077</v>
      </c>
      <c r="S119" s="676" t="s">
        <v>3077</v>
      </c>
      <c r="T119" s="676" t="s">
        <v>3078</v>
      </c>
      <c r="U119" s="676" t="s">
        <v>3198</v>
      </c>
      <c r="V119" s="676" t="s">
        <v>3078</v>
      </c>
      <c r="W119" s="676" t="s">
        <v>3078</v>
      </c>
      <c r="X119" s="676" t="s">
        <v>3078</v>
      </c>
      <c r="Y119" s="676" t="s">
        <v>3078</v>
      </c>
      <c r="Z119" s="676" t="s">
        <v>3078</v>
      </c>
      <c r="AA119" s="676" t="s">
        <v>3078</v>
      </c>
      <c r="AB119" s="676" t="s">
        <v>3078</v>
      </c>
      <c r="AC119" s="2264" t="s">
        <v>4852</v>
      </c>
      <c r="AD119" s="275">
        <v>1</v>
      </c>
      <c r="AE119" s="275">
        <v>1</v>
      </c>
      <c r="AF119" s="275">
        <v>1</v>
      </c>
      <c r="AG119" s="275">
        <v>1</v>
      </c>
      <c r="AH119" s="275">
        <v>1</v>
      </c>
      <c r="AI119" s="275">
        <v>1</v>
      </c>
      <c r="AJ119" s="2264">
        <v>1</v>
      </c>
      <c r="AK119" s="275">
        <v>1</v>
      </c>
      <c r="AL119" s="275"/>
      <c r="AM119" s="275"/>
      <c r="AN119" s="275"/>
      <c r="AO119" s="275"/>
      <c r="AP119" s="2264"/>
      <c r="AQ119" s="275"/>
      <c r="AR119" s="275"/>
      <c r="AS119" s="275"/>
      <c r="AT119" s="275"/>
      <c r="AU119" s="275"/>
      <c r="AV119" s="275"/>
      <c r="AW119" s="275"/>
      <c r="AX119" s="275"/>
      <c r="AY119" s="275"/>
      <c r="AZ119" s="275"/>
      <c r="BA119" s="275"/>
      <c r="BB119" s="275"/>
      <c r="BC119" s="275"/>
      <c r="BD119" s="275"/>
      <c r="BE119" s="275"/>
      <c r="BF119" s="275"/>
      <c r="BG119" s="275"/>
      <c r="BH119" s="275"/>
      <c r="BI119" s="275"/>
      <c r="BJ119" s="498"/>
      <c r="BK119" s="498"/>
      <c r="BL119" s="498"/>
      <c r="BM119" s="498"/>
      <c r="BN119" s="498"/>
      <c r="BO119" s="498"/>
      <c r="BP119" s="498"/>
      <c r="BQ119" s="275"/>
      <c r="BR119" s="275"/>
      <c r="BS119" s="498"/>
      <c r="BT119" s="275" t="s">
        <v>1634</v>
      </c>
      <c r="BU119" s="275"/>
      <c r="BV119" s="2264"/>
      <c r="BW119" s="2264"/>
      <c r="BX119" s="2264"/>
      <c r="BY119" s="2264"/>
      <c r="BZ119" s="275"/>
      <c r="CA119" s="1272"/>
      <c r="CB119" s="2098"/>
      <c r="CC119" s="498"/>
      <c r="CD119" s="498"/>
      <c r="CE119" s="498"/>
      <c r="CF119" s="498"/>
      <c r="CG119" s="977" t="s">
        <v>3514</v>
      </c>
      <c r="CH119" s="1424" t="s">
        <v>3514</v>
      </c>
      <c r="CI119" s="1272"/>
      <c r="CJ119" s="498"/>
      <c r="CK119" s="498"/>
      <c r="CL119" s="498"/>
      <c r="CM119" s="498" t="s">
        <v>3510</v>
      </c>
      <c r="CN119" s="979" t="s">
        <v>3510</v>
      </c>
      <c r="CO119" s="4"/>
    </row>
    <row r="120" spans="2:96" ht="18" x14ac:dyDescent="0.25">
      <c r="D120" s="332" t="s">
        <v>255</v>
      </c>
      <c r="E120" s="676"/>
      <c r="F120" s="676"/>
      <c r="G120" s="677"/>
      <c r="H120" s="676"/>
      <c r="I120" s="676" t="s">
        <v>3079</v>
      </c>
      <c r="J120" s="676"/>
      <c r="K120" s="2264"/>
      <c r="L120" s="676" t="s">
        <v>3080</v>
      </c>
      <c r="M120" s="676" t="s">
        <v>3081</v>
      </c>
      <c r="N120" s="676"/>
      <c r="O120" s="676"/>
      <c r="P120" s="676"/>
      <c r="Q120" s="676"/>
      <c r="R120" s="676" t="s">
        <v>3082</v>
      </c>
      <c r="S120" s="676" t="s">
        <v>3082</v>
      </c>
      <c r="T120" s="676" t="s">
        <v>3082</v>
      </c>
      <c r="U120" s="676" t="s">
        <v>4399</v>
      </c>
      <c r="V120" s="676" t="s">
        <v>3082</v>
      </c>
      <c r="W120" s="676" t="s">
        <v>3082</v>
      </c>
      <c r="X120" s="676" t="s">
        <v>3082</v>
      </c>
      <c r="Y120" s="676" t="s">
        <v>3082</v>
      </c>
      <c r="Z120" s="676" t="s">
        <v>3082</v>
      </c>
      <c r="AA120" s="676" t="s">
        <v>3082</v>
      </c>
      <c r="AB120" s="676" t="s">
        <v>3082</v>
      </c>
      <c r="AC120" s="2264" t="s">
        <v>4853</v>
      </c>
      <c r="AD120" s="275"/>
      <c r="AE120" s="275"/>
      <c r="AF120" s="275"/>
      <c r="AG120" s="275"/>
      <c r="AH120" s="275"/>
      <c r="AI120" s="275"/>
      <c r="AJ120" s="2264"/>
      <c r="AK120" s="275"/>
      <c r="AL120" s="275">
        <v>1</v>
      </c>
      <c r="AM120" s="275">
        <v>1</v>
      </c>
      <c r="AN120" s="275">
        <v>1</v>
      </c>
      <c r="AO120" s="275">
        <v>1</v>
      </c>
      <c r="AP120" s="2264">
        <v>1</v>
      </c>
      <c r="AQ120" s="275">
        <v>1</v>
      </c>
      <c r="AR120" s="275"/>
      <c r="AS120" s="275"/>
      <c r="AT120" s="275"/>
      <c r="AU120" s="275"/>
      <c r="AV120" s="275"/>
      <c r="AW120" s="275"/>
      <c r="AX120" s="275"/>
      <c r="AY120" s="275"/>
      <c r="AZ120" s="275"/>
      <c r="BA120" s="275"/>
      <c r="BB120" s="276"/>
      <c r="BC120" s="275"/>
      <c r="BD120" s="275"/>
      <c r="BE120" s="276"/>
      <c r="BF120" s="275" t="s">
        <v>4375</v>
      </c>
      <c r="BG120" s="275" t="s">
        <v>4369</v>
      </c>
      <c r="BH120" s="275" t="s">
        <v>4375</v>
      </c>
      <c r="BI120" s="275" t="s">
        <v>4369</v>
      </c>
      <c r="BJ120" s="498"/>
      <c r="BK120" s="498"/>
      <c r="BL120" s="1376"/>
      <c r="BM120" s="498" t="s">
        <v>4308</v>
      </c>
      <c r="BN120" s="498" t="s">
        <v>4309</v>
      </c>
      <c r="BO120" s="498" t="s">
        <v>4308</v>
      </c>
      <c r="BP120" s="498" t="s">
        <v>4309</v>
      </c>
      <c r="BQ120" s="276"/>
      <c r="BR120" s="275" t="s">
        <v>1636</v>
      </c>
      <c r="BS120" s="498" t="s">
        <v>4224</v>
      </c>
      <c r="BT120" s="275" t="s">
        <v>1637</v>
      </c>
      <c r="BU120" s="276" t="s">
        <v>1638</v>
      </c>
      <c r="BV120" s="2504"/>
      <c r="BW120" s="2504"/>
      <c r="BX120" s="2504"/>
      <c r="BY120" s="2504"/>
      <c r="BZ120" s="276"/>
      <c r="CA120" s="1271"/>
      <c r="CB120" s="2072"/>
      <c r="CC120" s="275"/>
      <c r="CD120" s="275"/>
      <c r="CE120" s="275"/>
      <c r="CF120" s="275"/>
      <c r="CG120" s="275"/>
      <c r="CH120" s="1272"/>
      <c r="CI120" s="1272"/>
      <c r="CJ120" s="498"/>
      <c r="CK120" s="498"/>
      <c r="CL120" s="498"/>
      <c r="CM120" s="498"/>
      <c r="CN120" s="979"/>
      <c r="CO120" s="4"/>
    </row>
    <row r="121" spans="2:96" ht="18" x14ac:dyDescent="0.25">
      <c r="D121" s="332" t="s">
        <v>1114</v>
      </c>
      <c r="E121" s="275"/>
      <c r="F121" s="666"/>
      <c r="G121" s="275"/>
      <c r="H121" s="275"/>
      <c r="I121" s="275"/>
      <c r="J121" s="275"/>
      <c r="K121" s="2264"/>
      <c r="L121" s="275"/>
      <c r="M121" s="275"/>
      <c r="N121" s="275"/>
      <c r="O121" s="666"/>
      <c r="P121" s="275"/>
      <c r="Q121" s="275"/>
      <c r="R121" s="275"/>
      <c r="S121" s="275"/>
      <c r="T121" s="275"/>
      <c r="U121" s="666"/>
      <c r="V121" s="275"/>
      <c r="W121" s="275"/>
      <c r="X121" s="275"/>
      <c r="Y121" s="275"/>
      <c r="Z121" s="275"/>
      <c r="AA121" s="275"/>
      <c r="AB121" s="275"/>
      <c r="AC121" s="2264"/>
      <c r="AD121" s="275"/>
      <c r="AE121" s="275"/>
      <c r="AF121" s="275"/>
      <c r="AG121" s="275"/>
      <c r="AH121" s="275"/>
      <c r="AI121" s="275"/>
      <c r="AJ121" s="2264"/>
      <c r="AK121" s="275"/>
      <c r="AL121" s="275"/>
      <c r="AM121" s="275"/>
      <c r="AN121" s="275"/>
      <c r="AO121" s="275"/>
      <c r="AP121" s="2264"/>
      <c r="AQ121" s="275"/>
      <c r="AR121" s="275"/>
      <c r="AS121" s="275"/>
      <c r="AT121" s="275"/>
      <c r="AU121" s="275"/>
      <c r="AV121" s="1272" t="s">
        <v>3850</v>
      </c>
      <c r="AW121" s="275">
        <v>1</v>
      </c>
      <c r="AX121" s="275"/>
      <c r="AY121" s="275"/>
      <c r="AZ121" s="275"/>
      <c r="BA121" s="275"/>
      <c r="BB121" s="276"/>
      <c r="BC121" s="275"/>
      <c r="BD121" s="275"/>
      <c r="BE121" s="276"/>
      <c r="BF121" s="276"/>
      <c r="BG121" s="275"/>
      <c r="BH121" s="276"/>
      <c r="BI121" s="276"/>
      <c r="BJ121" s="498"/>
      <c r="BK121" s="498"/>
      <c r="BL121" s="1376"/>
      <c r="BM121" s="1376"/>
      <c r="BN121" s="498"/>
      <c r="BO121" s="1376"/>
      <c r="BP121" s="1376"/>
      <c r="BQ121" s="276"/>
      <c r="BR121" s="276"/>
      <c r="BS121" s="1376"/>
      <c r="BT121" s="275"/>
      <c r="BU121" s="276"/>
      <c r="BV121" s="2504"/>
      <c r="BW121" s="2504"/>
      <c r="BX121" s="2504"/>
      <c r="BY121" s="2504"/>
      <c r="BZ121" s="276"/>
      <c r="CA121" s="1271"/>
      <c r="CB121" s="2072"/>
      <c r="CC121" s="275"/>
      <c r="CD121" s="275"/>
      <c r="CE121" s="275"/>
      <c r="CF121" s="275"/>
      <c r="CG121" s="275"/>
      <c r="CH121" s="1272"/>
      <c r="CI121" s="1272"/>
      <c r="CJ121" s="498"/>
      <c r="CK121" s="498"/>
      <c r="CL121" s="498"/>
      <c r="CM121" s="498"/>
      <c r="CN121" s="979"/>
      <c r="CO121" s="4"/>
    </row>
    <row r="122" spans="2:96" ht="18" x14ac:dyDescent="0.25">
      <c r="D122" s="332" t="s">
        <v>477</v>
      </c>
      <c r="E122" s="275"/>
      <c r="F122" s="666"/>
      <c r="G122" s="275"/>
      <c r="H122" s="275"/>
      <c r="I122" s="275"/>
      <c r="J122" s="275"/>
      <c r="K122" s="2264"/>
      <c r="L122" s="275"/>
      <c r="M122" s="275"/>
      <c r="N122" s="275"/>
      <c r="O122" s="666"/>
      <c r="P122" s="275"/>
      <c r="Q122" s="275"/>
      <c r="R122" s="275"/>
      <c r="S122" s="275"/>
      <c r="T122" s="275"/>
      <c r="U122" s="666"/>
      <c r="V122" s="275"/>
      <c r="W122" s="275"/>
      <c r="X122" s="275"/>
      <c r="Y122" s="275"/>
      <c r="Z122" s="275"/>
      <c r="AA122" s="275"/>
      <c r="AB122" s="275"/>
      <c r="AC122" s="2264"/>
      <c r="AD122" s="275"/>
      <c r="AE122" s="275"/>
      <c r="AF122" s="275"/>
      <c r="AG122" s="275"/>
      <c r="AH122" s="275"/>
      <c r="AI122" s="275"/>
      <c r="AJ122" s="2264"/>
      <c r="AK122" s="275"/>
      <c r="AL122" s="275"/>
      <c r="AM122" s="275" t="s">
        <v>1639</v>
      </c>
      <c r="AN122" s="275"/>
      <c r="AO122" s="275"/>
      <c r="AP122" s="2264"/>
      <c r="AQ122" s="275"/>
      <c r="AR122" s="275"/>
      <c r="AS122" s="275"/>
      <c r="AT122" s="275"/>
      <c r="AU122" s="275"/>
      <c r="AV122" s="1272"/>
      <c r="AW122" s="275"/>
      <c r="AX122" s="275"/>
      <c r="AY122" s="275"/>
      <c r="AZ122" s="275"/>
      <c r="BA122" s="275">
        <v>1</v>
      </c>
      <c r="BB122" s="275"/>
      <c r="BC122" s="275"/>
      <c r="BD122" s="275"/>
      <c r="BE122" s="275"/>
      <c r="BF122" s="275"/>
      <c r="BG122" s="275"/>
      <c r="BH122" s="275"/>
      <c r="BI122" s="275"/>
      <c r="BJ122" s="498"/>
      <c r="BK122" s="498"/>
      <c r="BL122" s="498"/>
      <c r="BM122" s="498"/>
      <c r="BN122" s="498"/>
      <c r="BO122" s="498"/>
      <c r="BP122" s="498"/>
      <c r="BQ122" s="275"/>
      <c r="BR122" s="275"/>
      <c r="BS122" s="498"/>
      <c r="BT122" s="275"/>
      <c r="BU122" s="275"/>
      <c r="BV122" s="2264"/>
      <c r="BW122" s="2264"/>
      <c r="BX122" s="2264"/>
      <c r="BY122" s="2264"/>
      <c r="BZ122" s="275"/>
      <c r="CA122" s="1272"/>
      <c r="CB122" s="2098"/>
      <c r="CC122" s="275"/>
      <c r="CD122" s="275"/>
      <c r="CE122" s="275"/>
      <c r="CF122" s="275"/>
      <c r="CG122" s="275"/>
      <c r="CH122" s="1272"/>
      <c r="CI122" s="1272"/>
      <c r="CJ122" s="498"/>
      <c r="CK122" s="498"/>
      <c r="CL122" s="498"/>
      <c r="CM122" s="498"/>
      <c r="CN122" s="979"/>
      <c r="CO122" s="4"/>
    </row>
    <row r="123" spans="2:96" ht="18" x14ac:dyDescent="0.25">
      <c r="D123" s="332" t="s">
        <v>987</v>
      </c>
      <c r="E123" s="275"/>
      <c r="F123" s="666"/>
      <c r="G123" s="275"/>
      <c r="H123" s="275"/>
      <c r="I123" s="275"/>
      <c r="J123" s="275"/>
      <c r="K123" s="2264"/>
      <c r="L123" s="275"/>
      <c r="M123" s="275"/>
      <c r="N123" s="275"/>
      <c r="O123" s="666"/>
      <c r="P123" s="275"/>
      <c r="Q123" s="275"/>
      <c r="R123" s="275"/>
      <c r="S123" s="275"/>
      <c r="T123" s="275"/>
      <c r="U123" s="666"/>
      <c r="V123" s="275"/>
      <c r="W123" s="275"/>
      <c r="X123" s="275"/>
      <c r="Y123" s="275"/>
      <c r="Z123" s="275"/>
      <c r="AA123" s="275"/>
      <c r="AB123" s="275"/>
      <c r="AC123" s="2264"/>
      <c r="AD123" s="275"/>
      <c r="AE123" s="275"/>
      <c r="AF123" s="275"/>
      <c r="AG123" s="275"/>
      <c r="AH123" s="275"/>
      <c r="AI123" s="275"/>
      <c r="AJ123" s="2264"/>
      <c r="AK123" s="275"/>
      <c r="AL123" s="275"/>
      <c r="AM123" s="275" t="s">
        <v>1640</v>
      </c>
      <c r="AN123" s="275"/>
      <c r="AO123" s="275"/>
      <c r="AP123" s="2264"/>
      <c r="AQ123" s="275"/>
      <c r="AR123" s="275"/>
      <c r="AS123" s="275"/>
      <c r="AT123" s="275"/>
      <c r="AU123" s="275"/>
      <c r="AV123" s="1272" t="s">
        <v>3809</v>
      </c>
      <c r="AW123" s="275"/>
      <c r="AX123" s="275"/>
      <c r="AY123" s="275">
        <v>1</v>
      </c>
      <c r="AZ123" s="275"/>
      <c r="BA123" s="275"/>
      <c r="BB123" s="275"/>
      <c r="BC123" s="275"/>
      <c r="BD123" s="275"/>
      <c r="BE123" s="275"/>
      <c r="BF123" s="275"/>
      <c r="BG123" s="275"/>
      <c r="BH123" s="275"/>
      <c r="BI123" s="275"/>
      <c r="BJ123" s="498"/>
      <c r="BK123" s="498"/>
      <c r="BL123" s="498"/>
      <c r="BM123" s="498"/>
      <c r="BN123" s="498"/>
      <c r="BO123" s="498"/>
      <c r="BP123" s="498"/>
      <c r="BQ123" s="275" t="s">
        <v>1641</v>
      </c>
      <c r="BR123" s="275" t="s">
        <v>1642</v>
      </c>
      <c r="BS123" s="498" t="s">
        <v>4225</v>
      </c>
      <c r="BT123" s="275"/>
      <c r="BU123" s="275"/>
      <c r="BV123" s="2264"/>
      <c r="BW123" s="2264"/>
      <c r="BX123" s="2264"/>
      <c r="BY123" s="2264"/>
      <c r="BZ123" s="275"/>
      <c r="CA123" s="1272"/>
      <c r="CB123" s="2098"/>
      <c r="CC123" s="275"/>
      <c r="CD123" s="275"/>
      <c r="CE123" s="275"/>
      <c r="CF123" s="275"/>
      <c r="CG123" s="275"/>
      <c r="CH123" s="1272"/>
      <c r="CI123" s="1272"/>
      <c r="CJ123" s="498"/>
      <c r="CK123" s="498"/>
      <c r="CL123" s="498"/>
      <c r="CM123" s="498"/>
      <c r="CN123" s="979"/>
      <c r="CO123" s="4"/>
    </row>
    <row r="124" spans="2:96" ht="18" x14ac:dyDescent="0.25">
      <c r="D124" s="332" t="s">
        <v>988</v>
      </c>
      <c r="E124" s="275"/>
      <c r="F124" s="666"/>
      <c r="G124" s="275"/>
      <c r="H124" s="275"/>
      <c r="I124" s="275"/>
      <c r="J124" s="275"/>
      <c r="K124" s="2264"/>
      <c r="L124" s="275"/>
      <c r="M124" s="275"/>
      <c r="N124" s="275"/>
      <c r="O124" s="666"/>
      <c r="P124" s="275"/>
      <c r="Q124" s="275"/>
      <c r="R124" s="275"/>
      <c r="S124" s="275"/>
      <c r="T124" s="275"/>
      <c r="U124" s="666"/>
      <c r="V124" s="275"/>
      <c r="W124" s="275"/>
      <c r="X124" s="275"/>
      <c r="Y124" s="275"/>
      <c r="Z124" s="275"/>
      <c r="AA124" s="275"/>
      <c r="AB124" s="275"/>
      <c r="AC124" s="2264"/>
      <c r="AD124" s="275"/>
      <c r="AE124" s="275"/>
      <c r="AF124" s="275"/>
      <c r="AG124" s="275"/>
      <c r="AH124" s="275"/>
      <c r="AI124" s="275"/>
      <c r="AJ124" s="2264"/>
      <c r="AK124" s="275"/>
      <c r="AL124" s="275"/>
      <c r="AM124" s="275" t="s">
        <v>1643</v>
      </c>
      <c r="AN124" s="275"/>
      <c r="AO124" s="275"/>
      <c r="AP124" s="2264"/>
      <c r="AQ124" s="275"/>
      <c r="AR124" s="275"/>
      <c r="AS124" s="275"/>
      <c r="AT124" s="275"/>
      <c r="AU124" s="275"/>
      <c r="AV124" s="1272" t="s">
        <v>3812</v>
      </c>
      <c r="AW124" s="275"/>
      <c r="AX124" s="275"/>
      <c r="AY124" s="275"/>
      <c r="AZ124" s="275">
        <v>1</v>
      </c>
      <c r="BA124" s="275"/>
      <c r="BB124" s="275"/>
      <c r="BC124" s="275"/>
      <c r="BD124" s="275"/>
      <c r="BE124" s="275"/>
      <c r="BF124" s="275"/>
      <c r="BG124" s="275"/>
      <c r="BH124" s="275"/>
      <c r="BI124" s="275"/>
      <c r="BJ124" s="498"/>
      <c r="BK124" s="498"/>
      <c r="BL124" s="498"/>
      <c r="BM124" s="498"/>
      <c r="BN124" s="498"/>
      <c r="BO124" s="498"/>
      <c r="BP124" s="498"/>
      <c r="BQ124" s="275"/>
      <c r="BR124" s="275"/>
      <c r="BS124" s="498"/>
      <c r="BT124" s="275" t="s">
        <v>1644</v>
      </c>
      <c r="BU124" s="275"/>
      <c r="BV124" s="2264"/>
      <c r="BW124" s="2264"/>
      <c r="BX124" s="2264"/>
      <c r="BY124" s="2264"/>
      <c r="BZ124" s="275"/>
      <c r="CA124" s="1272"/>
      <c r="CB124" s="2098"/>
      <c r="CC124" s="275"/>
      <c r="CD124" s="275"/>
      <c r="CE124" s="275"/>
      <c r="CF124" s="275"/>
      <c r="CG124" s="275"/>
      <c r="CH124" s="1272"/>
      <c r="CI124" s="1272"/>
      <c r="CJ124" s="498"/>
      <c r="CK124" s="498"/>
      <c r="CL124" s="498"/>
      <c r="CM124" s="498"/>
      <c r="CN124" s="979"/>
      <c r="CO124" s="4"/>
    </row>
    <row r="125" spans="2:96" ht="18" x14ac:dyDescent="0.25">
      <c r="D125" s="332" t="s">
        <v>142</v>
      </c>
      <c r="E125" s="275"/>
      <c r="F125" s="666"/>
      <c r="G125" s="275"/>
      <c r="H125" s="275"/>
      <c r="I125" s="275"/>
      <c r="J125" s="275"/>
      <c r="K125" s="2264"/>
      <c r="L125" s="275"/>
      <c r="M125" s="275"/>
      <c r="N125" s="275"/>
      <c r="O125" s="666"/>
      <c r="P125" s="275"/>
      <c r="Q125" s="275"/>
      <c r="R125" s="275"/>
      <c r="S125" s="275"/>
      <c r="T125" s="275"/>
      <c r="U125" s="666"/>
      <c r="V125" s="275"/>
      <c r="W125" s="275"/>
      <c r="X125" s="275"/>
      <c r="Y125" s="275"/>
      <c r="Z125" s="275"/>
      <c r="AA125" s="275"/>
      <c r="AB125" s="275"/>
      <c r="AC125" s="2264"/>
      <c r="AD125" s="275"/>
      <c r="AE125" s="275"/>
      <c r="AF125" s="275"/>
      <c r="AG125" s="275"/>
      <c r="AH125" s="275"/>
      <c r="AI125" s="275"/>
      <c r="AJ125" s="2264"/>
      <c r="AK125" s="275"/>
      <c r="AL125" s="275"/>
      <c r="AM125" s="275"/>
      <c r="AN125" s="275"/>
      <c r="AO125" s="275"/>
      <c r="AP125" s="2264"/>
      <c r="AQ125" s="275"/>
      <c r="AR125" s="275"/>
      <c r="AS125" s="275"/>
      <c r="AT125" s="275"/>
      <c r="AU125" s="275"/>
      <c r="AV125" s="1272" t="s">
        <v>3851</v>
      </c>
      <c r="AW125" s="275"/>
      <c r="AX125" s="275">
        <v>1</v>
      </c>
      <c r="AY125" s="275"/>
      <c r="AZ125" s="275"/>
      <c r="BA125" s="275"/>
      <c r="BB125" s="275"/>
      <c r="BC125" s="275"/>
      <c r="BD125" s="275"/>
      <c r="BE125" s="275"/>
      <c r="BF125" s="275"/>
      <c r="BG125" s="275"/>
      <c r="BH125" s="275"/>
      <c r="BI125" s="275"/>
      <c r="BJ125" s="498"/>
      <c r="BK125" s="498"/>
      <c r="BL125" s="498"/>
      <c r="BM125" s="498"/>
      <c r="BN125" s="498"/>
      <c r="BO125" s="498"/>
      <c r="BP125" s="498"/>
      <c r="BQ125" s="275"/>
      <c r="BR125" s="275"/>
      <c r="BS125" s="498"/>
      <c r="BT125" s="275"/>
      <c r="BU125" s="275"/>
      <c r="BV125" s="2264"/>
      <c r="BW125" s="2264"/>
      <c r="BX125" s="2264"/>
      <c r="BY125" s="2264"/>
      <c r="BZ125" s="275"/>
      <c r="CA125" s="1272"/>
      <c r="CB125" s="2098"/>
      <c r="CC125" s="275"/>
      <c r="CD125" s="275"/>
      <c r="CE125" s="275"/>
      <c r="CF125" s="275"/>
      <c r="CG125" s="275"/>
      <c r="CH125" s="1272"/>
      <c r="CI125" s="1272"/>
      <c r="CJ125" s="498"/>
      <c r="CK125" s="498"/>
      <c r="CL125" s="498"/>
      <c r="CM125" s="498"/>
      <c r="CN125" s="979"/>
      <c r="CO125" s="4"/>
    </row>
    <row r="126" spans="2:96" ht="18" x14ac:dyDescent="0.25">
      <c r="D126" s="332" t="s">
        <v>2934</v>
      </c>
      <c r="E126" s="275"/>
      <c r="F126" s="666"/>
      <c r="G126" s="275"/>
      <c r="H126" s="275"/>
      <c r="I126" s="275"/>
      <c r="J126" s="275"/>
      <c r="K126" s="2264"/>
      <c r="L126" s="275"/>
      <c r="M126" s="275"/>
      <c r="N126" s="275"/>
      <c r="O126" s="666"/>
      <c r="P126" s="275"/>
      <c r="Q126" s="275"/>
      <c r="R126" s="275"/>
      <c r="S126" s="275"/>
      <c r="T126" s="275"/>
      <c r="U126" s="666"/>
      <c r="V126" s="275"/>
      <c r="W126" s="275"/>
      <c r="X126" s="275"/>
      <c r="Y126" s="275"/>
      <c r="Z126" s="275"/>
      <c r="AA126" s="275"/>
      <c r="AB126" s="275"/>
      <c r="AC126" s="2264"/>
      <c r="AD126" s="275"/>
      <c r="AE126" s="275"/>
      <c r="AF126" s="275"/>
      <c r="AG126" s="275"/>
      <c r="AH126" s="275"/>
      <c r="AI126" s="275"/>
      <c r="AJ126" s="2264"/>
      <c r="AK126" s="275"/>
      <c r="AL126" s="275"/>
      <c r="AM126" s="275"/>
      <c r="AN126" s="275"/>
      <c r="AO126" s="275"/>
      <c r="AP126" s="2264"/>
      <c r="AQ126" s="275"/>
      <c r="AR126" s="275"/>
      <c r="AS126" s="275"/>
      <c r="AT126" s="275"/>
      <c r="AU126" s="275"/>
      <c r="AV126" s="275"/>
      <c r="AW126" s="275"/>
      <c r="AX126" s="275"/>
      <c r="AY126" s="275"/>
      <c r="AZ126" s="275"/>
      <c r="BA126" s="275"/>
      <c r="BB126" s="275">
        <v>1</v>
      </c>
      <c r="BC126" s="275">
        <v>1</v>
      </c>
      <c r="BD126" s="275">
        <v>1</v>
      </c>
      <c r="BE126" s="275">
        <v>1</v>
      </c>
      <c r="BF126" s="275">
        <v>1</v>
      </c>
      <c r="BG126" s="275">
        <v>1</v>
      </c>
      <c r="BH126" s="275">
        <v>1</v>
      </c>
      <c r="BI126" s="275">
        <v>1</v>
      </c>
      <c r="BJ126" s="498"/>
      <c r="BK126" s="498"/>
      <c r="BL126" s="498"/>
      <c r="BM126" s="498"/>
      <c r="BN126" s="498"/>
      <c r="BO126" s="498"/>
      <c r="BP126" s="498"/>
      <c r="BQ126" s="275"/>
      <c r="BR126" s="275"/>
      <c r="BS126" s="498"/>
      <c r="BT126" s="275"/>
      <c r="BU126" s="275" t="s">
        <v>1645</v>
      </c>
      <c r="BV126" s="2264"/>
      <c r="BW126" s="2264"/>
      <c r="BX126" s="2264"/>
      <c r="BY126" s="2264"/>
      <c r="BZ126" s="275"/>
      <c r="CA126" s="1272"/>
      <c r="CB126" s="2098"/>
      <c r="CC126" s="275"/>
      <c r="CD126" s="275"/>
      <c r="CE126" s="275"/>
      <c r="CF126" s="275"/>
      <c r="CG126" s="275"/>
      <c r="CH126" s="1272"/>
      <c r="CI126" s="1272"/>
      <c r="CJ126" s="498"/>
      <c r="CK126" s="498"/>
      <c r="CL126" s="498"/>
      <c r="CM126" s="498"/>
      <c r="CN126" s="979"/>
      <c r="CO126" s="4"/>
    </row>
    <row r="127" spans="2:96" ht="15.75" thickBot="1" x14ac:dyDescent="0.3">
      <c r="D127" s="333" t="s">
        <v>2935</v>
      </c>
      <c r="E127" s="334"/>
      <c r="F127" s="667"/>
      <c r="G127" s="334"/>
      <c r="H127" s="334"/>
      <c r="I127" s="334"/>
      <c r="J127" s="334"/>
      <c r="K127" s="2265"/>
      <c r="L127" s="334"/>
      <c r="M127" s="334"/>
      <c r="N127" s="334"/>
      <c r="O127" s="667"/>
      <c r="P127" s="334"/>
      <c r="Q127" s="334"/>
      <c r="R127" s="334"/>
      <c r="S127" s="334"/>
      <c r="T127" s="334"/>
      <c r="U127" s="667"/>
      <c r="V127" s="334"/>
      <c r="W127" s="334"/>
      <c r="X127" s="334"/>
      <c r="Y127" s="334"/>
      <c r="Z127" s="334"/>
      <c r="AA127" s="334"/>
      <c r="AB127" s="334"/>
      <c r="AC127" s="2265"/>
      <c r="AD127" s="334"/>
      <c r="AE127" s="334"/>
      <c r="AF127" s="334"/>
      <c r="AG127" s="334"/>
      <c r="AH127" s="334"/>
      <c r="AI127" s="334"/>
      <c r="AJ127" s="2265"/>
      <c r="AK127" s="334"/>
      <c r="AL127" s="334"/>
      <c r="AM127" s="334"/>
      <c r="AN127" s="334"/>
      <c r="AO127" s="334"/>
      <c r="AP127" s="2265"/>
      <c r="AQ127" s="334"/>
      <c r="AR127" s="334"/>
      <c r="AS127" s="334"/>
      <c r="AT127" s="334"/>
      <c r="AU127" s="334"/>
      <c r="AV127" s="334"/>
      <c r="AW127" s="334"/>
      <c r="AX127" s="334"/>
      <c r="AY127" s="334"/>
      <c r="AZ127" s="334"/>
      <c r="BA127" s="334"/>
      <c r="BB127" s="335"/>
      <c r="BC127" s="334"/>
      <c r="BD127" s="334"/>
      <c r="BE127" s="335"/>
      <c r="BF127" s="335"/>
      <c r="BG127" s="334"/>
      <c r="BH127" s="335"/>
      <c r="BI127" s="335"/>
      <c r="BJ127" s="1407">
        <v>1</v>
      </c>
      <c r="BK127" s="1407">
        <v>1</v>
      </c>
      <c r="BL127" s="1273">
        <v>1</v>
      </c>
      <c r="BM127" s="1273">
        <v>1</v>
      </c>
      <c r="BN127" s="1407">
        <v>1</v>
      </c>
      <c r="BO127" s="1273">
        <v>1</v>
      </c>
      <c r="BP127" s="1273">
        <v>1</v>
      </c>
      <c r="BQ127" s="335"/>
      <c r="BR127" s="335"/>
      <c r="BS127" s="1273"/>
      <c r="BT127" s="334"/>
      <c r="BU127" s="335"/>
      <c r="BV127" s="2505"/>
      <c r="BW127" s="2505"/>
      <c r="BX127" s="2505"/>
      <c r="BY127" s="2505"/>
      <c r="BZ127" s="335"/>
      <c r="CA127" s="1273"/>
      <c r="CB127" s="2099"/>
      <c r="CC127" s="334"/>
      <c r="CD127" s="334"/>
      <c r="CE127" s="334"/>
      <c r="CF127" s="334"/>
      <c r="CG127" s="334"/>
      <c r="CH127" s="1407"/>
      <c r="CI127" s="1407"/>
      <c r="CJ127" s="667"/>
      <c r="CK127" s="667"/>
      <c r="CL127" s="667"/>
      <c r="CM127" s="667"/>
      <c r="CN127" s="372"/>
      <c r="CO127" s="4"/>
    </row>
    <row r="132" spans="2:105" ht="15.75" thickBot="1" x14ac:dyDescent="0.3">
      <c r="CQ132" s="4" t="s">
        <v>5423</v>
      </c>
    </row>
    <row r="133" spans="2:105" ht="38.25" thickBot="1" x14ac:dyDescent="0.3">
      <c r="B133" s="745" t="s">
        <v>93</v>
      </c>
      <c r="C133" s="744"/>
      <c r="D133" s="746" t="s">
        <v>1</v>
      </c>
      <c r="E133" s="480" t="s">
        <v>807</v>
      </c>
      <c r="F133" s="668" t="s">
        <v>3055</v>
      </c>
      <c r="G133" s="668" t="s">
        <v>3056</v>
      </c>
      <c r="H133" s="480" t="s">
        <v>808</v>
      </c>
      <c r="I133" s="480" t="s">
        <v>809</v>
      </c>
      <c r="J133" s="480" t="s">
        <v>810</v>
      </c>
      <c r="K133" s="2597" t="s">
        <v>5318</v>
      </c>
      <c r="L133" s="480" t="s">
        <v>811</v>
      </c>
      <c r="M133" s="480" t="s">
        <v>812</v>
      </c>
      <c r="N133" s="480" t="s">
        <v>813</v>
      </c>
      <c r="O133" s="480" t="s">
        <v>3044</v>
      </c>
      <c r="P133" s="480" t="s">
        <v>5249</v>
      </c>
      <c r="Q133" s="480" t="s">
        <v>5250</v>
      </c>
      <c r="R133" s="480" t="s">
        <v>814</v>
      </c>
      <c r="S133" s="480" t="s">
        <v>1733</v>
      </c>
      <c r="T133" s="480" t="s">
        <v>815</v>
      </c>
      <c r="U133" s="480" t="s">
        <v>3046</v>
      </c>
      <c r="V133" s="480" t="s">
        <v>4002</v>
      </c>
      <c r="W133" s="480" t="s">
        <v>816</v>
      </c>
      <c r="X133" s="480" t="s">
        <v>2176</v>
      </c>
      <c r="Y133" s="480" t="s">
        <v>2175</v>
      </c>
      <c r="Z133" s="480" t="s">
        <v>2195</v>
      </c>
      <c r="AA133" s="480" t="s">
        <v>817</v>
      </c>
      <c r="AB133" s="480" t="s">
        <v>818</v>
      </c>
      <c r="AC133" s="1404" t="s">
        <v>4824</v>
      </c>
      <c r="AD133" s="480" t="s">
        <v>819</v>
      </c>
      <c r="AE133" s="480" t="s">
        <v>2173</v>
      </c>
      <c r="AF133" s="480" t="s">
        <v>2174</v>
      </c>
      <c r="AG133" s="480" t="s">
        <v>820</v>
      </c>
      <c r="AH133" s="480" t="s">
        <v>821</v>
      </c>
      <c r="AI133" s="480" t="s">
        <v>823</v>
      </c>
      <c r="AJ133" s="2597" t="s">
        <v>5319</v>
      </c>
      <c r="AK133" s="480" t="s">
        <v>824</v>
      </c>
      <c r="AL133" s="480" t="s">
        <v>825</v>
      </c>
      <c r="AM133" s="480" t="s">
        <v>2091</v>
      </c>
      <c r="AN133" s="480" t="s">
        <v>826</v>
      </c>
      <c r="AO133" s="480" t="s">
        <v>827</v>
      </c>
      <c r="AP133" s="2597" t="s">
        <v>5320</v>
      </c>
      <c r="AQ133" s="480" t="s">
        <v>828</v>
      </c>
      <c r="AR133" s="480" t="s">
        <v>829</v>
      </c>
      <c r="AS133" s="480" t="s">
        <v>831</v>
      </c>
      <c r="AT133" s="480" t="s">
        <v>832</v>
      </c>
      <c r="AU133" s="480" t="s">
        <v>833</v>
      </c>
      <c r="AV133" s="480" t="s">
        <v>834</v>
      </c>
      <c r="AW133" s="480" t="s">
        <v>1159</v>
      </c>
      <c r="AX133" s="480" t="s">
        <v>1160</v>
      </c>
      <c r="AY133" s="480" t="s">
        <v>999</v>
      </c>
      <c r="AZ133" s="480" t="s">
        <v>1646</v>
      </c>
      <c r="BA133" s="480" t="s">
        <v>1045</v>
      </c>
      <c r="BB133" s="480" t="s">
        <v>1611</v>
      </c>
      <c r="BC133" s="480" t="s">
        <v>1647</v>
      </c>
      <c r="BD133" s="480" t="s">
        <v>1648</v>
      </c>
      <c r="BE133" s="480" t="s">
        <v>1649</v>
      </c>
      <c r="BF133" s="480" t="s">
        <v>1650</v>
      </c>
      <c r="BG133" s="480" t="s">
        <v>1651</v>
      </c>
      <c r="BH133" s="480" t="s">
        <v>1652</v>
      </c>
      <c r="BI133" s="480" t="s">
        <v>1653</v>
      </c>
      <c r="BJ133" s="1404" t="s">
        <v>4301</v>
      </c>
      <c r="BK133" s="1404" t="s">
        <v>4302</v>
      </c>
      <c r="BL133" s="1404" t="s">
        <v>4303</v>
      </c>
      <c r="BM133" s="1404" t="s">
        <v>4304</v>
      </c>
      <c r="BN133" s="1404" t="s">
        <v>4305</v>
      </c>
      <c r="BO133" s="1404" t="s">
        <v>4306</v>
      </c>
      <c r="BP133" s="1404" t="s">
        <v>4307</v>
      </c>
      <c r="BQ133" s="481" t="s">
        <v>1001</v>
      </c>
      <c r="BR133" s="481" t="s">
        <v>1133</v>
      </c>
      <c r="BS133" s="1356" t="s">
        <v>4218</v>
      </c>
      <c r="BT133" s="481" t="s">
        <v>358</v>
      </c>
      <c r="BU133" s="480" t="s">
        <v>1115</v>
      </c>
      <c r="BV133" s="480" t="s">
        <v>5088</v>
      </c>
      <c r="BW133" s="480" t="s">
        <v>5092</v>
      </c>
      <c r="BX133" s="480" t="s">
        <v>5094</v>
      </c>
      <c r="BY133" s="480" t="s">
        <v>5096</v>
      </c>
      <c r="BZ133" s="480" t="s">
        <v>4958</v>
      </c>
      <c r="CA133" s="1274" t="s">
        <v>3945</v>
      </c>
      <c r="CB133" s="2074" t="s">
        <v>4725</v>
      </c>
      <c r="CC133" s="744" t="s">
        <v>1654</v>
      </c>
      <c r="CD133" s="744" t="s">
        <v>1655</v>
      </c>
      <c r="CE133" s="744" t="s">
        <v>1656</v>
      </c>
      <c r="CF133" s="744" t="s">
        <v>1657</v>
      </c>
      <c r="CG133" s="744" t="s">
        <v>1052</v>
      </c>
      <c r="CH133" s="744" t="s">
        <v>1658</v>
      </c>
      <c r="CI133" s="744" t="s">
        <v>3523</v>
      </c>
      <c r="CJ133" s="744" t="s">
        <v>3478</v>
      </c>
      <c r="CK133" s="744" t="s">
        <v>3479</v>
      </c>
      <c r="CL133" s="744" t="s">
        <v>3480</v>
      </c>
      <c r="CM133" s="744" t="s">
        <v>3481</v>
      </c>
      <c r="CN133" s="744" t="s">
        <v>3482</v>
      </c>
      <c r="CO133" s="746" t="s">
        <v>1220</v>
      </c>
      <c r="CQ133" s="2849" t="s">
        <v>148</v>
      </c>
      <c r="CR133" s="2849" t="s">
        <v>258</v>
      </c>
      <c r="CS133" s="2849" t="s">
        <v>254</v>
      </c>
      <c r="CT133" s="2849" t="s">
        <v>255</v>
      </c>
      <c r="CU133" s="2849" t="s">
        <v>1114</v>
      </c>
      <c r="CV133" s="2849" t="s">
        <v>477</v>
      </c>
      <c r="CW133" s="2849" t="s">
        <v>987</v>
      </c>
      <c r="CX133" s="2849" t="s">
        <v>988</v>
      </c>
      <c r="CY133" s="2849" t="s">
        <v>142</v>
      </c>
      <c r="CZ133" s="2849" t="s">
        <v>2934</v>
      </c>
      <c r="DA133" s="2849" t="s">
        <v>2935</v>
      </c>
    </row>
    <row r="134" spans="2:105" ht="18" x14ac:dyDescent="0.35">
      <c r="B134" s="776">
        <v>1</v>
      </c>
      <c r="C134" s="777" t="s">
        <v>223</v>
      </c>
      <c r="D134" s="778" t="s">
        <v>1659</v>
      </c>
      <c r="E134" s="2672">
        <f>-1/Y_OHO_VFA_ox</f>
        <v>-1.6666666666666667</v>
      </c>
      <c r="F134" s="2672">
        <f>0</f>
        <v>0</v>
      </c>
      <c r="G134" s="2706">
        <f>0</f>
        <v>0</v>
      </c>
      <c r="H134" s="2706">
        <f>0</f>
        <v>0</v>
      </c>
      <c r="I134" s="2706">
        <f>0</f>
        <v>0</v>
      </c>
      <c r="J134" s="2706">
        <f>0</f>
        <v>0</v>
      </c>
      <c r="K134" s="2706">
        <f>0</f>
        <v>0</v>
      </c>
      <c r="L134" s="2706">
        <f>0</f>
        <v>0</v>
      </c>
      <c r="M134" s="2706">
        <f>0</f>
        <v>0</v>
      </c>
      <c r="N134" s="2706">
        <f>0</f>
        <v>0</v>
      </c>
      <c r="O134" s="2706">
        <f>0</f>
        <v>0</v>
      </c>
      <c r="P134" s="2706">
        <f>0</f>
        <v>0</v>
      </c>
      <c r="Q134" s="2706">
        <f>0</f>
        <v>0</v>
      </c>
      <c r="R134" s="2706">
        <f>0</f>
        <v>0</v>
      </c>
      <c r="S134" s="2706">
        <f>0</f>
        <v>0</v>
      </c>
      <c r="T134" s="2706">
        <f>1</f>
        <v>1</v>
      </c>
      <c r="U134" s="2706">
        <f>0</f>
        <v>0</v>
      </c>
      <c r="V134" s="2706">
        <f>0</f>
        <v>0</v>
      </c>
      <c r="W134" s="2706">
        <f>0</f>
        <v>0</v>
      </c>
      <c r="X134" s="2706">
        <f>0</f>
        <v>0</v>
      </c>
      <c r="Y134" s="2706">
        <f>0</f>
        <v>0</v>
      </c>
      <c r="Z134" s="2706">
        <f>0</f>
        <v>0</v>
      </c>
      <c r="AA134" s="2706">
        <f>0</f>
        <v>0</v>
      </c>
      <c r="AB134" s="2706">
        <f>0</f>
        <v>0</v>
      </c>
      <c r="AC134" s="2737">
        <f>0</f>
        <v>0</v>
      </c>
      <c r="AD134" s="2672">
        <f>-i_N_BIO</f>
        <v>-7.0000000000000007E-2</v>
      </c>
      <c r="AE134" s="2706">
        <f>0</f>
        <v>0</v>
      </c>
      <c r="AF134" s="2706">
        <f>0</f>
        <v>0</v>
      </c>
      <c r="AG134" s="2706">
        <f>0</f>
        <v>0</v>
      </c>
      <c r="AH134" s="2706">
        <f>0</f>
        <v>0</v>
      </c>
      <c r="AI134" s="2706">
        <f>0</f>
        <v>0</v>
      </c>
      <c r="AJ134" s="2706">
        <f>0</f>
        <v>0</v>
      </c>
      <c r="AK134" s="2706">
        <f>0</f>
        <v>0</v>
      </c>
      <c r="AL134" s="2672">
        <f>-i_P_BIO</f>
        <v>-0.02</v>
      </c>
      <c r="AM134" s="2706">
        <f>0</f>
        <v>0</v>
      </c>
      <c r="AN134" s="2706">
        <f>0</f>
        <v>0</v>
      </c>
      <c r="AO134" s="2706">
        <f>0</f>
        <v>0</v>
      </c>
      <c r="AP134" s="2706">
        <f>0</f>
        <v>0</v>
      </c>
      <c r="AQ134" s="2706">
        <f>0</f>
        <v>0</v>
      </c>
      <c r="AR134" s="2672">
        <f>-(1-Y_OHO_VFA_ox)/Y_OHO_VFA_ox</f>
        <v>-0.66666666666666674</v>
      </c>
      <c r="AS134" s="2672">
        <f>0</f>
        <v>0</v>
      </c>
      <c r="AT134" s="2672">
        <f>0</f>
        <v>0</v>
      </c>
      <c r="AU134" s="2672">
        <f>i_CIT_VFA/Y_OHO_VFA_ox-i_CIT_BIO</f>
        <v>0.27300000000000002</v>
      </c>
      <c r="AV134" s="2756">
        <f>i_INORG</f>
        <v>0.11</v>
      </c>
      <c r="AW134" s="2756">
        <f>-i_INORG*(1-i_Ca_INORG*(A_MCa+2*A_MCl)/A_MCa-i_Mg_INORG*(A_MMg+2*A_MCl)/A_MMg)*f_Na</f>
        <v>-2.8804303582798466E-2</v>
      </c>
      <c r="AX134" s="2756">
        <f>-i_INORG*(i_Ca_INORG*(2*A_MCl)/A_MCa+i_Mg_INORG*(2*A_MCl)/A_MMg)-i_INORG*(1-i_Ca_INORG*(A_MCa+2*A_MCl)/A_MCa-i_Mg_INORG*(A_MMg+2*A_MCl)/A_MMg)*(1-f_Na)</f>
        <v>-7.0195696417201539E-2</v>
      </c>
      <c r="AY134" s="2756">
        <f>-i_INORG*i_Ca_INORG</f>
        <v>-5.5000000000000005E-3</v>
      </c>
      <c r="AZ134" s="2756">
        <f>-i_INORG*i_Mg_INORG</f>
        <v>-5.5000000000000005E-3</v>
      </c>
      <c r="BA134" s="2672">
        <f>0</f>
        <v>0</v>
      </c>
      <c r="BB134" s="2672">
        <f>0</f>
        <v>0</v>
      </c>
      <c r="BC134" s="2672">
        <f>0</f>
        <v>0</v>
      </c>
      <c r="BD134" s="2672">
        <f>0</f>
        <v>0</v>
      </c>
      <c r="BE134" s="2672">
        <f>0</f>
        <v>0</v>
      </c>
      <c r="BF134" s="2672">
        <f>0</f>
        <v>0</v>
      </c>
      <c r="BG134" s="2672">
        <f>0</f>
        <v>0</v>
      </c>
      <c r="BH134" s="2672">
        <f>0</f>
        <v>0</v>
      </c>
      <c r="BI134" s="2672">
        <f>0</f>
        <v>0</v>
      </c>
      <c r="BJ134" s="2762">
        <f>0</f>
        <v>0</v>
      </c>
      <c r="BK134" s="2762">
        <f>0</f>
        <v>0</v>
      </c>
      <c r="BL134" s="2762">
        <f>0</f>
        <v>0</v>
      </c>
      <c r="BM134" s="2762">
        <f>0</f>
        <v>0</v>
      </c>
      <c r="BN134" s="2762">
        <f>0</f>
        <v>0</v>
      </c>
      <c r="BO134" s="2762">
        <f>0</f>
        <v>0</v>
      </c>
      <c r="BP134" s="2762">
        <f>0</f>
        <v>0</v>
      </c>
      <c r="BQ134" s="2672">
        <f>0</f>
        <v>0</v>
      </c>
      <c r="BR134" s="2672">
        <f>0</f>
        <v>0</v>
      </c>
      <c r="BS134" s="2762">
        <f>0</f>
        <v>0</v>
      </c>
      <c r="BT134" s="2672">
        <f>0</f>
        <v>0</v>
      </c>
      <c r="BU134" s="2672">
        <f>0</f>
        <v>0</v>
      </c>
      <c r="BV134" s="2785">
        <f>0</f>
        <v>0</v>
      </c>
      <c r="BW134" s="2785">
        <f>0</f>
        <v>0</v>
      </c>
      <c r="BX134" s="2785">
        <f>0</f>
        <v>0</v>
      </c>
      <c r="BY134" s="2785">
        <f>0</f>
        <v>0</v>
      </c>
      <c r="BZ134" s="2672">
        <f>0</f>
        <v>0</v>
      </c>
      <c r="CA134" s="2762">
        <f>0</f>
        <v>0</v>
      </c>
      <c r="CB134" s="2762">
        <f>0</f>
        <v>0</v>
      </c>
      <c r="CC134" s="2672">
        <f>0</f>
        <v>0</v>
      </c>
      <c r="CD134" s="2672">
        <f>0</f>
        <v>0</v>
      </c>
      <c r="CE134" s="2672">
        <f>0</f>
        <v>0</v>
      </c>
      <c r="CF134" s="2672">
        <f>0</f>
        <v>0</v>
      </c>
      <c r="CG134" s="2672">
        <f>0</f>
        <v>0</v>
      </c>
      <c r="CH134" s="2672">
        <f>0</f>
        <v>0</v>
      </c>
      <c r="CI134" s="2672">
        <f>0</f>
        <v>0</v>
      </c>
      <c r="CJ134" s="2672">
        <f>0</f>
        <v>0</v>
      </c>
      <c r="CK134" s="2672">
        <f>0</f>
        <v>0</v>
      </c>
      <c r="CL134" s="2672">
        <f>0</f>
        <v>0</v>
      </c>
      <c r="CM134" s="2672">
        <f>0</f>
        <v>0</v>
      </c>
      <c r="CN134" s="2672">
        <f>0</f>
        <v>0</v>
      </c>
      <c r="CO134" s="2824">
        <f>µ_OHO_T*X_OHO*M_satSVFA_KVFA*M_satSO2_KO2_OHO*M_satSNHx_KNHx_BIO*M_satSPO4_KPO4_BIO*M_satSCAT_KCAT*M_satSAN_KAN*M_satSCa_KCa*M_satSMg_KMg*B_ellinhpH</f>
        <v>18.012770788105666</v>
      </c>
      <c r="CQ134" s="2650">
        <f>E248*E134+F248*F134+G248*G134+H248*H134+I248*I134+J248*J134+K248*K134+L248*L134+M248*M134+N248*N134+O248*O134+P248*P134+Q248*Q134+R248*R134+S248*S134+T248*T134+U248*U134+V248*V134+W248*W134+X248*X134+Y248*Y134+Z248*Z134+AA248*AA134+AB248*AB134+AC248*AC134+AD248*AD134+AE248*AE134+AF248*AF134+AG248*AG134+AH248*AH134+AI248*AI134+AJ248*AJ134+AK248*AK134+AL248*AL134+AM248*AM134+AN248*AN134+AO248*AO134+AP248*AP134+AQ248*AQ134+AR248*AR134+AS248*AS134+AT248*AT134+AU248*AU134+AV248*AV134+AW248*AW134+AX248*AX134+AY248*AY134+AZ248*AZ134+BA248*BA134+BB248*BB134+BC248*BC134+BD248*BD134+BE248*BE134+BF248*BF134+BG248*BG134+BH248*BH134+BI248*BI134+BJ248*BJ134+BK248*BK134+BL248*BL134+BM248*BM134+BN248*BN134+BO248*BO134+BP248*BP134+BQ248*BQ134+BR248*BR134+BS248*BS134+BT248*BT134+BU248*BU134+BV248*BV134+BW248*BW134+BX248*BX134+BY248*BY134+BZ248*BZ134+CA248*CA134+CB248*CB134+CC248*CC134+CD248*CD134+CE248*CE134+CF248*CF134+CG248*CG134+CH248*CH134+CI248*CI134+CJ248*CJ134+CK248*CK134+CL248*CL134+CM248*CM134+CN248*CN134</f>
        <v>0</v>
      </c>
      <c r="CR134" s="2650">
        <f>E249*E134+F249*F134+G249*G134+H249*H134+I249*I134+J249*J134+K249*K134+L249*L134+M249*M134+N249*N134+O249*O134+P249*P134+Q249*Q134+R249*R134+S249*S134+T249*T134+U249*U134+V249*V134+W249*W134+X249*X134+Y249*Y134+Z249*Z134+AA249*AA134+AB249*AB134+AC249*AC134+AD249*AD134+AE249*AE134+AF249*AF134+AG249*AG134+AH249*AH134+AI249*AI134+AJ249*AJ134+AK249*AK134+AL249*AL134+AM249*AM134+AN249*AN134+AO249*AO134+AP249*AP134+AQ249*AQ134+AR249*AR134+AS249*AS134+AT249*AT134+AU249*AU134+AV249*AV134+AW249*AW134+AX249*AX134+AY249*AY134+AZ249*AZ134+BA249*BA134+BB249*BB134+BC249*BC134+BD249*BD134+BE249*BE134+BF249*BF134+BG249*BG134+BH249*BH134+BI249*BI134+BJ249*BJ134+BK249*BK134+BL249*BL134+BM249*BM134+BN249*BN134+BO249*BO134+BP249*BP134+BQ249*BQ134+BR249*BR134+BS249*BS134+BT249*BT134+BU249*BU134+BV249*BV134+BW249*BW134+BX249*BX134+BY249*BY134+BZ249*BZ134+CA249*CA134+CB249*CB134+CC249*CC134+CD249*CD134+CE249*CE134+CF249*CF134+CG249*CG134+CH249*CH134+CI249*CI134+CJ249*CJ134+CK249*CK134+CL249*CL134+CM249*CM134+CN249*CN134</f>
        <v>0</v>
      </c>
      <c r="CS134" s="2651">
        <f>E250*E134+F250*F134+G250*G134+H250*H134+I250*I134+J250*J134+K250*K134+L250*L134+M250*M134+N250*N134+O250*O134+P250*P134+Q250*Q134+R250*R134+S250*S134+T250*T134+U250*U134+V250*V134+W250*W134+X250*X134+Y250*Y134+Z250*Z134+AA250*AA134+AB250*AB134+AC250*AC134+AD250*AD134+AE250*AE134+AF250*AF134+AG250*AG134+AH250*AH134+AI250*AI134+AJ250*AJ134+AK250*AK134+AL250*AL134+AM250*AM134+AN250*AN134+AO250*AO134+AP250*AP134+AQ250*AQ134+AR250*AR134+AS250*AS134+AT250*AT134+AU250*AU134+AV250*AV134+AW250*AW134+AX250*AX134+AY250*AY134+AZ250*AZ134+BA250*BA134+BB250*BB134+BC250*BC134+BD250*BD134+BE250*BE134+BF250*BF134+BG250*BG134+BH250*BH134+BI250*BI134+BJ250*BJ134+BK250*BK134+BL250*BL134+BM250*BM134+BN250*BN134+BO250*BO134+BP250*BP134+BQ250*BQ134+BR250*BR134+BS250*BS134+BT250*BT134+BU250*BU134+BV250*BV134+BW250*BW134+BX250*BX134+BY250*BY134+BZ250*BZ134+CA250*CA134+CB250*CB134+CC250*CC134+CD250*CD134+CE250*CE134+CF250*CF134+CG250*CG134+CH250*CH134+CI250*CI134+CJ250*CJ134+CK250*CK134+CL250*CL134+CM250*CM134+CN250*CN134</f>
        <v>0</v>
      </c>
      <c r="CT134" s="2652">
        <f>E251*E134+F251*F134+G251*G134+H251*H134+I251*I134+J251*J134+K251*K134+L251*L134+M251*M134+N251*N134+O251*O134+P251*P134+Q251*Q134+R251*R134+S251*S134+T251*T134+U251*U134+V251*V134+W251*W134+X251*X134+Y251*Y134+Z251*Z134+AA251*AA134+AB251*AB134+AC251*AC134+AD251*AD134+AE251*AE134+AF251*AF134+AG251*AG134+AH251*AH134+AI251*AI134+AJ251*AJ134+AK251*AK134+AL251*AL134+AM251*AM134+AN251*AN134+AO251*AO134+AP251*AP134+AQ251*AQ134+AR251*AR134+AS251*AS134+AT251*AT134+AU251*AU134+AV251*AV134+AW251*AW134+AX251*AX134+AY251*AY134+AZ251*AZ134+BA251*BA134+BB251*BB134+BC251*BC134+BD251*BD134+BE251*BE134+BF251*BF134+BG251*BG134+BH251*BH134+BI251*BI134+BJ251*BJ134+BK251*BK134+BL251*BL134+BM251*BM134+BN251*BN134+BO251*BO134+BP251*BP134+BQ251*BQ134+BR251*BR134+BS251*BS134+BT251*BT134+BU251*BU134+BV251*BV134+BW251*BW134+BX251*BX134+BY251*BY134+BZ251*BZ134+CA251*CA134+CB251*CB134+CC251*CC134+CD251*CD134+CE251*CE134+CF251*CF134+CG251*CG134+CH251*CH134+CI251*CI134+CJ251*CJ134+CK251*CK134+CL251*CL134+CM251*CM134+CN251*CN134</f>
        <v>0</v>
      </c>
      <c r="CU134" s="2652">
        <f>E252*E134+F252*F134+G252*G134+H252*H134+I252*I134+J252*J134+K252*K134+L252*L134+M252*M134+N252*N134+O252*O134+P252*P134+Q252*Q134+R252*R134+S252*S134+T252*T134+U252*U134+V252*V134+W252*W134+X252*X134+Y252*Y134+Z252*Z134+AA252*AA134+AB252*AB134+AC252*AC134+AD252*AD134+AE252*AE134+AF252*AF134+AG252*AG134+AH252*AH134+AI252*AI134+AJ252*AJ134+AK252*AK134+AL252*AL134+AM252*AM134+AN252*AN134+AO252*AO134+AP252*AP134+AQ252*AQ134+AR252*AR134+AS252*AS134+AT252*AT134+AU252*AU134+AV252*AV134+AW252*AW134+AX252*AX134+AY252*AY134+AZ252*AZ134+BA252*BA134+BB252*BB134+BC252*BC134+BD252*BD134+BE252*BE134+BF252*BF134+BG252*BG134+BH252*BH134+BI252*BI134+BJ252*BJ134+BK252*BK134+BL252*BL134+BM252*BM134+BN252*BN134+BO252*BO134+BP252*BP134+BQ252*BQ134+BR252*BR134+BS252*BS134+BT252*BT134+BU252*BU134+BV252*BV134+BW252*BW134+BX252*BX134+BY252*BY134+BZ252*BZ134+CA252*CA134+CB252*CB134+CC252*CC134+CD252*CD134+CE252*CE134+CF252*CF134+CG252*CG134+CH252*CH134+CI252*CI134+CJ252*CJ134+CK252*CK134+CL252*CL134+CM252*CM134+CN252*CN134</f>
        <v>0</v>
      </c>
      <c r="CV134" s="2652">
        <f>E253*E134+F253*F134+G253*G134+H253*H134+I253*I134+J253*J134+K253*K134+L253*L134+M253*M134+N253*N134+O253*O134+P253*P134+Q253*Q134+R253*R134+S253*S134+T253*T134+U253*U134+V253*V134+W253*W134+X253*X134+Y253*Y134+Z253*Z134+AA253*AA134+AB253*AB134+AC253*AC134+AD253*AD134+AE253*AE134+AF253*AF134+AG253*AG134+AH253*AH134+AI253*AI134+AJ253*AJ134+AK253*AK134+AL253*AL134+AM253*AM134+AN253*AN134+AO253*AO134+AP253*AP134+AQ253*AQ134+AR253*AR134+AS253*AS134+AT253*AT134+AU253*AU134+AV253*AV134+AW253*AW134+AX253*AX134+AY253*AY134+AZ253*AZ134+BA253*BA134+BB253*BB134+BC253*BC134+BD253*BD134+BE253*BE134+BF253*BF134+BG253*BG134+BH253*BH134+BI253*BI134+BJ253*BJ134+BK253*BK134+BL253*BL134+BM253*BM134+BN253*BN134+BO253*BO134+BP253*BP134+BQ253*BQ134+BR253*BR134+BS253*BS134+BT253*BT134+BU253*BU134+BV253*BV134+BW253*BW134+BX253*BX134+BY253*BY134+BZ253*BZ134+CA253*CA134+CB253*CB134+CC253*CC134+CD253*CD134+CE253*CE134+CF253*CF134+CG253*CG134+CH253*CH134+CI253*CI134+CJ253*CJ134+CK253*CK134+CL253*CL134+CM253*CM134+CN253*CN134</f>
        <v>0</v>
      </c>
      <c r="CW134" s="2652">
        <f>E254*E134+F254*F134+G254*G134+H254*H134+I254*I134+J254*J134+K254*K134+L254*L134+M254*M134+N254*N134+O254*O134+P254*P134+Q254*Q134+R254*R134+S254*S134+T254*T134+U254*U134+V254*V134+W254*W134+X254*X134+Y254*Y134+Z254*Z134+AA254*AA134+AB254*AB134+AC254*AC134+AD254*AD134+AE254*AE134+AF254*AF134+AG254*AG134+AH254*AH134+AI254*AI134+AJ254*AJ134+AK254*AK134+AL254*AL134+AM254*AM134+AN254*AN134+AO254*AO134+AP254*AP134+AQ254*AQ134+AR254*AR134+AS254*AS134+AT254*AT134+AU254*AU134+AV254*AV134+AW254*AW134+AX254*AX134+AY254*AY134+AZ254*AZ134+BA254*BA134+BB254*BB134+BC254*BC134+BD254*BD134+BE254*BE134+BF254*BF134+BG254*BG134+BH254*BH134+BI254*BI134+BJ254*BJ134+BK254*BK134+BL254*BL134+BM254*BM134+BN254*BN134+BO254*BO134+BP254*BP134+BQ254*BQ134+BR254*BR134+BS254*BS134+BT254*BT134+BU254*BU134+BV254*BV134+BW254*BW134+BX254*BX134+BY254*BY134+BZ254*BZ134+CA254*CA134+CB254*CB134+CC254*CC134+CD254*CD134+CE254*CE134+CF254*CF134+CG254*CG134+CH254*CH134+CI254*CI134+CJ254*CJ134+CK254*CK134+CL254*CL134+CM254*CM134+CN254*CN134</f>
        <v>0</v>
      </c>
      <c r="CX134" s="2652">
        <f>E255*E134+F255*F134+G255*G134+H255*H134+I255*I134+J255*J134+K255*K134+L255*L134+M255*M134+N255*N134+O255*O134+P255*P134+Q255*Q134+R255*R134+S255*S134+T255*T134+U255*U134+V255*V134+W255*W134+X255*X134+Y255*Y134+Z255*Z134+AA255*AA134+AB255*AB134+AC255*AC134+AD255*AD134+AE255*AE134+AF255*AF134+AG255*AG134+AH255*AH134+AI255*AI134+AJ255*AJ134+AK255*AK134+AL255*AL134+AM255*AM134+AN255*AN134+AO255*AO134+AP255*AP134+AQ255*AQ134+AR255*AR134+AS255*AS134+AT255*AT134+AU255*AU134+AV255*AV134+AW255*AW134+AX255*AX134+AY255*AY134+AZ255*AZ134+BA255*BA134+BB255*BB134+BC255*BC134+BD255*BD134+BE255*BE134+BF255*BF134+BG255*BG134+BH255*BH134+BI255*BI134+BJ255*BJ134+BK255*BK134+BL255*BL134+BM255*BM134+BN255*BN134+BO255*BO134+BP255*BP134+BQ255*BQ134+BR255*BR134+BS255*BS134+BT255*BT134+BU255*BU134+BV255*BV134+BW255*BW134+BX255*BX134+BY255*BY134+BZ255*BZ134+CA255*CA134+CB255*CB134+CC255*CC134+CD255*CD134+CE255*CE134+CF255*CF134+CG255*CG134+CH255*CH134+CI255*CI134+CJ255*CJ134+CK255*CK134+CL255*CL134+CM255*CM134+CN255*CN134</f>
        <v>0</v>
      </c>
      <c r="CY134" s="2652">
        <f>E256*E134+F256*F134+G256*G134+H256*H134+I256*I134+J256*J134+K256*K134+L256*L134+M256*M134+N256*N134+O256*O134+P256*P134+Q256*Q134+R256*R134+S256*S134+T256*T134+U256*U134+V256*V134+W256*W134+X256*X134+Y256*Y134+Z256*Z134+AA256*AA134+AB256*AB134+AC256*AC134+AD256*AD134+AE256*AE134+AF256*AF134+AG256*AG134+AH256*AH134+AI256*AI134+AJ256*AJ134+AK256*AK134+AL256*AL134+AM256*AM134+AN256*AN134+AO256*AO134+AP256*AP134+AQ256*AQ134+AR256*AR134+AS256*AS134+AT256*AT134+AU256*AU134+AV256*AV134+AW256*AW134+AX256*AX134+AY256*AY134+AZ256*AZ134+BA256*BA134+BB256*BB134+BC256*BC134+BD256*BD134+BE256*BE134+BF256*BF134+BG256*BG134+BH256*BH134+BI256*BI134+BJ256*BJ134+BK256*BK134+BL256*BL134+BM256*BM134+BN256*BN134+BO256*BO134+BP256*BP134+BQ256*BQ134+BR256*BR134+BS256*BS134+BT256*BT134+BU256*BU134+BV256*BV134+BW256*BW134+BX256*BX134+BY256*BY134+BZ256*BZ134+CA256*CA134+CB256*CB134+CC256*CC134+CD256*CD134+CE256*CE134+CF256*CF134+CG256*CG134+CH256*CH134+CI256*CI134+CJ256*CJ134+CK256*CK134+CL256*CL134+CM256*CM134+CN256*CN134</f>
        <v>0</v>
      </c>
      <c r="CZ134" s="2652">
        <f>E257*E134+F257*F134+G257*G134+H257*H134+I257*I134+J257*J134+K257*K134+L257*L134+M257*M134+N257*N134+O257*O134+P257*P134+Q257*Q134+R257*R134+S257*S134+T257*T134+U257*U134+V257*V134+W257*W134+X257*X134+Y257*Y134+Z257*Z134+AA257*AA134+AB257*AB134+AC257*AC134+AD257*AD134+AE257*AE134+AF257*AF134+AG257*AG134+AH257*AH134+AI257*AI134+AJ257*AJ134+AK257*AK134+AL257*AL134+AM257*AM134+AN257*AN134+AO257*AO134+AP257*AP134+AQ257*AQ134+AR257*AR134+AS257*AS134+AT257*AT134+AU257*AU134+AV257*AV134+AW257*AW134+AX257*AX134+AY257*AY134+AZ257*AZ134+BA257*BA134+BB257*BB134+BC257*BC134+BD257*BD134+BE257*BE134+BF257*BF134+BG257*BG134+BH257*BH134+BI257*BI134+BJ257*BJ134+BK257*BK134+BL257*BL134+BM257*BM134+BN257*BN134+BO257*BO134+BP257*BP134+BQ257*BQ134+BR257*BR134+BS257*BS134+BT257*BT134+BU257*BU134+BV257*BV134+BW257*BW134+BX257*BX134+BY257*BY134+BZ257*BZ134+CA257*CA134+CB257*CB134+CC257*CC134+CD257*CD134+CE257*CE134+CF257*CF134+CG257*CG134+CH257*CH134+CI257*CI134+CJ257*CJ134+CK257*CK134+CL257*CL134+CM257*CM134+CN257*CN134</f>
        <v>0</v>
      </c>
      <c r="DA134" s="2652">
        <f>E258*E134+F258*F134+G258*G134+H258*H134+I258*I134+J258*J134+K258*K134+L258*L134+M258*M134+N258*N134+O258*O134+P258*P134+Q258*Q134+R258*R134+S258*S134+T258*T134+U258*U134+V258*V134+W258*W134+X258*X134+Y258*Y134+Z258*Z134+AA258*AA134+AB258*AB134+AC258*AC134+AD258*AD134+AE258*AE134+AF258*AF134+AG258*AG134+AH258*AH134+AI258*AI134+AJ258*AJ134+AK258*AK134+AL258*AL134+AM258*AM134+AN258*AN134+AO258*AO134+AP258*AP134+AQ258*AQ134+AR258*AR134+AS258*AS134+AT258*AT134+AU258*AU134+AV258*AV134+AW258*AW134+AX258*AX134+AY258*AY134+AZ258*AZ134+BA258*BA134+BB258*BB134+BC258*BC134+BD258*BD134+BE258*BE134+BF258*BF134+BG258*BG134+BH258*BH134+BI258*BI134+BJ258*BJ134+BK258*BK134+BL258*BL134+BM258*BM134+BN258*BN134+BO258*BO134+BP258*BP134+BQ258*BQ134+BR258*BR134+BS258*BS134+BT258*BT134+BU258*BU134+BV258*BV134+BW258*BW134+BX258*BX134+BY258*BY134+BZ258*BZ134+CA258*CA134+CB258*CB134+CC258*CC134+CD258*CD134+CE258*CE134+CF258*CF134+CG258*CG134+CH258*CH134+CI258*CI134+CJ258*CJ134+CK258*CK134+CL258*CL134+CM258*CM134+CN258*CN134</f>
        <v>0</v>
      </c>
    </row>
    <row r="135" spans="2:105" ht="18" x14ac:dyDescent="0.35">
      <c r="B135" s="784">
        <v>2</v>
      </c>
      <c r="C135" s="785" t="s">
        <v>224</v>
      </c>
      <c r="D135" s="786" t="s">
        <v>2200</v>
      </c>
      <c r="E135" s="2673">
        <f>-1/Y_OHO_VFA_anox</f>
        <v>-2.2222222222222223</v>
      </c>
      <c r="F135" s="2705">
        <f>0</f>
        <v>0</v>
      </c>
      <c r="G135" s="2707">
        <f>0</f>
        <v>0</v>
      </c>
      <c r="H135" s="2707">
        <f>0</f>
        <v>0</v>
      </c>
      <c r="I135" s="2707">
        <f>0</f>
        <v>0</v>
      </c>
      <c r="J135" s="2707">
        <f>0</f>
        <v>0</v>
      </c>
      <c r="K135" s="2707">
        <f>0</f>
        <v>0</v>
      </c>
      <c r="L135" s="2707">
        <f>0</f>
        <v>0</v>
      </c>
      <c r="M135" s="2707">
        <f>0</f>
        <v>0</v>
      </c>
      <c r="N135" s="2707">
        <f>0</f>
        <v>0</v>
      </c>
      <c r="O135" s="2707">
        <f>0</f>
        <v>0</v>
      </c>
      <c r="P135" s="2707">
        <f>0</f>
        <v>0</v>
      </c>
      <c r="Q135" s="2707">
        <f>0</f>
        <v>0</v>
      </c>
      <c r="R135" s="2707">
        <f>0</f>
        <v>0</v>
      </c>
      <c r="S135" s="2707">
        <f>0</f>
        <v>0</v>
      </c>
      <c r="T135" s="2707">
        <f>1</f>
        <v>1</v>
      </c>
      <c r="U135" s="2707">
        <f>0</f>
        <v>0</v>
      </c>
      <c r="V135" s="2707">
        <f>0</f>
        <v>0</v>
      </c>
      <c r="W135" s="2707">
        <f>0</f>
        <v>0</v>
      </c>
      <c r="X135" s="2707">
        <f>0</f>
        <v>0</v>
      </c>
      <c r="Y135" s="2707">
        <f>0</f>
        <v>0</v>
      </c>
      <c r="Z135" s="2707">
        <f>0</f>
        <v>0</v>
      </c>
      <c r="AA135" s="2707">
        <f>0</f>
        <v>0</v>
      </c>
      <c r="AB135" s="2707">
        <f>0</f>
        <v>0</v>
      </c>
      <c r="AC135" s="2707">
        <f>0</f>
        <v>0</v>
      </c>
      <c r="AD135" s="2705">
        <f>-i_N_BIO</f>
        <v>-7.0000000000000007E-2</v>
      </c>
      <c r="AE135" s="2673">
        <f>-(1-Y_OHO_VFA_anox)/(E_EQN2_NO2*Y_OHO_VFA_anox)</f>
        <v>-0.71333091657603842</v>
      </c>
      <c r="AF135" s="2673">
        <f>0</f>
        <v>0</v>
      </c>
      <c r="AG135" s="2673">
        <f>(1-Y_OHO_VFA_anox)/(E_EQN2_NO2*Y_OHO_VFA_anox)</f>
        <v>0.71333091657603842</v>
      </c>
      <c r="AH135" s="2707">
        <f>0</f>
        <v>0</v>
      </c>
      <c r="AI135" s="2707">
        <f>0</f>
        <v>0</v>
      </c>
      <c r="AJ135" s="2707">
        <f>0</f>
        <v>0</v>
      </c>
      <c r="AK135" s="2707">
        <f>0</f>
        <v>0</v>
      </c>
      <c r="AL135" s="2673">
        <f>-i_P_BIO</f>
        <v>-0.02</v>
      </c>
      <c r="AM135" s="2707">
        <f>0</f>
        <v>0</v>
      </c>
      <c r="AN135" s="2707">
        <f>0</f>
        <v>0</v>
      </c>
      <c r="AO135" s="2707">
        <f>0</f>
        <v>0</v>
      </c>
      <c r="AP135" s="2707">
        <f>0</f>
        <v>0</v>
      </c>
      <c r="AQ135" s="2707">
        <f>0</f>
        <v>0</v>
      </c>
      <c r="AR135" s="2705">
        <f>0</f>
        <v>0</v>
      </c>
      <c r="AS135" s="2705">
        <f>0</f>
        <v>0</v>
      </c>
      <c r="AT135" s="2705">
        <f>0</f>
        <v>0</v>
      </c>
      <c r="AU135" s="2673">
        <f>i_CIT_VFA/Y_OHO_VFA_anox-i_CIT_BIO</f>
        <v>0.48133333333333328</v>
      </c>
      <c r="AV135" s="2673">
        <f>i_INORG</f>
        <v>0.11</v>
      </c>
      <c r="AW135" s="2673">
        <f>-i_INORG*(1-i_Ca_INORG*(A_MCa+2*A_MCl)/A_MCa-i_Mg_INORG*(A_MMg+2*A_MCl)/A_MMg)*f_Na</f>
        <v>-2.8804303582798466E-2</v>
      </c>
      <c r="AX135" s="2673">
        <f>-i_INORG*(i_Ca_INORG*(2*A_MCl)/A_MCa+i_Mg_INORG*(2*A_MCl)/A_MMg)-i_INORG*(1-i_Ca_INORG*(A_MCa+2*A_MCl)/A_MCa-i_Mg_INORG*(A_MMg+2*A_MCl)/A_MMg)*(1-f_Na)</f>
        <v>-7.0195696417201539E-2</v>
      </c>
      <c r="AY135" s="2673">
        <f>-i_INORG*i_Ca_INORG</f>
        <v>-5.5000000000000005E-3</v>
      </c>
      <c r="AZ135" s="2673">
        <f>-i_INORG*i_Mg_INORG</f>
        <v>-5.5000000000000005E-3</v>
      </c>
      <c r="BA135" s="2705">
        <f>0</f>
        <v>0</v>
      </c>
      <c r="BB135" s="2705">
        <f>0</f>
        <v>0</v>
      </c>
      <c r="BC135" s="2705">
        <f>0</f>
        <v>0</v>
      </c>
      <c r="BD135" s="2705">
        <f>0</f>
        <v>0</v>
      </c>
      <c r="BE135" s="2705">
        <f>0</f>
        <v>0</v>
      </c>
      <c r="BF135" s="2705">
        <f>0</f>
        <v>0</v>
      </c>
      <c r="BG135" s="2705">
        <f>0</f>
        <v>0</v>
      </c>
      <c r="BH135" s="2705">
        <f>0</f>
        <v>0</v>
      </c>
      <c r="BI135" s="2705">
        <f>0</f>
        <v>0</v>
      </c>
      <c r="BJ135" s="2705">
        <f>0</f>
        <v>0</v>
      </c>
      <c r="BK135" s="2705">
        <f>0</f>
        <v>0</v>
      </c>
      <c r="BL135" s="2705">
        <f>0</f>
        <v>0</v>
      </c>
      <c r="BM135" s="2705">
        <f>0</f>
        <v>0</v>
      </c>
      <c r="BN135" s="2705">
        <f>0</f>
        <v>0</v>
      </c>
      <c r="BO135" s="2705">
        <f>0</f>
        <v>0</v>
      </c>
      <c r="BP135" s="2705">
        <f>0</f>
        <v>0</v>
      </c>
      <c r="BQ135" s="2705">
        <f>0</f>
        <v>0</v>
      </c>
      <c r="BR135" s="2705">
        <f>0</f>
        <v>0</v>
      </c>
      <c r="BS135" s="2705">
        <f>0</f>
        <v>0</v>
      </c>
      <c r="BT135" s="2705">
        <f>0</f>
        <v>0</v>
      </c>
      <c r="BU135" s="2705">
        <f>0</f>
        <v>0</v>
      </c>
      <c r="BV135" s="2705">
        <f>0</f>
        <v>0</v>
      </c>
      <c r="BW135" s="2705">
        <f>0</f>
        <v>0</v>
      </c>
      <c r="BX135" s="2705">
        <f>0</f>
        <v>0</v>
      </c>
      <c r="BY135" s="2705">
        <f>0</f>
        <v>0</v>
      </c>
      <c r="BZ135" s="2705">
        <f>0</f>
        <v>0</v>
      </c>
      <c r="CA135" s="2705">
        <f>0</f>
        <v>0</v>
      </c>
      <c r="CB135" s="2795">
        <f>0</f>
        <v>0</v>
      </c>
      <c r="CC135" s="2705">
        <f>0</f>
        <v>0</v>
      </c>
      <c r="CD135" s="2705">
        <f>0</f>
        <v>0</v>
      </c>
      <c r="CE135" s="2705">
        <f>0</f>
        <v>0</v>
      </c>
      <c r="CF135" s="2705">
        <f>0</f>
        <v>0</v>
      </c>
      <c r="CG135" s="2705">
        <f>0</f>
        <v>0</v>
      </c>
      <c r="CH135" s="2705">
        <f>0</f>
        <v>0</v>
      </c>
      <c r="CI135" s="2705">
        <f>0</f>
        <v>0</v>
      </c>
      <c r="CJ135" s="2705">
        <f>0</f>
        <v>0</v>
      </c>
      <c r="CK135" s="2705">
        <f>0</f>
        <v>0</v>
      </c>
      <c r="CL135" s="2705">
        <f>0</f>
        <v>0</v>
      </c>
      <c r="CM135" s="2705">
        <f>0</f>
        <v>0</v>
      </c>
      <c r="CN135" s="2705">
        <f>0</f>
        <v>0</v>
      </c>
      <c r="CO135" s="2825">
        <f>µ_OHO_T*X_OHO*η_OHO_anox_NO2red*M_satSVFA_KVFA*M_satSNO2_KNO2_OHO*(L_oginhSNO3_KNO3_OHO*L_oginhSVFA_KVFA_OHO_SNO2+L_ogsatSVFA_KVFA_OHO_SNO2)*M_inhSO2_KO2_OHO*M_satSNHx_KNHx_BIO*M_satSPO4_KPO4_BIO*M_satSCAT_KCAT*M_satSAN_KAN*M_satSCa_KCa*M_satSMg_KMg*B_ellinhpH</f>
        <v>5.5347059118327479E-90</v>
      </c>
      <c r="CQ135" s="2650">
        <f>E248*E135+F248*F135+G248*G135+H248*H135+I248*I135+J248*J135+K248*K135+L248*L135+M248*M135+N248*N135+O248*O135+P248*P135+Q248*Q135+R248*R135+S248*S135+T248*T135+U248*U135+V248*V135+W248*W135+X248*X135+Y248*Y135+Z248*Z135+AA248*AA135+AB248*AB135+AC248*AC135+AD248*AD135+AE248*AE135+AF248*AF135+AG248*AG135+AH248*AH135+AI248*AI135+AJ248*AJ135+AK248*AK135+AL248*AL135+AM248*AM135+AN248*AN135+AO248*AO135+AP248*AP135+AQ248*AQ135+AR248*AR135+AS248*AS135+AT248*AT135+AU248*AU135+AV248*AV135+AW248*AW135+AX248*AX135+AY248*AY135+AZ248*AZ135+BA248*BA135+BB248*BB135+BC248*BC135+BD248*BD135+BE248*BE135+BF248*BF135+BG248*BG135+BH248*BH135+BI248*BI135+BJ248*BJ135+BK248*BK135+BL248*BL135+BM248*BM135+BN248*BN135+BO248*BO135+BP248*BP135+BQ248*BQ135+BR248*BR135+BS248*BS135+BT248*BT135+BU248*BU135+BV248*BV135+BW248*BW135+BX248*BX135+BY248*BY135+BZ248*BZ135+CA248*CA135+CB248*CB135+CC248*CC135+CD248*CD135+CE248*CE135+CF248*CF135+CG248*CG135+CH248*CH135+CI248*CI135+CJ248*CJ135+CK248*CK135+CL248*CL135+CM248*CM135+CN248*CN135</f>
        <v>0</v>
      </c>
      <c r="CR135" s="2650">
        <f>E249*E135+F249*F135+G249*G135+H249*H135+I249*I135+J249*J135+K249*K135+L249*L135+M249*M135+N249*N135+O249*O135+P249*P135+Q249*Q135+R249*R135+S249*S135+T249*T135+U249*U135+V249*V135+W249*W135+X249*X135+Y249*Y135+Z249*Z135+AA249*AA135+AB249*AB135+AC249*AC135+AD249*AD135+AE249*AE135+AF249*AF135+AG249*AG135+AH249*AH135+AI249*AI135+AJ249*AJ135+AK249*AK135+AL249*AL135+AM249*AM135+AN249*AN135+AO249*AO135+AP249*AP135+AQ249*AQ135+AR249*AR135+AS249*AS135+AT249*AT135+AU249*AU135+AV249*AV135+AW249*AW135+AX249*AX135+AY249*AY135+AZ249*AZ135+BA249*BA135+BB249*BB135+BC249*BC135+BD249*BD135+BE249*BE135+BF249*BF135+BG249*BG135+BH249*BH135+BI249*BI135+BJ249*BJ135+BK249*BK135+BL249*BL135+BM249*BM135+BN249*BN135+BO249*BO135+BP249*BP135+BQ249*BQ135+BR249*BR135+BS249*BS135+BT249*BT135+BU249*BU135+BV249*BV135+BW249*BW135+BX249*BX135+BY249*BY135+BZ249*BZ135+CA249*CA135+CB249*CB135+CC249*CC135+CD249*CD135+CE249*CE135+CF249*CF135+CG249*CG135+CH249*CH135+CI249*CI135+CJ249*CJ135+CK249*CK135+CL249*CL135+CM249*CM135+CN249*CN135</f>
        <v>-1.1102230246251565E-16</v>
      </c>
      <c r="CS135" s="2651">
        <f>E250*E135+F250*F135+G250*G135+H250*H135+I250*I135+J250*J135+K250*K135+L250*L135+M250*M135+N250*N135+O250*O135+P250*P135+Q250*Q135+R250*R135+S250*S135+T250*T135+U250*U135+V250*V135+W250*W135+X250*X135+Y250*Y135+Z250*Z135+AA250*AA135+AB250*AB135+AC250*AC135+AD250*AD135+AE250*AE135+AF250*AF135+AG250*AG135+AH250*AH135+AI250*AI135+AJ250*AJ135+AK250*AK135+AL250*AL135+AM250*AM135+AN250*AN135+AO250*AO135+AP250*AP135+AQ250*AQ135+AR250*AR135+AS250*AS135+AT250*AT135+AU250*AU135+AV250*AV135+AW250*AW135+AX250*AX135+AY250*AY135+AZ250*AZ135+BA250*BA135+BB250*BB135+BC250*BC135+BD250*BD135+BE250*BE135+BF250*BF135+BG250*BG135+BH250*BH135+BI250*BI135+BJ250*BJ135+BK250*BK135+BL250*BL135+BM250*BM135+BN250*BN135+BO250*BO135+BP250*BP135+BQ250*BQ135+BR250*BR135+BS250*BS135+BT250*BT135+BU250*BU135+BV250*BV135+BW250*BW135+BX250*BX135+BY250*BY135+BZ250*BZ135+CA250*CA135+CB250*CB135+CC250*CC135+CD250*CD135+CE250*CE135+CF250*CF135+CG250*CG135+CH250*CH135+CI250*CI135+CJ250*CJ135+CK250*CK135+CL250*CL135+CM250*CM135+CN250*CN135</f>
        <v>0</v>
      </c>
      <c r="CT135" s="2652">
        <f>E251*E135+F251*F135+G251*G135+H251*H135+I251*I135+J251*J135+K251*K135+L251*L135+M251*M135+N251*N135+O251*O135+P251*P135+Q251*Q135+R251*R135+S251*S135+T251*T135+U251*U135+V251*V135+W251*W135+X251*X135+Y251*Y135+Z251*Z135+AA251*AA135+AB251*AB135+AC251*AC135+AD251*AD135+AE251*AE135+AF251*AF135+AG251*AG135+AH251*AH135+AI251*AI135+AJ251*AJ135+AK251*AK135+AL251*AL135+AM251*AM135+AN251*AN135+AO251*AO135+AP251*AP135+AQ251*AQ135+AR251*AR135+AS251*AS135+AT251*AT135+AU251*AU135+AV251*AV135+AW251*AW135+AX251*AX135+AY251*AY135+AZ251*AZ135+BA251*BA135+BB251*BB135+BC251*BC135+BD251*BD135+BE251*BE135+BF251*BF135+BG251*BG135+BH251*BH135+BI251*BI135+BJ251*BJ135+BK251*BK135+BL251*BL135+BM251*BM135+BN251*BN135+BO251*BO135+BP251*BP135+BQ251*BQ135+BR251*BR135+BS251*BS135+BT251*BT135+BU251*BU135+BV251*BV135+BW251*BW135+BX251*BX135+BY251*BY135+BZ251*BZ135+CA251*CA135+CB251*CB135+CC251*CC135+CD251*CD135+CE251*CE135+CF251*CF135+CG251*CG135+CH251*CH135+CI251*CI135+CJ251*CJ135+CK251*CK135+CL251*CL135+CM251*CM135+CN251*CN135</f>
        <v>0</v>
      </c>
      <c r="CU135" s="2652">
        <f>E252*E135+F252*F135+G252*G135+H252*H135+I252*I135+J252*J135+K252*K135+L252*L135+M252*M135+N252*N135+O252*O135+P252*P135+Q252*Q135+R252*R135+S252*S135+T252*T135+U252*U135+V252*V135+W252*W135+X252*X135+Y252*Y135+Z252*Z135+AA252*AA135+AB252*AB135+AC252*AC135+AD252*AD135+AE252*AE135+AF252*AF135+AG252*AG135+AH252*AH135+AI252*AI135+AJ252*AJ135+AK252*AK135+AL252*AL135+AM252*AM135+AN252*AN135+AO252*AO135+AP252*AP135+AQ252*AQ135+AR252*AR135+AS252*AS135+AT252*AT135+AU252*AU135+AV252*AV135+AW252*AW135+AX252*AX135+AY252*AY135+AZ252*AZ135+BA252*BA135+BB252*BB135+BC252*BC135+BD252*BD135+BE252*BE135+BF252*BF135+BG252*BG135+BH252*BH135+BI252*BI135+BJ252*BJ135+BK252*BK135+BL252*BL135+BM252*BM135+BN252*BN135+BO252*BO135+BP252*BP135+BQ252*BQ135+BR252*BR135+BS252*BS135+BT252*BT135+BU252*BU135+BV252*BV135+BW252*BW135+BX252*BX135+BY252*BY135+BZ252*BZ135+CA252*CA135+CB252*CB135+CC252*CC135+CD252*CD135+CE252*CE135+CF252*CF135+CG252*CG135+CH252*CH135+CI252*CI135+CJ252*CJ135+CK252*CK135+CL252*CL135+CM252*CM135+CN252*CN135</f>
        <v>0</v>
      </c>
      <c r="CV135" s="2652">
        <f>E253*E135+F253*F135+G253*G135+H253*H135+I253*I135+J253*J135+K253*K135+L253*L135+M253*M135+N253*N135+O253*O135+P253*P135+Q253*Q135+R253*R135+S253*S135+T253*T135+U253*U135+V253*V135+W253*W135+X253*X135+Y253*Y135+Z253*Z135+AA253*AA135+AB253*AB135+AC253*AC135+AD253*AD135+AE253*AE135+AF253*AF135+AG253*AG135+AH253*AH135+AI253*AI135+AJ253*AJ135+AK253*AK135+AL253*AL135+AM253*AM135+AN253*AN135+AO253*AO135+AP253*AP135+AQ253*AQ135+AR253*AR135+AS253*AS135+AT253*AT135+AU253*AU135+AV253*AV135+AW253*AW135+AX253*AX135+AY253*AY135+AZ253*AZ135+BA253*BA135+BB253*BB135+BC253*BC135+BD253*BD135+BE253*BE135+BF253*BF135+BG253*BG135+BH253*BH135+BI253*BI135+BJ253*BJ135+BK253*BK135+BL253*BL135+BM253*BM135+BN253*BN135+BO253*BO135+BP253*BP135+BQ253*BQ135+BR253*BR135+BS253*BS135+BT253*BT135+BU253*BU135+BV253*BV135+BW253*BW135+BX253*BX135+BY253*BY135+BZ253*BZ135+CA253*CA135+CB253*CB135+CC253*CC135+CD253*CD135+CE253*CE135+CF253*CF135+CG253*CG135+CH253*CH135+CI253*CI135+CJ253*CJ135+CK253*CK135+CL253*CL135+CM253*CM135+CN253*CN135</f>
        <v>0</v>
      </c>
      <c r="CW135" s="2652">
        <f>E254*E135+F254*F135+G254*G135+H254*H135+I254*I135+J254*J135+K254*K135+L254*L135+M254*M135+N254*N135+O254*O135+P254*P135+Q254*Q135+R254*R135+S254*S135+T254*T135+U254*U135+V254*V135+W254*W135+X254*X135+Y254*Y135+Z254*Z135+AA254*AA135+AB254*AB135+AC254*AC135+AD254*AD135+AE254*AE135+AF254*AF135+AG254*AG135+AH254*AH135+AI254*AI135+AJ254*AJ135+AK254*AK135+AL254*AL135+AM254*AM135+AN254*AN135+AO254*AO135+AP254*AP135+AQ254*AQ135+AR254*AR135+AS254*AS135+AT254*AT135+AU254*AU135+AV254*AV135+AW254*AW135+AX254*AX135+AY254*AY135+AZ254*AZ135+BA254*BA135+BB254*BB135+BC254*BC135+BD254*BD135+BE254*BE135+BF254*BF135+BG254*BG135+BH254*BH135+BI254*BI135+BJ254*BJ135+BK254*BK135+BL254*BL135+BM254*BM135+BN254*BN135+BO254*BO135+BP254*BP135+BQ254*BQ135+BR254*BR135+BS254*BS135+BT254*BT135+BU254*BU135+BV254*BV135+BW254*BW135+BX254*BX135+BY254*BY135+BZ254*BZ135+CA254*CA135+CB254*CB135+CC254*CC135+CD254*CD135+CE254*CE135+CF254*CF135+CG254*CG135+CH254*CH135+CI254*CI135+CJ254*CJ135+CK254*CK135+CL254*CL135+CM254*CM135+CN254*CN135</f>
        <v>0</v>
      </c>
      <c r="CX135" s="2652">
        <f>E255*E135+F255*F135+G255*G135+H255*H135+I255*I135+J255*J135+K255*K135+L255*L135+M255*M135+N255*N135+O255*O135+P255*P135+Q255*Q135+R255*R135+S255*S135+T255*T135+U255*U135+V255*V135+W255*W135+X255*X135+Y255*Y135+Z255*Z135+AA255*AA135+AB255*AB135+AC255*AC135+AD255*AD135+AE255*AE135+AF255*AF135+AG255*AG135+AH255*AH135+AI255*AI135+AJ255*AJ135+AK255*AK135+AL255*AL135+AM255*AM135+AN255*AN135+AO255*AO135+AP255*AP135+AQ255*AQ135+AR255*AR135+AS255*AS135+AT255*AT135+AU255*AU135+AV255*AV135+AW255*AW135+AX255*AX135+AY255*AY135+AZ255*AZ135+BA255*BA135+BB255*BB135+BC255*BC135+BD255*BD135+BE255*BE135+BF255*BF135+BG255*BG135+BH255*BH135+BI255*BI135+BJ255*BJ135+BK255*BK135+BL255*BL135+BM255*BM135+BN255*BN135+BO255*BO135+BP255*BP135+BQ255*BQ135+BR255*BR135+BS255*BS135+BT255*BT135+BU255*BU135+BV255*BV135+BW255*BW135+BX255*BX135+BY255*BY135+BZ255*BZ135+CA255*CA135+CB255*CB135+CC255*CC135+CD255*CD135+CE255*CE135+CF255*CF135+CG255*CG135+CH255*CH135+CI255*CI135+CJ255*CJ135+CK255*CK135+CL255*CL135+CM255*CM135+CN255*CN135</f>
        <v>0</v>
      </c>
      <c r="CY135" s="2652">
        <f>E256*E135+F256*F135+G256*G135+H256*H135+I256*I135+J256*J135+K256*K135+L256*L135+M256*M135+N256*N135+O256*O135+P256*P135+Q256*Q135+R256*R135+S256*S135+T256*T135+U256*U135+V256*V135+W256*W135+X256*X135+Y256*Y135+Z256*Z135+AA256*AA135+AB256*AB135+AC256*AC135+AD256*AD135+AE256*AE135+AF256*AF135+AG256*AG135+AH256*AH135+AI256*AI135+AJ256*AJ135+AK256*AK135+AL256*AL135+AM256*AM135+AN256*AN135+AO256*AO135+AP256*AP135+AQ256*AQ135+AR256*AR135+AS256*AS135+AT256*AT135+AU256*AU135+AV256*AV135+AW256*AW135+AX256*AX135+AY256*AY135+AZ256*AZ135+BA256*BA135+BB256*BB135+BC256*BC135+BD256*BD135+BE256*BE135+BF256*BF135+BG256*BG135+BH256*BH135+BI256*BI135+BJ256*BJ135+BK256*BK135+BL256*BL135+BM256*BM135+BN256*BN135+BO256*BO135+BP256*BP135+BQ256*BQ135+BR256*BR135+BS256*BS135+BT256*BT135+BU256*BU135+BV256*BV135+BW256*BW135+BX256*BX135+BY256*BY135+BZ256*BZ135+CA256*CA135+CB256*CB135+CC256*CC135+CD256*CD135+CE256*CE135+CF256*CF135+CG256*CG135+CH256*CH135+CI256*CI135+CJ256*CJ135+CK256*CK135+CL256*CL135+CM256*CM135+CN256*CN135</f>
        <v>0</v>
      </c>
      <c r="CZ135" s="2652">
        <f>E257*E135+F257*F135+G257*G135+H257*H135+I257*I135+J257*J135+K257*K135+L257*L135+M257*M135+N257*N135+O257*O135+P257*P135+Q257*Q135+R257*R135+S257*S135+T257*T135+U257*U135+V257*V135+W257*W135+X257*X135+Y257*Y135+Z257*Z135+AA257*AA135+AB257*AB135+AC257*AC135+AD257*AD135+AE257*AE135+AF257*AF135+AG257*AG135+AH257*AH135+AI257*AI135+AJ257*AJ135+AK257*AK135+AL257*AL135+AM257*AM135+AN257*AN135+AO257*AO135+AP257*AP135+AQ257*AQ135+AR257*AR135+AS257*AS135+AT257*AT135+AU257*AU135+AV257*AV135+AW257*AW135+AX257*AX135+AY257*AY135+AZ257*AZ135+BA257*BA135+BB257*BB135+BC257*BC135+BD257*BD135+BE257*BE135+BF257*BF135+BG257*BG135+BH257*BH135+BI257*BI135+BJ257*BJ135+BK257*BK135+BL257*BL135+BM257*BM135+BN257*BN135+BO257*BO135+BP257*BP135+BQ257*BQ135+BR257*BR135+BS257*BS135+BT257*BT135+BU257*BU135+BV257*BV135+BW257*BW135+BX257*BX135+BY257*BY135+BZ257*BZ135+CA257*CA135+CB257*CB135+CC257*CC135+CD257*CD135+CE257*CE135+CF257*CF135+CG257*CG135+CH257*CH135+CI257*CI135+CJ257*CJ135+CK257*CK135+CL257*CL135+CM257*CM135+CN257*CN135</f>
        <v>0</v>
      </c>
      <c r="DA135" s="2652">
        <f>E258*E135+F258*F135+G258*G135+H258*H135+I258*I135+J258*J135+K258*K135+L258*L135+M258*M135+N258*N135+O258*O135+P258*P135+Q258*Q135+R258*R135+S258*S135+T258*T135+U258*U135+V258*V135+W258*W135+X258*X135+Y258*Y135+Z258*Z135+AA258*AA135+AB258*AB135+AC258*AC135+AD258*AD135+AE258*AE135+AF258*AF135+AG258*AG135+AH258*AH135+AI258*AI135+AJ258*AJ135+AK258*AK135+AL258*AL135+AM258*AM135+AN258*AN135+AO258*AO135+AP258*AP135+AQ258*AQ135+AR258*AR135+AS258*AS135+AT258*AT135+AU258*AU135+AV258*AV135+AW258*AW135+AX258*AX135+AY258*AY135+AZ258*AZ135+BA258*BA135+BB258*BB135+BC258*BC135+BD258*BD135+BE258*BE135+BF258*BF135+BG258*BG135+BH258*BH135+BI258*BI135+BJ258*BJ135+BK258*BK135+BL258*BL135+BM258*BM135+BN258*BN135+BO258*BO135+BP258*BP135+BQ258*BQ135+BR258*BR135+BS258*BS135+BT258*BT135+BU258*BU135+BV258*BV135+BW258*BW135+BX258*BX135+BY258*BY135+BZ258*BZ135+CA258*CA135+CB258*CB135+CC258*CC135+CD258*CD135+CE258*CE135+CF258*CF135+CG258*CG135+CH258*CH135+CI258*CI135+CJ258*CJ135+CK258*CK135+CL258*CL135+CM258*CM135+CN258*CN135</f>
        <v>0</v>
      </c>
    </row>
    <row r="136" spans="2:105" ht="18" x14ac:dyDescent="0.35">
      <c r="B136" s="784">
        <v>3</v>
      </c>
      <c r="C136" s="785" t="s">
        <v>225</v>
      </c>
      <c r="D136" s="786" t="s">
        <v>1662</v>
      </c>
      <c r="E136" s="2673">
        <f>-1/Y_OHO_VFA_anox</f>
        <v>-2.2222222222222223</v>
      </c>
      <c r="F136" s="2673">
        <f>0</f>
        <v>0</v>
      </c>
      <c r="G136" s="2674">
        <f>0</f>
        <v>0</v>
      </c>
      <c r="H136" s="2674">
        <f>0</f>
        <v>0</v>
      </c>
      <c r="I136" s="2674">
        <f>0</f>
        <v>0</v>
      </c>
      <c r="J136" s="2674">
        <f>0</f>
        <v>0</v>
      </c>
      <c r="K136" s="2674">
        <f>0</f>
        <v>0</v>
      </c>
      <c r="L136" s="2674">
        <f>0</f>
        <v>0</v>
      </c>
      <c r="M136" s="2674">
        <f>0</f>
        <v>0</v>
      </c>
      <c r="N136" s="2674">
        <f>0</f>
        <v>0</v>
      </c>
      <c r="O136" s="2674">
        <f>0</f>
        <v>0</v>
      </c>
      <c r="P136" s="2674">
        <f>0</f>
        <v>0</v>
      </c>
      <c r="Q136" s="2674">
        <f>0</f>
        <v>0</v>
      </c>
      <c r="R136" s="2674">
        <f>0</f>
        <v>0</v>
      </c>
      <c r="S136" s="2674">
        <f>0</f>
        <v>0</v>
      </c>
      <c r="T136" s="2674">
        <f>1</f>
        <v>1</v>
      </c>
      <c r="U136" s="2674">
        <f>0</f>
        <v>0</v>
      </c>
      <c r="V136" s="2674">
        <f>0</f>
        <v>0</v>
      </c>
      <c r="W136" s="2674">
        <f>0</f>
        <v>0</v>
      </c>
      <c r="X136" s="2674">
        <f>0</f>
        <v>0</v>
      </c>
      <c r="Y136" s="2674">
        <f>0</f>
        <v>0</v>
      </c>
      <c r="Z136" s="2674">
        <f>0</f>
        <v>0</v>
      </c>
      <c r="AA136" s="2674">
        <f>0</f>
        <v>0</v>
      </c>
      <c r="AB136" s="2674">
        <f>0</f>
        <v>0</v>
      </c>
      <c r="AC136" s="2738">
        <f>0</f>
        <v>0</v>
      </c>
      <c r="AD136" s="2673">
        <f>-i_N_BIO</f>
        <v>-7.0000000000000007E-2</v>
      </c>
      <c r="AE136" s="2673">
        <f>(1-Y_OHO_VFA_anox)/(E_EQNO2_NO3*Y_OHO_VFA_anox)</f>
        <v>1.0699963748640577</v>
      </c>
      <c r="AF136" s="2673">
        <f>-(1-Y_OHO_VFA_anox)/(E_EQNO2_NO3*Y_OHO_VFA_anox)</f>
        <v>-1.0699963748640577</v>
      </c>
      <c r="AG136" s="2673">
        <f>0</f>
        <v>0</v>
      </c>
      <c r="AH136" s="2674">
        <f>0</f>
        <v>0</v>
      </c>
      <c r="AI136" s="2674">
        <f>0</f>
        <v>0</v>
      </c>
      <c r="AJ136" s="2674">
        <f>0</f>
        <v>0</v>
      </c>
      <c r="AK136" s="2674">
        <f>0</f>
        <v>0</v>
      </c>
      <c r="AL136" s="2673">
        <f>-i_P_BIO</f>
        <v>-0.02</v>
      </c>
      <c r="AM136" s="2674">
        <f>0</f>
        <v>0</v>
      </c>
      <c r="AN136" s="2674">
        <f>0</f>
        <v>0</v>
      </c>
      <c r="AO136" s="2674">
        <f>0</f>
        <v>0</v>
      </c>
      <c r="AP136" s="2674">
        <f>0</f>
        <v>0</v>
      </c>
      <c r="AQ136" s="2674">
        <f>0</f>
        <v>0</v>
      </c>
      <c r="AR136" s="2673">
        <f>0</f>
        <v>0</v>
      </c>
      <c r="AS136" s="2673">
        <f>0</f>
        <v>0</v>
      </c>
      <c r="AT136" s="2673">
        <f>0</f>
        <v>0</v>
      </c>
      <c r="AU136" s="2673">
        <f>i_CIT_VFA/Y_OHO_VFA_anox-i_CIT_BIO</f>
        <v>0.48133333333333328</v>
      </c>
      <c r="AV136" s="2673">
        <f>i_INORG</f>
        <v>0.11</v>
      </c>
      <c r="AW136" s="2673">
        <f>-i_INORG*(1-i_Ca_INORG*(A_MCa+2*A_MCl)/A_MCa-i_Mg_INORG*(A_MMg+2*A_MCl)/A_MMg)*f_Na</f>
        <v>-2.8804303582798466E-2</v>
      </c>
      <c r="AX136" s="2673">
        <f>-i_INORG*(i_Ca_INORG*(2*A_MCl)/A_MCa+i_Mg_INORG*(2*A_MCl)/A_MMg)-i_INORG*(1-i_Ca_INORG*(A_MCa+2*A_MCl)/A_MCa-i_Mg_INORG*(A_MMg+2*A_MCl)/A_MMg)*(1-f_Na)</f>
        <v>-7.0195696417201539E-2</v>
      </c>
      <c r="AY136" s="2673">
        <f>-i_INORG*i_Ca_INORG</f>
        <v>-5.5000000000000005E-3</v>
      </c>
      <c r="AZ136" s="2673">
        <f>-i_INORG*i_Mg_INORG</f>
        <v>-5.5000000000000005E-3</v>
      </c>
      <c r="BA136" s="2673">
        <f>0</f>
        <v>0</v>
      </c>
      <c r="BB136" s="2673">
        <f>0</f>
        <v>0</v>
      </c>
      <c r="BC136" s="2673">
        <f>0</f>
        <v>0</v>
      </c>
      <c r="BD136" s="2673">
        <f>0</f>
        <v>0</v>
      </c>
      <c r="BE136" s="2673">
        <f>0</f>
        <v>0</v>
      </c>
      <c r="BF136" s="2673">
        <f>0</f>
        <v>0</v>
      </c>
      <c r="BG136" s="2673">
        <f>0</f>
        <v>0</v>
      </c>
      <c r="BH136" s="2673">
        <f>0</f>
        <v>0</v>
      </c>
      <c r="BI136" s="2673">
        <f>0</f>
        <v>0</v>
      </c>
      <c r="BJ136" s="2763">
        <f>0</f>
        <v>0</v>
      </c>
      <c r="BK136" s="2763">
        <f>0</f>
        <v>0</v>
      </c>
      <c r="BL136" s="2763">
        <f>0</f>
        <v>0</v>
      </c>
      <c r="BM136" s="2763">
        <f>0</f>
        <v>0</v>
      </c>
      <c r="BN136" s="2763">
        <f>0</f>
        <v>0</v>
      </c>
      <c r="BO136" s="2763">
        <f>0</f>
        <v>0</v>
      </c>
      <c r="BP136" s="2763">
        <f>0</f>
        <v>0</v>
      </c>
      <c r="BQ136" s="2673">
        <f>0</f>
        <v>0</v>
      </c>
      <c r="BR136" s="2673">
        <f>0</f>
        <v>0</v>
      </c>
      <c r="BS136" s="2763">
        <f>0</f>
        <v>0</v>
      </c>
      <c r="BT136" s="2673">
        <f>0</f>
        <v>0</v>
      </c>
      <c r="BU136" s="2673">
        <f>0</f>
        <v>0</v>
      </c>
      <c r="BV136" s="2786">
        <f>0</f>
        <v>0</v>
      </c>
      <c r="BW136" s="2786">
        <f>0</f>
        <v>0</v>
      </c>
      <c r="BX136" s="2786">
        <f>0</f>
        <v>0</v>
      </c>
      <c r="BY136" s="2786">
        <f>0</f>
        <v>0</v>
      </c>
      <c r="BZ136" s="2673">
        <f>0</f>
        <v>0</v>
      </c>
      <c r="CA136" s="2673">
        <f>0</f>
        <v>0</v>
      </c>
      <c r="CB136" s="2796">
        <f>0</f>
        <v>0</v>
      </c>
      <c r="CC136" s="2673">
        <f>0</f>
        <v>0</v>
      </c>
      <c r="CD136" s="2673">
        <f>0</f>
        <v>0</v>
      </c>
      <c r="CE136" s="2673">
        <f>0</f>
        <v>0</v>
      </c>
      <c r="CF136" s="2673">
        <f>0</f>
        <v>0</v>
      </c>
      <c r="CG136" s="2673">
        <f>0</f>
        <v>0</v>
      </c>
      <c r="CH136" s="2673">
        <f>0</f>
        <v>0</v>
      </c>
      <c r="CI136" s="2673">
        <f>0</f>
        <v>0</v>
      </c>
      <c r="CJ136" s="2673">
        <f>0</f>
        <v>0</v>
      </c>
      <c r="CK136" s="2673">
        <f>0</f>
        <v>0</v>
      </c>
      <c r="CL136" s="2673">
        <f>0</f>
        <v>0</v>
      </c>
      <c r="CM136" s="2673">
        <f>0</f>
        <v>0</v>
      </c>
      <c r="CN136" s="2673">
        <f>0</f>
        <v>0</v>
      </c>
      <c r="CO136" s="2825">
        <f>µ_OHO_T*X_OHO*η_OHO_anox*M_satSVFA_KVFA*L_ogsatSNO3_KNO3_OHO*(L_oginhSVFA_KVFA_OHO_SNO2+M_inhSNO2_KNO2_OHO*L_ogsatSVFA_KVFA_OHO_SNO2)*M_inhSO2_KO2_OHO*M_satSNHx_KNHx_BIO*M_satSPO4_KPO4_BIO*M_satSCAT_KCAT*M_satSAN_KAN*M_satSCa_KCa*M_satSMg_KMg*B_ellinhpH</f>
        <v>0.810560101922567</v>
      </c>
      <c r="CQ136" s="2650">
        <f>E248*E136+F248*F136+G248*G136+H248*H136+I248*I136+J248*J136+K248*K136+L248*L136+M248*M136+N248*N136+O248*O136+P248*P136+Q248*Q136+R248*R136+S248*S136+T248*T136+U248*U136+V248*V136+W248*W136+X248*X136+Y248*Y136+Z248*Z136+AA248*AA136+AB248*AB136+AC248*AC136+AD248*AD136+AE248*AE136+AF248*AF136+AG248*AG136+AH248*AH136+AI248*AI136+AJ248*AJ136+AK248*AK136+AL248*AL136+AM248*AM136+AN248*AN136+AO248*AO136+AP248*AP136+AQ248*AQ136+AR248*AR136+AS248*AS136+AT248*AT136+AU248*AU136+AV248*AV136+AW248*AW136+AX248*AX136+AY248*AY136+AZ248*AZ136+BA248*BA136+BB248*BB136+BC248*BC136+BD248*BD136+BE248*BE136+BF248*BF136+BG248*BG136+BH248*BH136+BI248*BI136+BJ248*BJ136+BK248*BK136+BL248*BL136+BM248*BM136+BN248*BN136+BO248*BO136+BP248*BP136+BQ248*BQ136+BR248*BR136+BS248*BS136+BT248*BT136+BU248*BU136+BV248*BV136+BW248*BW136+BX248*BX136+BY248*BY136+BZ248*BZ136+CA248*CA136+CB248*CB136+CC248*CC136+CD248*CD136+CE248*CE136+CF248*CF136+CG248*CG136+CH248*CH136+CI248*CI136+CJ248*CJ136+CK248*CK136+CL248*CL136+CM248*CM136+CN248*CN136</f>
        <v>8.8817841970012523E-16</v>
      </c>
      <c r="CR136" s="2650">
        <f>E249*E136+F249*F136+G249*G136+H249*H136+I249*I136+J249*J136+K249*K136+L249*L136+M249*M136+N249*N136+O249*O136+P249*P136+Q249*Q136+R249*R136+S249*S136+T249*T136+U249*U136+V249*V136+W249*W136+X249*X136+Y249*Y136+Z249*Z136+AA249*AA136+AB249*AB136+AC249*AC136+AD249*AD136+AE249*AE136+AF249*AF136+AG249*AG136+AH249*AH136+AI249*AI136+AJ249*AJ136+AK249*AK136+AL249*AL136+AM249*AM136+AN249*AN136+AO249*AO136+AP249*AP136+AQ249*AQ136+AR249*AR136+AS249*AS136+AT249*AT136+AU249*AU136+AV249*AV136+AW249*AW136+AX249*AX136+AY249*AY136+AZ249*AZ136+BA249*BA136+BB249*BB136+BC249*BC136+BD249*BD136+BE249*BE136+BF249*BF136+BG249*BG136+BH249*BH136+BI249*BI136+BJ249*BJ136+BK249*BK136+BL249*BL136+BM249*BM136+BN249*BN136+BO249*BO136+BP249*BP136+BQ249*BQ136+BR249*BR136+BS249*BS136+BT249*BT136+BU249*BU136+BV249*BV136+BW249*BW136+BX249*BX136+BY249*BY136+BZ249*BZ136+CA249*CA136+CB249*CB136+CC249*CC136+CD249*CD136+CE249*CE136+CF249*CF136+CG249*CG136+CH249*CH136+CI249*CI136+CJ249*CJ136+CK249*CK136+CL249*CL136+CM249*CM136+CN249*CN136</f>
        <v>-1.1102230246251565E-16</v>
      </c>
      <c r="CS136" s="2651">
        <f>E250*E136+F250*F136+G250*G136+H250*H136+I250*I136+J250*J136+K250*K136+L250*L136+M250*M136+N250*N136+O250*O136+P250*P136+Q250*Q136+R250*R136+S250*S136+T250*T136+U250*U136+V250*V136+W250*W136+X250*X136+Y250*Y136+Z250*Z136+AA250*AA136+AB250*AB136+AC250*AC136+AD250*AD136+AE250*AE136+AF250*AF136+AG250*AG136+AH250*AH136+AI250*AI136+AJ250*AJ136+AK250*AK136+AL250*AL136+AM250*AM136+AN250*AN136+AO250*AO136+AP250*AP136+AQ250*AQ136+AR250*AR136+AS250*AS136+AT250*AT136+AU250*AU136+AV250*AV136+AW250*AW136+AX250*AX136+AY250*AY136+AZ250*AZ136+BA250*BA136+BB250*BB136+BC250*BC136+BD250*BD136+BE250*BE136+BF250*BF136+BG250*BG136+BH250*BH136+BI250*BI136+BJ250*BJ136+BK250*BK136+BL250*BL136+BM250*BM136+BN250*BN136+BO250*BO136+BP250*BP136+BQ250*BQ136+BR250*BR136+BS250*BS136+BT250*BT136+BU250*BU136+BV250*BV136+BW250*BW136+BX250*BX136+BY250*BY136+BZ250*BZ136+CA250*CA136+CB250*CB136+CC250*CC136+CD250*CD136+CE250*CE136+CF250*CF136+CG250*CG136+CH250*CH136+CI250*CI136+CJ250*CJ136+CK250*CK136+CL250*CL136+CM250*CM136+CN250*CN136</f>
        <v>0</v>
      </c>
      <c r="CT136" s="2652">
        <f>E251*E136+F251*F136+G251*G136+H251*H136+I251*I136+J251*J136+K251*K136+L251*L136+M251*M136+N251*N136+O251*O136+P251*P136+Q251*Q136+R251*R136+S251*S136+T251*T136+U251*U136+V251*V136+W251*W136+X251*X136+Y251*Y136+Z251*Z136+AA251*AA136+AB251*AB136+AC251*AC136+AD251*AD136+AE251*AE136+AF251*AF136+AG251*AG136+AH251*AH136+AI251*AI136+AJ251*AJ136+AK251*AK136+AL251*AL136+AM251*AM136+AN251*AN136+AO251*AO136+AP251*AP136+AQ251*AQ136+AR251*AR136+AS251*AS136+AT251*AT136+AU251*AU136+AV251*AV136+AW251*AW136+AX251*AX136+AY251*AY136+AZ251*AZ136+BA251*BA136+BB251*BB136+BC251*BC136+BD251*BD136+BE251*BE136+BF251*BF136+BG251*BG136+BH251*BH136+BI251*BI136+BJ251*BJ136+BK251*BK136+BL251*BL136+BM251*BM136+BN251*BN136+BO251*BO136+BP251*BP136+BQ251*BQ136+BR251*BR136+BS251*BS136+BT251*BT136+BU251*BU136+BV251*BV136+BW251*BW136+BX251*BX136+BY251*BY136+BZ251*BZ136+CA251*CA136+CB251*CB136+CC251*CC136+CD251*CD136+CE251*CE136+CF251*CF136+CG251*CG136+CH251*CH136+CI251*CI136+CJ251*CJ136+CK251*CK136+CL251*CL136+CM251*CM136+CN251*CN136</f>
        <v>0</v>
      </c>
      <c r="CU136" s="2652">
        <f>E252*E136+F252*F136+G252*G136+H252*H136+I252*I136+J252*J136+K252*K136+L252*L136+M252*M136+N252*N136+O252*O136+P252*P136+Q252*Q136+R252*R136+S252*S136+T252*T136+U252*U136+V252*V136+W252*W136+X252*X136+Y252*Y136+Z252*Z136+AA252*AA136+AB252*AB136+AC252*AC136+AD252*AD136+AE252*AE136+AF252*AF136+AG252*AG136+AH252*AH136+AI252*AI136+AJ252*AJ136+AK252*AK136+AL252*AL136+AM252*AM136+AN252*AN136+AO252*AO136+AP252*AP136+AQ252*AQ136+AR252*AR136+AS252*AS136+AT252*AT136+AU252*AU136+AV252*AV136+AW252*AW136+AX252*AX136+AY252*AY136+AZ252*AZ136+BA252*BA136+BB252*BB136+BC252*BC136+BD252*BD136+BE252*BE136+BF252*BF136+BG252*BG136+BH252*BH136+BI252*BI136+BJ252*BJ136+BK252*BK136+BL252*BL136+BM252*BM136+BN252*BN136+BO252*BO136+BP252*BP136+BQ252*BQ136+BR252*BR136+BS252*BS136+BT252*BT136+BU252*BU136+BV252*BV136+BW252*BW136+BX252*BX136+BY252*BY136+BZ252*BZ136+CA252*CA136+CB252*CB136+CC252*CC136+CD252*CD136+CE252*CE136+CF252*CF136+CG252*CG136+CH252*CH136+CI252*CI136+CJ252*CJ136+CK252*CK136+CL252*CL136+CM252*CM136+CN252*CN136</f>
        <v>0</v>
      </c>
      <c r="CV136" s="2652">
        <f>E253*E136+F253*F136+G253*G136+H253*H136+I253*I136+J253*J136+K253*K136+L253*L136+M253*M136+N253*N136+O253*O136+P253*P136+Q253*Q136+R253*R136+S253*S136+T253*T136+U253*U136+V253*V136+W253*W136+X253*X136+Y253*Y136+Z253*Z136+AA253*AA136+AB253*AB136+AC253*AC136+AD253*AD136+AE253*AE136+AF253*AF136+AG253*AG136+AH253*AH136+AI253*AI136+AJ253*AJ136+AK253*AK136+AL253*AL136+AM253*AM136+AN253*AN136+AO253*AO136+AP253*AP136+AQ253*AQ136+AR253*AR136+AS253*AS136+AT253*AT136+AU253*AU136+AV253*AV136+AW253*AW136+AX253*AX136+AY253*AY136+AZ253*AZ136+BA253*BA136+BB253*BB136+BC253*BC136+BD253*BD136+BE253*BE136+BF253*BF136+BG253*BG136+BH253*BH136+BI253*BI136+BJ253*BJ136+BK253*BK136+BL253*BL136+BM253*BM136+BN253*BN136+BO253*BO136+BP253*BP136+BQ253*BQ136+BR253*BR136+BS253*BS136+BT253*BT136+BU253*BU136+BV253*BV136+BW253*BW136+BX253*BX136+BY253*BY136+BZ253*BZ136+CA253*CA136+CB253*CB136+CC253*CC136+CD253*CD136+CE253*CE136+CF253*CF136+CG253*CG136+CH253*CH136+CI253*CI136+CJ253*CJ136+CK253*CK136+CL253*CL136+CM253*CM136+CN253*CN136</f>
        <v>0</v>
      </c>
      <c r="CW136" s="2652">
        <f>E254*E136+F254*F136+G254*G136+H254*H136+I254*I136+J254*J136+K254*K136+L254*L136+M254*M136+N254*N136+O254*O136+P254*P136+Q254*Q136+R254*R136+S254*S136+T254*T136+U254*U136+V254*V136+W254*W136+X254*X136+Y254*Y136+Z254*Z136+AA254*AA136+AB254*AB136+AC254*AC136+AD254*AD136+AE254*AE136+AF254*AF136+AG254*AG136+AH254*AH136+AI254*AI136+AJ254*AJ136+AK254*AK136+AL254*AL136+AM254*AM136+AN254*AN136+AO254*AO136+AP254*AP136+AQ254*AQ136+AR254*AR136+AS254*AS136+AT254*AT136+AU254*AU136+AV254*AV136+AW254*AW136+AX254*AX136+AY254*AY136+AZ254*AZ136+BA254*BA136+BB254*BB136+BC254*BC136+BD254*BD136+BE254*BE136+BF254*BF136+BG254*BG136+BH254*BH136+BI254*BI136+BJ254*BJ136+BK254*BK136+BL254*BL136+BM254*BM136+BN254*BN136+BO254*BO136+BP254*BP136+BQ254*BQ136+BR254*BR136+BS254*BS136+BT254*BT136+BU254*BU136+BV254*BV136+BW254*BW136+BX254*BX136+BY254*BY136+BZ254*BZ136+CA254*CA136+CB254*CB136+CC254*CC136+CD254*CD136+CE254*CE136+CF254*CF136+CG254*CG136+CH254*CH136+CI254*CI136+CJ254*CJ136+CK254*CK136+CL254*CL136+CM254*CM136+CN254*CN136</f>
        <v>0</v>
      </c>
      <c r="CX136" s="2652">
        <f>E255*E136+F255*F136+G255*G136+H255*H136+I255*I136+J255*J136+K255*K136+L255*L136+M255*M136+N255*N136+O255*O136+P255*P136+Q255*Q136+R255*R136+S255*S136+T255*T136+U255*U136+V255*V136+W255*W136+X255*X136+Y255*Y136+Z255*Z136+AA255*AA136+AB255*AB136+AC255*AC136+AD255*AD136+AE255*AE136+AF255*AF136+AG255*AG136+AH255*AH136+AI255*AI136+AJ255*AJ136+AK255*AK136+AL255*AL136+AM255*AM136+AN255*AN136+AO255*AO136+AP255*AP136+AQ255*AQ136+AR255*AR136+AS255*AS136+AT255*AT136+AU255*AU136+AV255*AV136+AW255*AW136+AX255*AX136+AY255*AY136+AZ255*AZ136+BA255*BA136+BB255*BB136+BC255*BC136+BD255*BD136+BE255*BE136+BF255*BF136+BG255*BG136+BH255*BH136+BI255*BI136+BJ255*BJ136+BK255*BK136+BL255*BL136+BM255*BM136+BN255*BN136+BO255*BO136+BP255*BP136+BQ255*BQ136+BR255*BR136+BS255*BS136+BT255*BT136+BU255*BU136+BV255*BV136+BW255*BW136+BX255*BX136+BY255*BY136+BZ255*BZ136+CA255*CA136+CB255*CB136+CC255*CC136+CD255*CD136+CE255*CE136+CF255*CF136+CG255*CG136+CH255*CH136+CI255*CI136+CJ255*CJ136+CK255*CK136+CL255*CL136+CM255*CM136+CN255*CN136</f>
        <v>0</v>
      </c>
      <c r="CY136" s="2652">
        <f>E256*E136+F256*F136+G256*G136+H256*H136+I256*I136+J256*J136+K256*K136+L256*L136+M256*M136+N256*N136+O256*O136+P256*P136+Q256*Q136+R256*R136+S256*S136+T256*T136+U256*U136+V256*V136+W256*W136+X256*X136+Y256*Y136+Z256*Z136+AA256*AA136+AB256*AB136+AC256*AC136+AD256*AD136+AE256*AE136+AF256*AF136+AG256*AG136+AH256*AH136+AI256*AI136+AJ256*AJ136+AK256*AK136+AL256*AL136+AM256*AM136+AN256*AN136+AO256*AO136+AP256*AP136+AQ256*AQ136+AR256*AR136+AS256*AS136+AT256*AT136+AU256*AU136+AV256*AV136+AW256*AW136+AX256*AX136+AY256*AY136+AZ256*AZ136+BA256*BA136+BB256*BB136+BC256*BC136+BD256*BD136+BE256*BE136+BF256*BF136+BG256*BG136+BH256*BH136+BI256*BI136+BJ256*BJ136+BK256*BK136+BL256*BL136+BM256*BM136+BN256*BN136+BO256*BO136+BP256*BP136+BQ256*BQ136+BR256*BR136+BS256*BS136+BT256*BT136+BU256*BU136+BV256*BV136+BW256*BW136+BX256*BX136+BY256*BY136+BZ256*BZ136+CA256*CA136+CB256*CB136+CC256*CC136+CD256*CD136+CE256*CE136+CF256*CF136+CG256*CG136+CH256*CH136+CI256*CI136+CJ256*CJ136+CK256*CK136+CL256*CL136+CM256*CM136+CN256*CN136</f>
        <v>0</v>
      </c>
      <c r="CZ136" s="2652">
        <f>E257*E136+F257*F136+G257*G136+H257*H136+I257*I136+J257*J136+K257*K136+L257*L136+M257*M136+N257*N136+O257*O136+P257*P136+Q257*Q136+R257*R136+S257*S136+T257*T136+U257*U136+V257*V136+W257*W136+X257*X136+Y257*Y136+Z257*Z136+AA257*AA136+AB257*AB136+AC257*AC136+AD257*AD136+AE257*AE136+AF257*AF136+AG257*AG136+AH257*AH136+AI257*AI136+AJ257*AJ136+AK257*AK136+AL257*AL136+AM257*AM136+AN257*AN136+AO257*AO136+AP257*AP136+AQ257*AQ136+AR257*AR136+AS257*AS136+AT257*AT136+AU257*AU136+AV257*AV136+AW257*AW136+AX257*AX136+AY257*AY136+AZ257*AZ136+BA257*BA136+BB257*BB136+BC257*BC136+BD257*BD136+BE257*BE136+BF257*BF136+BG257*BG136+BH257*BH136+BI257*BI136+BJ257*BJ136+BK257*BK136+BL257*BL136+BM257*BM136+BN257*BN136+BO257*BO136+BP257*BP136+BQ257*BQ136+BR257*BR136+BS257*BS136+BT257*BT136+BU257*BU136+BV257*BV136+BW257*BW136+BX257*BX136+BY257*BY136+BZ257*BZ136+CA257*CA136+CB257*CB136+CC257*CC136+CD257*CD136+CE257*CE136+CF257*CF136+CG257*CG136+CH257*CH136+CI257*CI136+CJ257*CJ136+CK257*CK136+CL257*CL136+CM257*CM136+CN257*CN136</f>
        <v>0</v>
      </c>
      <c r="DA136" s="2652">
        <f>E258*E136+F258*F136+G258*G136+H258*H136+I258*I136+J258*J136+K258*K136+L258*L136+M258*M136+N258*N136+O258*O136+P258*P136+Q258*Q136+R258*R136+S258*S136+T258*T136+U258*U136+V258*V136+W258*W136+X258*X136+Y258*Y136+Z258*Z136+AA258*AA136+AB258*AB136+AC258*AC136+AD258*AD136+AE258*AE136+AF258*AF136+AG258*AG136+AH258*AH136+AI258*AI136+AJ258*AJ136+AK258*AK136+AL258*AL136+AM258*AM136+AN258*AN136+AO258*AO136+AP258*AP136+AQ258*AQ136+AR258*AR136+AS258*AS136+AT258*AT136+AU258*AU136+AV258*AV136+AW258*AW136+AX258*AX136+AY258*AY136+AZ258*AZ136+BA258*BA136+BB258*BB136+BC258*BC136+BD258*BD136+BE258*BE136+BF258*BF136+BG258*BG136+BH258*BH136+BI258*BI136+BJ258*BJ136+BK258*BK136+BL258*BL136+BM258*BM136+BN258*BN136+BO258*BO136+BP258*BP136+BQ258*BQ136+BR258*BR136+BS258*BS136+BT258*BT136+BU258*BU136+BV258*BV136+BW258*BW136+BX258*BX136+BY258*BY136+BZ258*BZ136+CA258*CA136+CB258*CB136+CC258*CC136+CD258*CD136+CE258*CE136+CF258*CF136+CG258*CG136+CH258*CH136+CI258*CI136+CJ258*CJ136+CK258*CK136+CL258*CL136+CM258*CM136+CN258*CN136</f>
        <v>0</v>
      </c>
    </row>
    <row r="137" spans="2:105" ht="18" x14ac:dyDescent="0.35">
      <c r="B137" s="784">
        <v>4</v>
      </c>
      <c r="C137" s="785" t="s">
        <v>226</v>
      </c>
      <c r="D137" s="786" t="s">
        <v>1663</v>
      </c>
      <c r="E137" s="2674">
        <f>0</f>
        <v>0</v>
      </c>
      <c r="F137" s="2674">
        <f>0</f>
        <v>0</v>
      </c>
      <c r="G137" s="2673">
        <f>-1/Y_OHO_SB_poly_ox</f>
        <v>-1.4925373134328357</v>
      </c>
      <c r="H137" s="2674">
        <f>0</f>
        <v>0</v>
      </c>
      <c r="I137" s="2674">
        <f>0</f>
        <v>0</v>
      </c>
      <c r="J137" s="2674">
        <f>0</f>
        <v>0</v>
      </c>
      <c r="K137" s="2674">
        <f>0</f>
        <v>0</v>
      </c>
      <c r="L137" s="2674">
        <f>0</f>
        <v>0</v>
      </c>
      <c r="M137" s="2674">
        <f>0</f>
        <v>0</v>
      </c>
      <c r="N137" s="2674">
        <f>0</f>
        <v>0</v>
      </c>
      <c r="O137" s="2674">
        <f>0</f>
        <v>0</v>
      </c>
      <c r="P137" s="2674">
        <f>0</f>
        <v>0</v>
      </c>
      <c r="Q137" s="2674">
        <f>0</f>
        <v>0</v>
      </c>
      <c r="R137" s="2674">
        <f>0</f>
        <v>0</v>
      </c>
      <c r="S137" s="2674">
        <f>0</f>
        <v>0</v>
      </c>
      <c r="T137" s="2674">
        <f>1</f>
        <v>1</v>
      </c>
      <c r="U137" s="2674">
        <f>0</f>
        <v>0</v>
      </c>
      <c r="V137" s="2674">
        <f>0</f>
        <v>0</v>
      </c>
      <c r="W137" s="2674">
        <f>0</f>
        <v>0</v>
      </c>
      <c r="X137" s="2674">
        <f>0</f>
        <v>0</v>
      </c>
      <c r="Y137" s="2674">
        <f>0</f>
        <v>0</v>
      </c>
      <c r="Z137" s="2674">
        <f>0</f>
        <v>0</v>
      </c>
      <c r="AA137" s="2674">
        <f>0</f>
        <v>0</v>
      </c>
      <c r="AB137" s="2674">
        <f>0</f>
        <v>0</v>
      </c>
      <c r="AC137" s="2738">
        <f>0</f>
        <v>0</v>
      </c>
      <c r="AD137" s="2673">
        <f>-i_N_BIO</f>
        <v>-7.0000000000000007E-2</v>
      </c>
      <c r="AE137" s="2673">
        <f>0</f>
        <v>0</v>
      </c>
      <c r="AF137" s="2673">
        <f>0</f>
        <v>0</v>
      </c>
      <c r="AG137" s="2674">
        <f>0</f>
        <v>0</v>
      </c>
      <c r="AH137" s="2674">
        <f>0</f>
        <v>0</v>
      </c>
      <c r="AI137" s="2674">
        <f>0</f>
        <v>0</v>
      </c>
      <c r="AJ137" s="2674">
        <f>0</f>
        <v>0</v>
      </c>
      <c r="AK137" s="2674">
        <f>0</f>
        <v>0</v>
      </c>
      <c r="AL137" s="2673">
        <f>-i_P_BIO</f>
        <v>-0.02</v>
      </c>
      <c r="AM137" s="2674">
        <f>0</f>
        <v>0</v>
      </c>
      <c r="AN137" s="2674">
        <f>0</f>
        <v>0</v>
      </c>
      <c r="AO137" s="2674">
        <f>0</f>
        <v>0</v>
      </c>
      <c r="AP137" s="2674">
        <f>0</f>
        <v>0</v>
      </c>
      <c r="AQ137" s="2674">
        <f>0</f>
        <v>0</v>
      </c>
      <c r="AR137" s="2673">
        <f>-(1-Y_OHO_SB_poly_ox)/Y_OHO_SB_poly_ox</f>
        <v>-0.49253731343283574</v>
      </c>
      <c r="AS137" s="2673">
        <f>0</f>
        <v>0</v>
      </c>
      <c r="AT137" s="2673">
        <f>0</f>
        <v>0</v>
      </c>
      <c r="AU137" s="2673">
        <f>i_CIT_SB_poly/Y_OHO_SB_poly_ox-i_CIT_BIO</f>
        <v>7.4865671641791032E-2</v>
      </c>
      <c r="AV137" s="2673">
        <f>i_INORG</f>
        <v>0.11</v>
      </c>
      <c r="AW137" s="2673">
        <f>-i_INORG*(1-i_Ca_INORG*(A_MCa+2*A_MCl)/A_MCa-i_Mg_INORG*(A_MMg+2*A_MCl)/A_MMg)*f_Na</f>
        <v>-2.8804303582798466E-2</v>
      </c>
      <c r="AX137" s="2673">
        <f>-i_INORG*(i_Ca_INORG*(2*A_MCl)/A_MCa+i_Mg_INORG*(2*A_MCl)/A_MMg)-i_INORG*(1-i_Ca_INORG*(A_MCa+2*A_MCl)/A_MCa-i_Mg_INORG*(A_MMg+2*A_MCl)/A_MMg)*(1-f_Na)</f>
        <v>-7.0195696417201539E-2</v>
      </c>
      <c r="AY137" s="2673">
        <f>-i_INORG*i_Ca_INORG</f>
        <v>-5.5000000000000005E-3</v>
      </c>
      <c r="AZ137" s="2673">
        <f>-i_INORG*i_Mg_INORG</f>
        <v>-5.5000000000000005E-3</v>
      </c>
      <c r="BA137" s="2673">
        <f>0</f>
        <v>0</v>
      </c>
      <c r="BB137" s="2673">
        <f>0</f>
        <v>0</v>
      </c>
      <c r="BC137" s="2673">
        <f>0</f>
        <v>0</v>
      </c>
      <c r="BD137" s="2673">
        <f>0</f>
        <v>0</v>
      </c>
      <c r="BE137" s="2673">
        <f>0</f>
        <v>0</v>
      </c>
      <c r="BF137" s="2673">
        <f>0</f>
        <v>0</v>
      </c>
      <c r="BG137" s="2673">
        <f>0</f>
        <v>0</v>
      </c>
      <c r="BH137" s="2673">
        <f>0</f>
        <v>0</v>
      </c>
      <c r="BI137" s="2673">
        <f>0</f>
        <v>0</v>
      </c>
      <c r="BJ137" s="2763">
        <f>0</f>
        <v>0</v>
      </c>
      <c r="BK137" s="2763">
        <f>0</f>
        <v>0</v>
      </c>
      <c r="BL137" s="2763">
        <f>0</f>
        <v>0</v>
      </c>
      <c r="BM137" s="2763">
        <f>0</f>
        <v>0</v>
      </c>
      <c r="BN137" s="2763">
        <f>0</f>
        <v>0</v>
      </c>
      <c r="BO137" s="2763">
        <f>0</f>
        <v>0</v>
      </c>
      <c r="BP137" s="2763">
        <f>0</f>
        <v>0</v>
      </c>
      <c r="BQ137" s="2673">
        <f>0</f>
        <v>0</v>
      </c>
      <c r="BR137" s="2673">
        <f>0</f>
        <v>0</v>
      </c>
      <c r="BS137" s="2763">
        <f>0</f>
        <v>0</v>
      </c>
      <c r="BT137" s="2673">
        <f>0</f>
        <v>0</v>
      </c>
      <c r="BU137" s="2673">
        <f>0</f>
        <v>0</v>
      </c>
      <c r="BV137" s="2786">
        <f>0</f>
        <v>0</v>
      </c>
      <c r="BW137" s="2786">
        <f>0</f>
        <v>0</v>
      </c>
      <c r="BX137" s="2786">
        <f>0</f>
        <v>0</v>
      </c>
      <c r="BY137" s="2786">
        <f>0</f>
        <v>0</v>
      </c>
      <c r="BZ137" s="2673">
        <f>0</f>
        <v>0</v>
      </c>
      <c r="CA137" s="2673">
        <f>0</f>
        <v>0</v>
      </c>
      <c r="CB137" s="2796">
        <f>0</f>
        <v>0</v>
      </c>
      <c r="CC137" s="2673">
        <f>0</f>
        <v>0</v>
      </c>
      <c r="CD137" s="2673">
        <f>0</f>
        <v>0</v>
      </c>
      <c r="CE137" s="2673">
        <f>0</f>
        <v>0</v>
      </c>
      <c r="CF137" s="2673">
        <f>0</f>
        <v>0</v>
      </c>
      <c r="CG137" s="2673">
        <f>0</f>
        <v>0</v>
      </c>
      <c r="CH137" s="2673">
        <f>0</f>
        <v>0</v>
      </c>
      <c r="CI137" s="2673">
        <f>0</f>
        <v>0</v>
      </c>
      <c r="CJ137" s="2673">
        <f>0</f>
        <v>0</v>
      </c>
      <c r="CK137" s="2673">
        <f>0</f>
        <v>0</v>
      </c>
      <c r="CL137" s="2673">
        <f>0</f>
        <v>0</v>
      </c>
      <c r="CM137" s="2673">
        <f>0</f>
        <v>0</v>
      </c>
      <c r="CN137" s="2673">
        <f>0</f>
        <v>0</v>
      </c>
      <c r="CO137" s="2825">
        <f>µ_OHO_T*X_OHO*M_satSB_KSB_poly*M_inhSVFA_KVFA*M_satSO2_KO2_OHO*M_satSNHx_KNHx_BIO*M_satSPO4_KPO4_BIO*M_satSCAT_KCAT*M_satSAN_KAN*M_satSCa_KCa*M_satSMg_KMg*B_ellinhpH</f>
        <v>150.10642323421388</v>
      </c>
      <c r="CQ137" s="2650">
        <f>E248*E137+F248*F137+G248*G137+H248*H137+I248*I137+J248*J137+K248*K137+L248*L137+M248*M137+N248*N137+O248*O137+P248*P137+Q248*Q137+R248*R137+S248*S137+T248*T137+U248*U137+V248*V137+W248*W137+X248*X137+Y248*Y137+Z248*Z137+AA248*AA137+AB248*AB137+AC248*AC137+AD248*AD137+AE248*AE137+AF248*AF137+AG248*AG137+AH248*AH137+AI248*AI137+AJ248*AJ137+AK248*AK137+AL248*AL137+AM248*AM137+AN248*AN137+AO248*AO137+AP248*AP137+AQ248*AQ137+AR248*AR137+AS248*AS137+AT248*AT137+AU248*AU137+AV248*AV137+AW248*AW137+AX248*AX137+AY248*AY137+AZ248*AZ137+BA248*BA137+BB248*BB137+BC248*BC137+BD248*BD137+BE248*BE137+BF248*BF137+BG248*BG137+BH248*BH137+BI248*BI137+BJ248*BJ137+BK248*BK137+BL248*BL137+BM248*BM137+BN248*BN137+BO248*BO137+BP248*BP137+BQ248*BQ137+BR248*BR137+BS248*BS137+BT248*BT137+BU248*BU137+BV248*BV137+BW248*BW137+BX248*BX137+BY248*BY137+BZ248*BZ137+CA248*CA137+CB248*CB137+CC248*CC137+CD248*CD137+CE248*CE137+CF248*CF137+CG248*CG137+CH248*CH137+CI248*CI137+CJ248*CJ137+CK248*CK137+CL248*CL137+CM248*CM137+CN248*CN137</f>
        <v>5.5511151231257827E-17</v>
      </c>
      <c r="CR137" s="2650">
        <f>E249*E137+F249*F137+G249*G137+H249*H137+I249*I137+J249*J137+K249*K137+L249*L137+M249*M137+N249*N137+O249*O137+P249*P137+Q249*Q137+R249*R137+S249*S137+T249*T137+U249*U137+V249*V137+W249*W137+X249*X137+Y249*Y137+Z249*Z137+AA249*AA137+AB249*AB137+AC249*AC137+AD249*AD137+AE249*AE137+AF249*AF137+AG249*AG137+AH249*AH137+AI249*AI137+AJ249*AJ137+AK249*AK137+AL249*AL137+AM249*AM137+AN249*AN137+AO249*AO137+AP249*AP137+AQ249*AQ137+AR249*AR137+AS249*AS137+AT249*AT137+AU249*AU137+AV249*AV137+AW249*AW137+AX249*AX137+AY249*AY137+AZ249*AZ137+BA249*BA137+BB249*BB137+BC249*BC137+BD249*BD137+BE249*BE137+BF249*BF137+BG249*BG137+BH249*BH137+BI249*BI137+BJ249*BJ137+BK249*BK137+BL249*BL137+BM249*BM137+BN249*BN137+BO249*BO137+BP249*BP137+BQ249*BQ137+BR249*BR137+BS249*BS137+BT249*BT137+BU249*BU137+BV249*BV137+BW249*BW137+BX249*BX137+BY249*BY137+BZ249*BZ137+CA249*CA137+CB249*CB137+CC249*CC137+CD249*CD137+CE249*CE137+CF249*CF137+CG249*CG137+CH249*CH137+CI249*CI137+CJ249*CJ137+CK249*CK137+CL249*CL137+CM249*CM137+CN249*CN137</f>
        <v>5.5511151231257827E-17</v>
      </c>
      <c r="CS137" s="2651">
        <f>E250*E137+F250*F137+G250*G137+H250*H137+I250*I137+J250*J137+K250*K137+L250*L137+M250*M137+N250*N137+O250*O137+P250*P137+Q250*Q137+R250*R137+S250*S137+T250*T137+U250*U137+V250*V137+W250*W137+X250*X137+Y250*Y137+Z250*Z137+AA250*AA137+AB250*AB137+AC250*AC137+AD250*AD137+AE250*AE137+AF250*AF137+AG250*AG137+AH250*AH137+AI250*AI137+AJ250*AJ137+AK250*AK137+AL250*AL137+AM250*AM137+AN250*AN137+AO250*AO137+AP250*AP137+AQ250*AQ137+AR250*AR137+AS250*AS137+AT250*AT137+AU250*AU137+AV250*AV137+AW250*AW137+AX250*AX137+AY250*AY137+AZ250*AZ137+BA250*BA137+BB250*BB137+BC250*BC137+BD250*BD137+BE250*BE137+BF250*BF137+BG250*BG137+BH250*BH137+BI250*BI137+BJ250*BJ137+BK250*BK137+BL250*BL137+BM250*BM137+BN250*BN137+BO250*BO137+BP250*BP137+BQ250*BQ137+BR250*BR137+BS250*BS137+BT250*BT137+BU250*BU137+BV250*BV137+BW250*BW137+BX250*BX137+BY250*BY137+BZ250*BZ137+CA250*CA137+CB250*CB137+CC250*CC137+CD250*CD137+CE250*CE137+CF250*CF137+CG250*CG137+CH250*CH137+CI250*CI137+CJ250*CJ137+CK250*CK137+CL250*CL137+CM250*CM137+CN250*CN137</f>
        <v>0</v>
      </c>
      <c r="CT137" s="2652">
        <f>E251*E137+F251*F137+G251*G137+H251*H137+I251*I137+J251*J137+K251*K137+L251*L137+M251*M137+N251*N137+O251*O137+P251*P137+Q251*Q137+R251*R137+S251*S137+T251*T137+U251*U137+V251*V137+W251*W137+X251*X137+Y251*Y137+Z251*Z137+AA251*AA137+AB251*AB137+AC251*AC137+AD251*AD137+AE251*AE137+AF251*AF137+AG251*AG137+AH251*AH137+AI251*AI137+AJ251*AJ137+AK251*AK137+AL251*AL137+AM251*AM137+AN251*AN137+AO251*AO137+AP251*AP137+AQ251*AQ137+AR251*AR137+AS251*AS137+AT251*AT137+AU251*AU137+AV251*AV137+AW251*AW137+AX251*AX137+AY251*AY137+AZ251*AZ137+BA251*BA137+BB251*BB137+BC251*BC137+BD251*BD137+BE251*BE137+BF251*BF137+BG251*BG137+BH251*BH137+BI251*BI137+BJ251*BJ137+BK251*BK137+BL251*BL137+BM251*BM137+BN251*BN137+BO251*BO137+BP251*BP137+BQ251*BQ137+BR251*BR137+BS251*BS137+BT251*BT137+BU251*BU137+BV251*BV137+BW251*BW137+BX251*BX137+BY251*BY137+BZ251*BZ137+CA251*CA137+CB251*CB137+CC251*CC137+CD251*CD137+CE251*CE137+CF251*CF137+CG251*CG137+CH251*CH137+CI251*CI137+CJ251*CJ137+CK251*CK137+CL251*CL137+CM251*CM137+CN251*CN137</f>
        <v>0</v>
      </c>
      <c r="CU137" s="2652">
        <f>E252*E137+F252*F137+G252*G137+H252*H137+I252*I137+J252*J137+K252*K137+L252*L137+M252*M137+N252*N137+O252*O137+P252*P137+Q252*Q137+R252*R137+S252*S137+T252*T137+U252*U137+V252*V137+W252*W137+X252*X137+Y252*Y137+Z252*Z137+AA252*AA137+AB252*AB137+AC252*AC137+AD252*AD137+AE252*AE137+AF252*AF137+AG252*AG137+AH252*AH137+AI252*AI137+AJ252*AJ137+AK252*AK137+AL252*AL137+AM252*AM137+AN252*AN137+AO252*AO137+AP252*AP137+AQ252*AQ137+AR252*AR137+AS252*AS137+AT252*AT137+AU252*AU137+AV252*AV137+AW252*AW137+AX252*AX137+AY252*AY137+AZ252*AZ137+BA252*BA137+BB252*BB137+BC252*BC137+BD252*BD137+BE252*BE137+BF252*BF137+BG252*BG137+BH252*BH137+BI252*BI137+BJ252*BJ137+BK252*BK137+BL252*BL137+BM252*BM137+BN252*BN137+BO252*BO137+BP252*BP137+BQ252*BQ137+BR252*BR137+BS252*BS137+BT252*BT137+BU252*BU137+BV252*BV137+BW252*BW137+BX252*BX137+BY252*BY137+BZ252*BZ137+CA252*CA137+CB252*CB137+CC252*CC137+CD252*CD137+CE252*CE137+CF252*CF137+CG252*CG137+CH252*CH137+CI252*CI137+CJ252*CJ137+CK252*CK137+CL252*CL137+CM252*CM137+CN252*CN137</f>
        <v>0</v>
      </c>
      <c r="CV137" s="2652">
        <f>E253*E137+F253*F137+G253*G137+H253*H137+I253*I137+J253*J137+K253*K137+L253*L137+M253*M137+N253*N137+O253*O137+P253*P137+Q253*Q137+R253*R137+S253*S137+T253*T137+U253*U137+V253*V137+W253*W137+X253*X137+Y253*Y137+Z253*Z137+AA253*AA137+AB253*AB137+AC253*AC137+AD253*AD137+AE253*AE137+AF253*AF137+AG253*AG137+AH253*AH137+AI253*AI137+AJ253*AJ137+AK253*AK137+AL253*AL137+AM253*AM137+AN253*AN137+AO253*AO137+AP253*AP137+AQ253*AQ137+AR253*AR137+AS253*AS137+AT253*AT137+AU253*AU137+AV253*AV137+AW253*AW137+AX253*AX137+AY253*AY137+AZ253*AZ137+BA253*BA137+BB253*BB137+BC253*BC137+BD253*BD137+BE253*BE137+BF253*BF137+BG253*BG137+BH253*BH137+BI253*BI137+BJ253*BJ137+BK253*BK137+BL253*BL137+BM253*BM137+BN253*BN137+BO253*BO137+BP253*BP137+BQ253*BQ137+BR253*BR137+BS253*BS137+BT253*BT137+BU253*BU137+BV253*BV137+BW253*BW137+BX253*BX137+BY253*BY137+BZ253*BZ137+CA253*CA137+CB253*CB137+CC253*CC137+CD253*CD137+CE253*CE137+CF253*CF137+CG253*CG137+CH253*CH137+CI253*CI137+CJ253*CJ137+CK253*CK137+CL253*CL137+CM253*CM137+CN253*CN137</f>
        <v>0</v>
      </c>
      <c r="CW137" s="2652">
        <f>E254*E137+F254*F137+G254*G137+H254*H137+I254*I137+J254*J137+K254*K137+L254*L137+M254*M137+N254*N137+O254*O137+P254*P137+Q254*Q137+R254*R137+S254*S137+T254*T137+U254*U137+V254*V137+W254*W137+X254*X137+Y254*Y137+Z254*Z137+AA254*AA137+AB254*AB137+AC254*AC137+AD254*AD137+AE254*AE137+AF254*AF137+AG254*AG137+AH254*AH137+AI254*AI137+AJ254*AJ137+AK254*AK137+AL254*AL137+AM254*AM137+AN254*AN137+AO254*AO137+AP254*AP137+AQ254*AQ137+AR254*AR137+AS254*AS137+AT254*AT137+AU254*AU137+AV254*AV137+AW254*AW137+AX254*AX137+AY254*AY137+AZ254*AZ137+BA254*BA137+BB254*BB137+BC254*BC137+BD254*BD137+BE254*BE137+BF254*BF137+BG254*BG137+BH254*BH137+BI254*BI137+BJ254*BJ137+BK254*BK137+BL254*BL137+BM254*BM137+BN254*BN137+BO254*BO137+BP254*BP137+BQ254*BQ137+BR254*BR137+BS254*BS137+BT254*BT137+BU254*BU137+BV254*BV137+BW254*BW137+BX254*BX137+BY254*BY137+BZ254*BZ137+CA254*CA137+CB254*CB137+CC254*CC137+CD254*CD137+CE254*CE137+CF254*CF137+CG254*CG137+CH254*CH137+CI254*CI137+CJ254*CJ137+CK254*CK137+CL254*CL137+CM254*CM137+CN254*CN137</f>
        <v>0</v>
      </c>
      <c r="CX137" s="2652">
        <f>E255*E137+F255*F137+G255*G137+H255*H137+I255*I137+J255*J137+K255*K137+L255*L137+M255*M137+N255*N137+O255*O137+P255*P137+Q255*Q137+R255*R137+S255*S137+T255*T137+U255*U137+V255*V137+W255*W137+X255*X137+Y255*Y137+Z255*Z137+AA255*AA137+AB255*AB137+AC255*AC137+AD255*AD137+AE255*AE137+AF255*AF137+AG255*AG137+AH255*AH137+AI255*AI137+AJ255*AJ137+AK255*AK137+AL255*AL137+AM255*AM137+AN255*AN137+AO255*AO137+AP255*AP137+AQ255*AQ137+AR255*AR137+AS255*AS137+AT255*AT137+AU255*AU137+AV255*AV137+AW255*AW137+AX255*AX137+AY255*AY137+AZ255*AZ137+BA255*BA137+BB255*BB137+BC255*BC137+BD255*BD137+BE255*BE137+BF255*BF137+BG255*BG137+BH255*BH137+BI255*BI137+BJ255*BJ137+BK255*BK137+BL255*BL137+BM255*BM137+BN255*BN137+BO255*BO137+BP255*BP137+BQ255*BQ137+BR255*BR137+BS255*BS137+BT255*BT137+BU255*BU137+BV255*BV137+BW255*BW137+BX255*BX137+BY255*BY137+BZ255*BZ137+CA255*CA137+CB255*CB137+CC255*CC137+CD255*CD137+CE255*CE137+CF255*CF137+CG255*CG137+CH255*CH137+CI255*CI137+CJ255*CJ137+CK255*CK137+CL255*CL137+CM255*CM137+CN255*CN137</f>
        <v>0</v>
      </c>
      <c r="CY137" s="2652">
        <f>E256*E137+F256*F137+G256*G137+H256*H137+I256*I137+J256*J137+K256*K137+L256*L137+M256*M137+N256*N137+O256*O137+P256*P137+Q256*Q137+R256*R137+S256*S137+T256*T137+U256*U137+V256*V137+W256*W137+X256*X137+Y256*Y137+Z256*Z137+AA256*AA137+AB256*AB137+AC256*AC137+AD256*AD137+AE256*AE137+AF256*AF137+AG256*AG137+AH256*AH137+AI256*AI137+AJ256*AJ137+AK256*AK137+AL256*AL137+AM256*AM137+AN256*AN137+AO256*AO137+AP256*AP137+AQ256*AQ137+AR256*AR137+AS256*AS137+AT256*AT137+AU256*AU137+AV256*AV137+AW256*AW137+AX256*AX137+AY256*AY137+AZ256*AZ137+BA256*BA137+BB256*BB137+BC256*BC137+BD256*BD137+BE256*BE137+BF256*BF137+BG256*BG137+BH256*BH137+BI256*BI137+BJ256*BJ137+BK256*BK137+BL256*BL137+BM256*BM137+BN256*BN137+BO256*BO137+BP256*BP137+BQ256*BQ137+BR256*BR137+BS256*BS137+BT256*BT137+BU256*BU137+BV256*BV137+BW256*BW137+BX256*BX137+BY256*BY137+BZ256*BZ137+CA256*CA137+CB256*CB137+CC256*CC137+CD256*CD137+CE256*CE137+CF256*CF137+CG256*CG137+CH256*CH137+CI256*CI137+CJ256*CJ137+CK256*CK137+CL256*CL137+CM256*CM137+CN256*CN137</f>
        <v>0</v>
      </c>
      <c r="CZ137" s="2652">
        <f>E257*E137+F257*F137+G257*G137+H257*H137+I257*I137+J257*J137+K257*K137+L257*L137+M257*M137+N257*N137+O257*O137+P257*P137+Q257*Q137+R257*R137+S257*S137+T257*T137+U257*U137+V257*V137+W257*W137+X257*X137+Y257*Y137+Z257*Z137+AA257*AA137+AB257*AB137+AC257*AC137+AD257*AD137+AE257*AE137+AF257*AF137+AG257*AG137+AH257*AH137+AI257*AI137+AJ257*AJ137+AK257*AK137+AL257*AL137+AM257*AM137+AN257*AN137+AO257*AO137+AP257*AP137+AQ257*AQ137+AR257*AR137+AS257*AS137+AT257*AT137+AU257*AU137+AV257*AV137+AW257*AW137+AX257*AX137+AY257*AY137+AZ257*AZ137+BA257*BA137+BB257*BB137+BC257*BC137+BD257*BD137+BE257*BE137+BF257*BF137+BG257*BG137+BH257*BH137+BI257*BI137+BJ257*BJ137+BK257*BK137+BL257*BL137+BM257*BM137+BN257*BN137+BO257*BO137+BP257*BP137+BQ257*BQ137+BR257*BR137+BS257*BS137+BT257*BT137+BU257*BU137+BV257*BV137+BW257*BW137+BX257*BX137+BY257*BY137+BZ257*BZ137+CA257*CA137+CB257*CB137+CC257*CC137+CD257*CD137+CE257*CE137+CF257*CF137+CG257*CG137+CH257*CH137+CI257*CI137+CJ257*CJ137+CK257*CK137+CL257*CL137+CM257*CM137+CN257*CN137</f>
        <v>0</v>
      </c>
      <c r="DA137" s="2652">
        <f>E258*E137+F258*F137+G258*G137+H258*H137+I258*I137+J258*J137+K258*K137+L258*L137+M258*M137+N258*N137+O258*O137+P258*P137+Q258*Q137+R258*R137+S258*S137+T258*T137+U258*U137+V258*V137+W258*W137+X258*X137+Y258*Y137+Z258*Z137+AA258*AA137+AB258*AB137+AC258*AC137+AD258*AD137+AE258*AE137+AF258*AF137+AG258*AG137+AH258*AH137+AI258*AI137+AJ258*AJ137+AK258*AK137+AL258*AL137+AM258*AM137+AN258*AN137+AO258*AO137+AP258*AP137+AQ258*AQ137+AR258*AR137+AS258*AS137+AT258*AT137+AU258*AU137+AV258*AV137+AW258*AW137+AX258*AX137+AY258*AY137+AZ258*AZ137+BA258*BA137+BB258*BB137+BC258*BC137+BD258*BD137+BE258*BE137+BF258*BF137+BG258*BG137+BH258*BH137+BI258*BI137+BJ258*BJ137+BK258*BK137+BL258*BL137+BM258*BM137+BN258*BN137+BO258*BO137+BP258*BP137+BQ258*BQ137+BR258*BR137+BS258*BS137+BT258*BT137+BU258*BU137+BV258*BV137+BW258*BW137+BX258*BX137+BY258*BY137+BZ258*BZ137+CA258*CA137+CB258*CB137+CC258*CC137+CD258*CD137+CE258*CE137+CF258*CF137+CG258*CG137+CH258*CH137+CI258*CI137+CJ258*CJ137+CK258*CK137+CL258*CL137+CM258*CM137+CN258*CN137</f>
        <v>0</v>
      </c>
    </row>
    <row r="138" spans="2:105" ht="18" x14ac:dyDescent="0.35">
      <c r="B138" s="784">
        <v>5</v>
      </c>
      <c r="C138" s="785" t="s">
        <v>227</v>
      </c>
      <c r="D138" s="786" t="s">
        <v>2201</v>
      </c>
      <c r="E138" s="2674">
        <f>0</f>
        <v>0</v>
      </c>
      <c r="F138" s="2674">
        <f>0</f>
        <v>0</v>
      </c>
      <c r="G138" s="2673">
        <f>-1/Y_OHO_SB_poly_anox</f>
        <v>-1.8518518518518516</v>
      </c>
      <c r="H138" s="2674">
        <f>0</f>
        <v>0</v>
      </c>
      <c r="I138" s="2674">
        <f>0</f>
        <v>0</v>
      </c>
      <c r="J138" s="2674">
        <f>0</f>
        <v>0</v>
      </c>
      <c r="K138" s="2674">
        <f>0</f>
        <v>0</v>
      </c>
      <c r="L138" s="2674">
        <f>0</f>
        <v>0</v>
      </c>
      <c r="M138" s="2674">
        <f>0</f>
        <v>0</v>
      </c>
      <c r="N138" s="2674">
        <f>0</f>
        <v>0</v>
      </c>
      <c r="O138" s="2674">
        <f>0</f>
        <v>0</v>
      </c>
      <c r="P138" s="2674">
        <f>0</f>
        <v>0</v>
      </c>
      <c r="Q138" s="2674">
        <f>0</f>
        <v>0</v>
      </c>
      <c r="R138" s="2674">
        <f>0</f>
        <v>0</v>
      </c>
      <c r="S138" s="2674">
        <f>0</f>
        <v>0</v>
      </c>
      <c r="T138" s="2674">
        <f>1</f>
        <v>1</v>
      </c>
      <c r="U138" s="2674">
        <f>0</f>
        <v>0</v>
      </c>
      <c r="V138" s="2674">
        <f>0</f>
        <v>0</v>
      </c>
      <c r="W138" s="2674">
        <f>0</f>
        <v>0</v>
      </c>
      <c r="X138" s="2674">
        <f>0</f>
        <v>0</v>
      </c>
      <c r="Y138" s="2674">
        <f>0</f>
        <v>0</v>
      </c>
      <c r="Z138" s="2674">
        <f>0</f>
        <v>0</v>
      </c>
      <c r="AA138" s="2674">
        <f>0</f>
        <v>0</v>
      </c>
      <c r="AB138" s="2674">
        <f>0</f>
        <v>0</v>
      </c>
      <c r="AC138" s="2707">
        <f>0</f>
        <v>0</v>
      </c>
      <c r="AD138" s="2705">
        <f>-i_N_BIO</f>
        <v>-7.0000000000000007E-2</v>
      </c>
      <c r="AE138" s="2673">
        <f>-(1-Y_OHO_SB_poly_anox)/(E_EQN2_NO2*Y_OHO_SB_poly_anox)</f>
        <v>-0.49717003276511756</v>
      </c>
      <c r="AF138" s="2673">
        <f>0</f>
        <v>0</v>
      </c>
      <c r="AG138" s="2673">
        <f>(1-Y_OHO_SB_poly_anox)/(E_EQN2_NO2*Y_OHO_SB_poly_anox)</f>
        <v>0.49717003276511756</v>
      </c>
      <c r="AH138" s="2674">
        <f>0</f>
        <v>0</v>
      </c>
      <c r="AI138" s="2674">
        <f>0</f>
        <v>0</v>
      </c>
      <c r="AJ138" s="2674">
        <f>0</f>
        <v>0</v>
      </c>
      <c r="AK138" s="2674">
        <f>0</f>
        <v>0</v>
      </c>
      <c r="AL138" s="2673">
        <f>-i_P_BIO</f>
        <v>-0.02</v>
      </c>
      <c r="AM138" s="2674">
        <f>0</f>
        <v>0</v>
      </c>
      <c r="AN138" s="2674">
        <f>0</f>
        <v>0</v>
      </c>
      <c r="AO138" s="2674">
        <f>0</f>
        <v>0</v>
      </c>
      <c r="AP138" s="2674">
        <f>0</f>
        <v>0</v>
      </c>
      <c r="AQ138" s="2674">
        <f>0</f>
        <v>0</v>
      </c>
      <c r="AR138" s="2673">
        <f>0</f>
        <v>0</v>
      </c>
      <c r="AS138" s="2673">
        <f>0</f>
        <v>0</v>
      </c>
      <c r="AT138" s="2673">
        <f>0</f>
        <v>0</v>
      </c>
      <c r="AU138" s="2673">
        <f>i_CIT_SB_poly/Y_OHO_SB_poly_anox-i_CIT_BIO</f>
        <v>0.17762962962962958</v>
      </c>
      <c r="AV138" s="2754">
        <f>i_INORG</f>
        <v>0.11</v>
      </c>
      <c r="AW138" s="2673">
        <f>-i_INORG*(1-i_Ca_INORG*(A_MCa+2*A_MCl)/A_MCa-i_Mg_INORG*(A_MMg+2*A_MCl)/A_MMg)*f_Na</f>
        <v>-2.8804303582798466E-2</v>
      </c>
      <c r="AX138" s="2673">
        <f>-i_INORG*(i_Ca_INORG*(2*A_MCl)/A_MCa+i_Mg_INORG*(2*A_MCl)/A_MMg)-i_INORG*(1-i_Ca_INORG*(A_MCa+2*A_MCl)/A_MCa-i_Mg_INORG*(A_MMg+2*A_MCl)/A_MMg)*(1-f_Na)</f>
        <v>-7.0195696417201539E-2</v>
      </c>
      <c r="AY138" s="2673">
        <f>-i_INORG*i_Ca_INORG</f>
        <v>-5.5000000000000005E-3</v>
      </c>
      <c r="AZ138" s="2673">
        <f>-i_INORG*i_Mg_INORG</f>
        <v>-5.5000000000000005E-3</v>
      </c>
      <c r="BA138" s="2673">
        <f>0</f>
        <v>0</v>
      </c>
      <c r="BB138" s="2673">
        <f>0</f>
        <v>0</v>
      </c>
      <c r="BC138" s="2673">
        <f>0</f>
        <v>0</v>
      </c>
      <c r="BD138" s="2673">
        <f>0</f>
        <v>0</v>
      </c>
      <c r="BE138" s="2673">
        <f>0</f>
        <v>0</v>
      </c>
      <c r="BF138" s="2673">
        <f>0</f>
        <v>0</v>
      </c>
      <c r="BG138" s="2673">
        <f>0</f>
        <v>0</v>
      </c>
      <c r="BH138" s="2673">
        <f>0</f>
        <v>0</v>
      </c>
      <c r="BI138" s="2673">
        <f>0</f>
        <v>0</v>
      </c>
      <c r="BJ138" s="2763">
        <f>0</f>
        <v>0</v>
      </c>
      <c r="BK138" s="2763">
        <f>0</f>
        <v>0</v>
      </c>
      <c r="BL138" s="2763">
        <f>0</f>
        <v>0</v>
      </c>
      <c r="BM138" s="2763">
        <f>0</f>
        <v>0</v>
      </c>
      <c r="BN138" s="2763">
        <f>0</f>
        <v>0</v>
      </c>
      <c r="BO138" s="2763">
        <f>0</f>
        <v>0</v>
      </c>
      <c r="BP138" s="2763">
        <f>0</f>
        <v>0</v>
      </c>
      <c r="BQ138" s="2673">
        <f>0</f>
        <v>0</v>
      </c>
      <c r="BR138" s="2673">
        <f>0</f>
        <v>0</v>
      </c>
      <c r="BS138" s="2763">
        <f>0</f>
        <v>0</v>
      </c>
      <c r="BT138" s="2673">
        <f>0</f>
        <v>0</v>
      </c>
      <c r="BU138" s="2673">
        <f>0</f>
        <v>0</v>
      </c>
      <c r="BV138" s="2786">
        <f>0</f>
        <v>0</v>
      </c>
      <c r="BW138" s="2786">
        <f>0</f>
        <v>0</v>
      </c>
      <c r="BX138" s="2786">
        <f>0</f>
        <v>0</v>
      </c>
      <c r="BY138" s="2786">
        <f>0</f>
        <v>0</v>
      </c>
      <c r="BZ138" s="2673">
        <f>0</f>
        <v>0</v>
      </c>
      <c r="CA138" s="2673">
        <f>0</f>
        <v>0</v>
      </c>
      <c r="CB138" s="2796">
        <f>0</f>
        <v>0</v>
      </c>
      <c r="CC138" s="2673">
        <f>0</f>
        <v>0</v>
      </c>
      <c r="CD138" s="2673">
        <f>0</f>
        <v>0</v>
      </c>
      <c r="CE138" s="2673">
        <f>0</f>
        <v>0</v>
      </c>
      <c r="CF138" s="2673">
        <f>0</f>
        <v>0</v>
      </c>
      <c r="CG138" s="2673">
        <f>0</f>
        <v>0</v>
      </c>
      <c r="CH138" s="2673">
        <f>0</f>
        <v>0</v>
      </c>
      <c r="CI138" s="2673">
        <f>0</f>
        <v>0</v>
      </c>
      <c r="CJ138" s="2673">
        <f>0</f>
        <v>0</v>
      </c>
      <c r="CK138" s="2673">
        <f>0</f>
        <v>0</v>
      </c>
      <c r="CL138" s="2673">
        <f>0</f>
        <v>0</v>
      </c>
      <c r="CM138" s="2673">
        <f>0</f>
        <v>0</v>
      </c>
      <c r="CN138" s="2673">
        <f>0</f>
        <v>0</v>
      </c>
      <c r="CO138" s="2825">
        <f>µ_OHO_T*X_OHO*η_OHO_anox*M_satSB_KSB_poly*M_inhSVFA_KVFA*M_satSNO2_KNO2_OHO*M_inhSO2_KO2_OHO*M_satSNHx_KNHx_BIO*M_satSPO4_KPO4_BIO*M_satSCAT_KCAT*M_satSAN_KAN*M_satSCa_KCa*M_satSMg_KMg*B_ellinhpH</f>
        <v>4.5031926970264156</v>
      </c>
      <c r="CQ138" s="2650">
        <f>E248*E138+F248*F138+G248*G138+H248*H138+I248*I138+J248*J138+K248*K138+L248*L138+M248*M138+N248*N138+O248*O138+P248*P138+Q248*Q138+R248*R138+S248*S138+T248*T138+U248*U138+V248*V138+W248*W138+X248*X138+Y248*Y138+Z248*Z138+AA248*AA138+AB248*AB138+AC248*AC138+AD248*AD138+AE248*AE138+AF248*AF138+AG248*AG138+AH248*AH138+AI248*AI138+AJ248*AJ138+AK248*AK138+AL248*AL138+AM248*AM138+AN248*AN138+AO248*AO138+AP248*AP138+AQ248*AQ138+AR248*AR138+AS248*AS138+AT248*AT138+AU248*AU138+AV248*AV138+AW248*AW138+AX248*AX138+AY248*AY138+AZ248*AZ138+BA248*BA138+BB248*BB138+BC248*BC138+BD248*BD138+BE248*BE138+BF248*BF138+BG248*BG138+BH248*BH138+BI248*BI138+BJ248*BJ138+BK248*BK138+BL248*BL138+BM248*BM138+BN248*BN138+BO248*BO138+BP248*BP138+BQ248*BQ138+BR248*BR138+BS248*BS138+BT248*BT138+BU248*BU138+BV248*BV138+BW248*BW138+BX248*BX138+BY248*BY138+BZ248*BZ138+CA248*CA138+CB248*CB138+CC248*CC138+CD248*CD138+CE248*CE138+CF248*CF138+CG248*CG138+CH248*CH138+CI248*CI138+CJ248*CJ138+CK248*CK138+CL248*CL138+CM248*CM138+CN248*CN138</f>
        <v>1.1102230246251565E-16</v>
      </c>
      <c r="CR138" s="2650">
        <f>E249*E138+F249*F138+G249*G138+H249*H138+I249*I138+J249*J138+K249*K138+L249*L138+M249*M138+N249*N138+O249*O138+P249*P138+Q249*Q138+R249*R138+S249*S138+T249*T138+U249*U138+V249*V138+W249*W138+X249*X138+Y249*Y138+Z249*Z138+AA249*AA138+AB249*AB138+AC249*AC138+AD249*AD138+AE249*AE138+AF249*AF138+AG249*AG138+AH249*AH138+AI249*AI138+AJ249*AJ138+AK249*AK138+AL249*AL138+AM249*AM138+AN249*AN138+AO249*AO138+AP249*AP138+AQ249*AQ138+AR249*AR138+AS249*AS138+AT249*AT138+AU249*AU138+AV249*AV138+AW249*AW138+AX249*AX138+AY249*AY138+AZ249*AZ138+BA249*BA138+BB249*BB138+BC249*BC138+BD249*BD138+BE249*BE138+BF249*BF138+BG249*BG138+BH249*BH138+BI249*BI138+BJ249*BJ138+BK249*BK138+BL249*BL138+BM249*BM138+BN249*BN138+BO249*BO138+BP249*BP138+BQ249*BQ138+BR249*BR138+BS249*BS138+BT249*BT138+BU249*BU138+BV249*BV138+BW249*BW138+BX249*BX138+BY249*BY138+BZ249*BZ138+CA249*CA138+CB249*CB138+CC249*CC138+CD249*CD138+CE249*CE138+CF249*CF138+CG249*CG138+CH249*CH138+CI249*CI138+CJ249*CJ138+CK249*CK138+CL249*CL138+CM249*CM138+CN249*CN138</f>
        <v>0</v>
      </c>
      <c r="CS138" s="2651">
        <f>E250*E138+F250*F138+G250*G138+H250*H138+I250*I138+J250*J138+K250*K138+L250*L138+M250*M138+N250*N138+O250*O138+P250*P138+Q250*Q138+R250*R138+S250*S138+T250*T138+U250*U138+V250*V138+W250*W138+X250*X138+Y250*Y138+Z250*Z138+AA250*AA138+AB250*AB138+AC250*AC138+AD250*AD138+AE250*AE138+AF250*AF138+AG250*AG138+AH250*AH138+AI250*AI138+AJ250*AJ138+AK250*AK138+AL250*AL138+AM250*AM138+AN250*AN138+AO250*AO138+AP250*AP138+AQ250*AQ138+AR250*AR138+AS250*AS138+AT250*AT138+AU250*AU138+AV250*AV138+AW250*AW138+AX250*AX138+AY250*AY138+AZ250*AZ138+BA250*BA138+BB250*BB138+BC250*BC138+BD250*BD138+BE250*BE138+BF250*BF138+BG250*BG138+BH250*BH138+BI250*BI138+BJ250*BJ138+BK250*BK138+BL250*BL138+BM250*BM138+BN250*BN138+BO250*BO138+BP250*BP138+BQ250*BQ138+BR250*BR138+BS250*BS138+BT250*BT138+BU250*BU138+BV250*BV138+BW250*BW138+BX250*BX138+BY250*BY138+BZ250*BZ138+CA250*CA138+CB250*CB138+CC250*CC138+CD250*CD138+CE250*CE138+CF250*CF138+CG250*CG138+CH250*CH138+CI250*CI138+CJ250*CJ138+CK250*CK138+CL250*CL138+CM250*CM138+CN250*CN138</f>
        <v>0</v>
      </c>
      <c r="CT138" s="2652">
        <f>E251*E138+F251*F138+G251*G138+H251*H138+I251*I138+J251*J138+K251*K138+L251*L138+M251*M138+N251*N138+O251*O138+P251*P138+Q251*Q138+R251*R138+S251*S138+T251*T138+U251*U138+V251*V138+W251*W138+X251*X138+Y251*Y138+Z251*Z138+AA251*AA138+AB251*AB138+AC251*AC138+AD251*AD138+AE251*AE138+AF251*AF138+AG251*AG138+AH251*AH138+AI251*AI138+AJ251*AJ138+AK251*AK138+AL251*AL138+AM251*AM138+AN251*AN138+AO251*AO138+AP251*AP138+AQ251*AQ138+AR251*AR138+AS251*AS138+AT251*AT138+AU251*AU138+AV251*AV138+AW251*AW138+AX251*AX138+AY251*AY138+AZ251*AZ138+BA251*BA138+BB251*BB138+BC251*BC138+BD251*BD138+BE251*BE138+BF251*BF138+BG251*BG138+BH251*BH138+BI251*BI138+BJ251*BJ138+BK251*BK138+BL251*BL138+BM251*BM138+BN251*BN138+BO251*BO138+BP251*BP138+BQ251*BQ138+BR251*BR138+BS251*BS138+BT251*BT138+BU251*BU138+BV251*BV138+BW251*BW138+BX251*BX138+BY251*BY138+BZ251*BZ138+CA251*CA138+CB251*CB138+CC251*CC138+CD251*CD138+CE251*CE138+CF251*CF138+CG251*CG138+CH251*CH138+CI251*CI138+CJ251*CJ138+CK251*CK138+CL251*CL138+CM251*CM138+CN251*CN138</f>
        <v>0</v>
      </c>
      <c r="CU138" s="2652">
        <f>E252*E138+F252*F138+G252*G138+H252*H138+I252*I138+J252*J138+K252*K138+L252*L138+M252*M138+N252*N138+O252*O138+P252*P138+Q252*Q138+R252*R138+S252*S138+T252*T138+U252*U138+V252*V138+W252*W138+X252*X138+Y252*Y138+Z252*Z138+AA252*AA138+AB252*AB138+AC252*AC138+AD252*AD138+AE252*AE138+AF252*AF138+AG252*AG138+AH252*AH138+AI252*AI138+AJ252*AJ138+AK252*AK138+AL252*AL138+AM252*AM138+AN252*AN138+AO252*AO138+AP252*AP138+AQ252*AQ138+AR252*AR138+AS252*AS138+AT252*AT138+AU252*AU138+AV252*AV138+AW252*AW138+AX252*AX138+AY252*AY138+AZ252*AZ138+BA252*BA138+BB252*BB138+BC252*BC138+BD252*BD138+BE252*BE138+BF252*BF138+BG252*BG138+BH252*BH138+BI252*BI138+BJ252*BJ138+BK252*BK138+BL252*BL138+BM252*BM138+BN252*BN138+BO252*BO138+BP252*BP138+BQ252*BQ138+BR252*BR138+BS252*BS138+BT252*BT138+BU252*BU138+BV252*BV138+BW252*BW138+BX252*BX138+BY252*BY138+BZ252*BZ138+CA252*CA138+CB252*CB138+CC252*CC138+CD252*CD138+CE252*CE138+CF252*CF138+CG252*CG138+CH252*CH138+CI252*CI138+CJ252*CJ138+CK252*CK138+CL252*CL138+CM252*CM138+CN252*CN138</f>
        <v>0</v>
      </c>
      <c r="CV138" s="2652">
        <f>E253*E138+F253*F138+G253*G138+H253*H138+I253*I138+J253*J138+K253*K138+L253*L138+M253*M138+N253*N138+O253*O138+P253*P138+Q253*Q138+R253*R138+S253*S138+T253*T138+U253*U138+V253*V138+W253*W138+X253*X138+Y253*Y138+Z253*Z138+AA253*AA138+AB253*AB138+AC253*AC138+AD253*AD138+AE253*AE138+AF253*AF138+AG253*AG138+AH253*AH138+AI253*AI138+AJ253*AJ138+AK253*AK138+AL253*AL138+AM253*AM138+AN253*AN138+AO253*AO138+AP253*AP138+AQ253*AQ138+AR253*AR138+AS253*AS138+AT253*AT138+AU253*AU138+AV253*AV138+AW253*AW138+AX253*AX138+AY253*AY138+AZ253*AZ138+BA253*BA138+BB253*BB138+BC253*BC138+BD253*BD138+BE253*BE138+BF253*BF138+BG253*BG138+BH253*BH138+BI253*BI138+BJ253*BJ138+BK253*BK138+BL253*BL138+BM253*BM138+BN253*BN138+BO253*BO138+BP253*BP138+BQ253*BQ138+BR253*BR138+BS253*BS138+BT253*BT138+BU253*BU138+BV253*BV138+BW253*BW138+BX253*BX138+BY253*BY138+BZ253*BZ138+CA253*CA138+CB253*CB138+CC253*CC138+CD253*CD138+CE253*CE138+CF253*CF138+CG253*CG138+CH253*CH138+CI253*CI138+CJ253*CJ138+CK253*CK138+CL253*CL138+CM253*CM138+CN253*CN138</f>
        <v>0</v>
      </c>
      <c r="CW138" s="2652">
        <f>E254*E138+F254*F138+G254*G138+H254*H138+I254*I138+J254*J138+K254*K138+L254*L138+M254*M138+N254*N138+O254*O138+P254*P138+Q254*Q138+R254*R138+S254*S138+T254*T138+U254*U138+V254*V138+W254*W138+X254*X138+Y254*Y138+Z254*Z138+AA254*AA138+AB254*AB138+AC254*AC138+AD254*AD138+AE254*AE138+AF254*AF138+AG254*AG138+AH254*AH138+AI254*AI138+AJ254*AJ138+AK254*AK138+AL254*AL138+AM254*AM138+AN254*AN138+AO254*AO138+AP254*AP138+AQ254*AQ138+AR254*AR138+AS254*AS138+AT254*AT138+AU254*AU138+AV254*AV138+AW254*AW138+AX254*AX138+AY254*AY138+AZ254*AZ138+BA254*BA138+BB254*BB138+BC254*BC138+BD254*BD138+BE254*BE138+BF254*BF138+BG254*BG138+BH254*BH138+BI254*BI138+BJ254*BJ138+BK254*BK138+BL254*BL138+BM254*BM138+BN254*BN138+BO254*BO138+BP254*BP138+BQ254*BQ138+BR254*BR138+BS254*BS138+BT254*BT138+BU254*BU138+BV254*BV138+BW254*BW138+BX254*BX138+BY254*BY138+BZ254*BZ138+CA254*CA138+CB254*CB138+CC254*CC138+CD254*CD138+CE254*CE138+CF254*CF138+CG254*CG138+CH254*CH138+CI254*CI138+CJ254*CJ138+CK254*CK138+CL254*CL138+CM254*CM138+CN254*CN138</f>
        <v>0</v>
      </c>
      <c r="CX138" s="2652">
        <f>E255*E138+F255*F138+G255*G138+H255*H138+I255*I138+J255*J138+K255*K138+L255*L138+M255*M138+N255*N138+O255*O138+P255*P138+Q255*Q138+R255*R138+S255*S138+T255*T138+U255*U138+V255*V138+W255*W138+X255*X138+Y255*Y138+Z255*Z138+AA255*AA138+AB255*AB138+AC255*AC138+AD255*AD138+AE255*AE138+AF255*AF138+AG255*AG138+AH255*AH138+AI255*AI138+AJ255*AJ138+AK255*AK138+AL255*AL138+AM255*AM138+AN255*AN138+AO255*AO138+AP255*AP138+AQ255*AQ138+AR255*AR138+AS255*AS138+AT255*AT138+AU255*AU138+AV255*AV138+AW255*AW138+AX255*AX138+AY255*AY138+AZ255*AZ138+BA255*BA138+BB255*BB138+BC255*BC138+BD255*BD138+BE255*BE138+BF255*BF138+BG255*BG138+BH255*BH138+BI255*BI138+BJ255*BJ138+BK255*BK138+BL255*BL138+BM255*BM138+BN255*BN138+BO255*BO138+BP255*BP138+BQ255*BQ138+BR255*BR138+BS255*BS138+BT255*BT138+BU255*BU138+BV255*BV138+BW255*BW138+BX255*BX138+BY255*BY138+BZ255*BZ138+CA255*CA138+CB255*CB138+CC255*CC138+CD255*CD138+CE255*CE138+CF255*CF138+CG255*CG138+CH255*CH138+CI255*CI138+CJ255*CJ138+CK255*CK138+CL255*CL138+CM255*CM138+CN255*CN138</f>
        <v>0</v>
      </c>
      <c r="CY138" s="2652">
        <f>E256*E138+F256*F138+G256*G138+H256*H138+I256*I138+J256*J138+K256*K138+L256*L138+M256*M138+N256*N138+O256*O138+P256*P138+Q256*Q138+R256*R138+S256*S138+T256*T138+U256*U138+V256*V138+W256*W138+X256*X138+Y256*Y138+Z256*Z138+AA256*AA138+AB256*AB138+AC256*AC138+AD256*AD138+AE256*AE138+AF256*AF138+AG256*AG138+AH256*AH138+AI256*AI138+AJ256*AJ138+AK256*AK138+AL256*AL138+AM256*AM138+AN256*AN138+AO256*AO138+AP256*AP138+AQ256*AQ138+AR256*AR138+AS256*AS138+AT256*AT138+AU256*AU138+AV256*AV138+AW256*AW138+AX256*AX138+AY256*AY138+AZ256*AZ138+BA256*BA138+BB256*BB138+BC256*BC138+BD256*BD138+BE256*BE138+BF256*BF138+BG256*BG138+BH256*BH138+BI256*BI138+BJ256*BJ138+BK256*BK138+BL256*BL138+BM256*BM138+BN256*BN138+BO256*BO138+BP256*BP138+BQ256*BQ138+BR256*BR138+BS256*BS138+BT256*BT138+BU256*BU138+BV256*BV138+BW256*BW138+BX256*BX138+BY256*BY138+BZ256*BZ138+CA256*CA138+CB256*CB138+CC256*CC138+CD256*CD138+CE256*CE138+CF256*CF138+CG256*CG138+CH256*CH138+CI256*CI138+CJ256*CJ138+CK256*CK138+CL256*CL138+CM256*CM138+CN256*CN138</f>
        <v>0</v>
      </c>
      <c r="CZ138" s="2652">
        <f>E257*E138+F257*F138+G257*G138+H257*H138+I257*I138+J257*J138+K257*K138+L257*L138+M257*M138+N257*N138+O257*O138+P257*P138+Q257*Q138+R257*R138+S257*S138+T257*T138+U257*U138+V257*V138+W257*W138+X257*X138+Y257*Y138+Z257*Z138+AA257*AA138+AB257*AB138+AC257*AC138+AD257*AD138+AE257*AE138+AF257*AF138+AG257*AG138+AH257*AH138+AI257*AI138+AJ257*AJ138+AK257*AK138+AL257*AL138+AM257*AM138+AN257*AN138+AO257*AO138+AP257*AP138+AQ257*AQ138+AR257*AR138+AS257*AS138+AT257*AT138+AU257*AU138+AV257*AV138+AW257*AW138+AX257*AX138+AY257*AY138+AZ257*AZ138+BA257*BA138+BB257*BB138+BC257*BC138+BD257*BD138+BE257*BE138+BF257*BF138+BG257*BG138+BH257*BH138+BI257*BI138+BJ257*BJ138+BK257*BK138+BL257*BL138+BM257*BM138+BN257*BN138+BO257*BO138+BP257*BP138+BQ257*BQ138+BR257*BR138+BS257*BS138+BT257*BT138+BU257*BU138+BV257*BV138+BW257*BW138+BX257*BX138+BY257*BY138+BZ257*BZ138+CA257*CA138+CB257*CB138+CC257*CC138+CD257*CD138+CE257*CE138+CF257*CF138+CG257*CG138+CH257*CH138+CI257*CI138+CJ257*CJ138+CK257*CK138+CL257*CL138+CM257*CM138+CN257*CN138</f>
        <v>0</v>
      </c>
      <c r="DA138" s="2652">
        <f>E258*E138+F258*F138+G258*G138+H258*H138+I258*I138+J258*J138+K258*K138+L258*L138+M258*M138+N258*N138+O258*O138+P258*P138+Q258*Q138+R258*R138+S258*S138+T258*T138+U258*U138+V258*V138+W258*W138+X258*X138+Y258*Y138+Z258*Z138+AA258*AA138+AB258*AB138+AC258*AC138+AD258*AD138+AE258*AE138+AF258*AF138+AG258*AG138+AH258*AH138+AI258*AI138+AJ258*AJ138+AK258*AK138+AL258*AL138+AM258*AM138+AN258*AN138+AO258*AO138+AP258*AP138+AQ258*AQ138+AR258*AR138+AS258*AS138+AT258*AT138+AU258*AU138+AV258*AV138+AW258*AW138+AX258*AX138+AY258*AY138+AZ258*AZ138+BA258*BA138+BB258*BB138+BC258*BC138+BD258*BD138+BE258*BE138+BF258*BF138+BG258*BG138+BH258*BH138+BI258*BI138+BJ258*BJ138+BK258*BK138+BL258*BL138+BM258*BM138+BN258*BN138+BO258*BO138+BP258*BP138+BQ258*BQ138+BR258*BR138+BS258*BS138+BT258*BT138+BU258*BU138+BV258*BV138+BW258*BW138+BX258*BX138+BY258*BY138+BZ258*BZ138+CA258*CA138+CB258*CB138+CC258*CC138+CD258*CD138+CE258*CE138+CF258*CF138+CG258*CG138+CH258*CH138+CI258*CI138+CJ258*CJ138+CK258*CK138+CL258*CL138+CM258*CM138+CN258*CN138</f>
        <v>0</v>
      </c>
    </row>
    <row r="139" spans="2:105" ht="18" x14ac:dyDescent="0.35">
      <c r="B139" s="784">
        <v>6</v>
      </c>
      <c r="C139" s="785" t="s">
        <v>228</v>
      </c>
      <c r="D139" s="786" t="s">
        <v>1664</v>
      </c>
      <c r="E139" s="2674">
        <f>0</f>
        <v>0</v>
      </c>
      <c r="F139" s="2674">
        <f>0</f>
        <v>0</v>
      </c>
      <c r="G139" s="2673">
        <f>-1/Y_OHO_SB_poly_anox</f>
        <v>-1.8518518518518516</v>
      </c>
      <c r="H139" s="2674">
        <f>0</f>
        <v>0</v>
      </c>
      <c r="I139" s="2674">
        <f>0</f>
        <v>0</v>
      </c>
      <c r="J139" s="2674">
        <f>0</f>
        <v>0</v>
      </c>
      <c r="K139" s="2674">
        <f>0</f>
        <v>0</v>
      </c>
      <c r="L139" s="2674">
        <f>0</f>
        <v>0</v>
      </c>
      <c r="M139" s="2674">
        <f>0</f>
        <v>0</v>
      </c>
      <c r="N139" s="2674">
        <f>0</f>
        <v>0</v>
      </c>
      <c r="O139" s="2674">
        <f>0</f>
        <v>0</v>
      </c>
      <c r="P139" s="2674">
        <f>0</f>
        <v>0</v>
      </c>
      <c r="Q139" s="2674">
        <f>0</f>
        <v>0</v>
      </c>
      <c r="R139" s="2674">
        <f>0</f>
        <v>0</v>
      </c>
      <c r="S139" s="2674">
        <f>0</f>
        <v>0</v>
      </c>
      <c r="T139" s="2674">
        <f>1</f>
        <v>1</v>
      </c>
      <c r="U139" s="2674">
        <f>0</f>
        <v>0</v>
      </c>
      <c r="V139" s="2674">
        <f>0</f>
        <v>0</v>
      </c>
      <c r="W139" s="2674">
        <f>0</f>
        <v>0</v>
      </c>
      <c r="X139" s="2674">
        <f>0</f>
        <v>0</v>
      </c>
      <c r="Y139" s="2674">
        <f>0</f>
        <v>0</v>
      </c>
      <c r="Z139" s="2674">
        <f>0</f>
        <v>0</v>
      </c>
      <c r="AA139" s="2674">
        <f>0</f>
        <v>0</v>
      </c>
      <c r="AB139" s="2674">
        <f>0</f>
        <v>0</v>
      </c>
      <c r="AC139" s="2738">
        <f>0</f>
        <v>0</v>
      </c>
      <c r="AD139" s="2673">
        <f>-i_N_BIO</f>
        <v>-7.0000000000000007E-2</v>
      </c>
      <c r="AE139" s="2673">
        <f>(1-Y_OHO_SB_poly_anox)/(E_EQNO2_NO3*Y_OHO_SB_poly_anox)</f>
        <v>0.74575504914767643</v>
      </c>
      <c r="AF139" s="2673">
        <f>-(1-Y_OHO_SB_poly_anox)/(E_EQNO2_NO3*Y_OHO_SB_poly_anox)</f>
        <v>-0.74575504914767643</v>
      </c>
      <c r="AG139" s="2673">
        <f>0</f>
        <v>0</v>
      </c>
      <c r="AH139" s="2674">
        <f>0</f>
        <v>0</v>
      </c>
      <c r="AI139" s="2674">
        <f>0</f>
        <v>0</v>
      </c>
      <c r="AJ139" s="2674">
        <f>0</f>
        <v>0</v>
      </c>
      <c r="AK139" s="2674">
        <f>0</f>
        <v>0</v>
      </c>
      <c r="AL139" s="2673">
        <f>-i_P_BIO</f>
        <v>-0.02</v>
      </c>
      <c r="AM139" s="2674">
        <f>0</f>
        <v>0</v>
      </c>
      <c r="AN139" s="2674">
        <f>0</f>
        <v>0</v>
      </c>
      <c r="AO139" s="2674">
        <f>0</f>
        <v>0</v>
      </c>
      <c r="AP139" s="2674">
        <f>0</f>
        <v>0</v>
      </c>
      <c r="AQ139" s="2674">
        <f>0</f>
        <v>0</v>
      </c>
      <c r="AR139" s="2674">
        <f>0</f>
        <v>0</v>
      </c>
      <c r="AS139" s="2674">
        <f>0</f>
        <v>0</v>
      </c>
      <c r="AT139" s="2674">
        <f>0</f>
        <v>0</v>
      </c>
      <c r="AU139" s="2673">
        <f>i_CIT_SB_poly/Y_OHO_SB_poly_anox-i_CIT_BIO</f>
        <v>0.17762962962962958</v>
      </c>
      <c r="AV139" s="2673">
        <f>i_INORG</f>
        <v>0.11</v>
      </c>
      <c r="AW139" s="2673">
        <f>-i_INORG*(1-i_Ca_INORG*(A_MCa+2*A_MCl)/A_MCa-i_Mg_INORG*(A_MMg+2*A_MCl)/A_MMg)*f_Na</f>
        <v>-2.8804303582798466E-2</v>
      </c>
      <c r="AX139" s="2673">
        <f>-i_INORG*(i_Ca_INORG*(2*A_MCl)/A_MCa+i_Mg_INORG*(2*A_MCl)/A_MMg)-i_INORG*(1-i_Ca_INORG*(A_MCa+2*A_MCl)/A_MCa-i_Mg_INORG*(A_MMg+2*A_MCl)/A_MMg)*(1-f_Na)</f>
        <v>-7.0195696417201539E-2</v>
      </c>
      <c r="AY139" s="2673">
        <f>-i_INORG*i_Ca_INORG</f>
        <v>-5.5000000000000005E-3</v>
      </c>
      <c r="AZ139" s="2673">
        <f>-i_INORG*i_Mg_INORG</f>
        <v>-5.5000000000000005E-3</v>
      </c>
      <c r="BA139" s="2673">
        <f>0</f>
        <v>0</v>
      </c>
      <c r="BB139" s="2673">
        <f>0</f>
        <v>0</v>
      </c>
      <c r="BC139" s="2673">
        <f>0</f>
        <v>0</v>
      </c>
      <c r="BD139" s="2673">
        <f>0</f>
        <v>0</v>
      </c>
      <c r="BE139" s="2673">
        <f>0</f>
        <v>0</v>
      </c>
      <c r="BF139" s="2673">
        <f>0</f>
        <v>0</v>
      </c>
      <c r="BG139" s="2673">
        <f>0</f>
        <v>0</v>
      </c>
      <c r="BH139" s="2673">
        <f>0</f>
        <v>0</v>
      </c>
      <c r="BI139" s="2673">
        <f>0</f>
        <v>0</v>
      </c>
      <c r="BJ139" s="2763">
        <f>0</f>
        <v>0</v>
      </c>
      <c r="BK139" s="2763">
        <f>0</f>
        <v>0</v>
      </c>
      <c r="BL139" s="2763">
        <f>0</f>
        <v>0</v>
      </c>
      <c r="BM139" s="2763">
        <f>0</f>
        <v>0</v>
      </c>
      <c r="BN139" s="2763">
        <f>0</f>
        <v>0</v>
      </c>
      <c r="BO139" s="2763">
        <f>0</f>
        <v>0</v>
      </c>
      <c r="BP139" s="2763">
        <f>0</f>
        <v>0</v>
      </c>
      <c r="BQ139" s="2673">
        <f>0</f>
        <v>0</v>
      </c>
      <c r="BR139" s="2673">
        <f>0</f>
        <v>0</v>
      </c>
      <c r="BS139" s="2763">
        <f>0</f>
        <v>0</v>
      </c>
      <c r="BT139" s="2673">
        <f>0</f>
        <v>0</v>
      </c>
      <c r="BU139" s="2673">
        <f>0</f>
        <v>0</v>
      </c>
      <c r="BV139" s="2786">
        <f>0</f>
        <v>0</v>
      </c>
      <c r="BW139" s="2786">
        <f>0</f>
        <v>0</v>
      </c>
      <c r="BX139" s="2786">
        <f>0</f>
        <v>0</v>
      </c>
      <c r="BY139" s="2786">
        <f>0</f>
        <v>0</v>
      </c>
      <c r="BZ139" s="2673">
        <f>0</f>
        <v>0</v>
      </c>
      <c r="CA139" s="2673">
        <f>0</f>
        <v>0</v>
      </c>
      <c r="CB139" s="2796">
        <f>0</f>
        <v>0</v>
      </c>
      <c r="CC139" s="2673">
        <f>0</f>
        <v>0</v>
      </c>
      <c r="CD139" s="2673">
        <f>0</f>
        <v>0</v>
      </c>
      <c r="CE139" s="2673">
        <f>0</f>
        <v>0</v>
      </c>
      <c r="CF139" s="2673">
        <f>0</f>
        <v>0</v>
      </c>
      <c r="CG139" s="2673">
        <f>0</f>
        <v>0</v>
      </c>
      <c r="CH139" s="2673">
        <f>0</f>
        <v>0</v>
      </c>
      <c r="CI139" s="2673">
        <f>0</f>
        <v>0</v>
      </c>
      <c r="CJ139" s="2673">
        <f>0</f>
        <v>0</v>
      </c>
      <c r="CK139" s="2673">
        <f>0</f>
        <v>0</v>
      </c>
      <c r="CL139" s="2673">
        <f>0</f>
        <v>0</v>
      </c>
      <c r="CM139" s="2673">
        <f>0</f>
        <v>0</v>
      </c>
      <c r="CN139" s="2673">
        <f>0</f>
        <v>0</v>
      </c>
      <c r="CO139" s="2825">
        <f>µ_OHO_T*X_OHO*η_OHO_anox*M_satSB_KSB_poly*M_inhSVFA_KVFA*M_satSNO3_KNO3_OHO*M_inhSO2_KO2_OHO*M_inhSNO2_KNO2_OHO*M_satSNHx_KNHx_BIO*M_satSPO4_KPO4_BIO*M_satSCAT_KCAT*M_satSAN_KAN*M_satSCa_KCa*M_satSMg_KMg*B_ellinhpH</f>
        <v>1.8012770788105668</v>
      </c>
      <c r="CQ139" s="2650">
        <f>E248*E139+F248*F139+G248*G139+H248*H139+I248*I139+J248*J139+K248*K139+L248*L139+M248*M139+N248*N139+O248*O139+P248*P139+Q248*Q139+R248*R139+S248*S139+T248*T139+U248*U139+V248*V139+W248*W139+X248*X139+Y248*Y139+Z248*Z139+AA248*AA139+AB248*AB139+AC248*AC139+AD248*AD139+AE248*AE139+AF248*AF139+AG248*AG139+AH248*AH139+AI248*AI139+AJ248*AJ139+AK248*AK139+AL248*AL139+AM248*AM139+AN248*AN139+AO248*AO139+AP248*AP139+AQ248*AQ139+AR248*AR139+AS248*AS139+AT248*AT139+AU248*AU139+AV248*AV139+AW248*AW139+AX248*AX139+AY248*AY139+AZ248*AZ139+BA248*BA139+BB248*BB139+BC248*BC139+BD248*BD139+BE248*BE139+BF248*BF139+BG248*BG139+BH248*BH139+BI248*BI139+BJ248*BJ139+BK248*BK139+BL248*BL139+BM248*BM139+BN248*BN139+BO248*BO139+BP248*BP139+BQ248*BQ139+BR248*BR139+BS248*BS139+BT248*BT139+BU248*BU139+BV248*BV139+BW248*BW139+BX248*BX139+BY248*BY139+BZ248*BZ139+CA248*CA139+CB248*CB139+CC248*CC139+CD248*CD139+CE248*CE139+CF248*CF139+CG248*CG139+CH248*CH139+CI248*CI139+CJ248*CJ139+CK248*CK139+CL248*CL139+CM248*CM139+CN248*CN139</f>
        <v>0</v>
      </c>
      <c r="CR139" s="2650">
        <f>E249*E139+F249*F139+G249*G139+H249*H139+I249*I139+J249*J139+K249*K139+L249*L139+M249*M139+N249*N139+O249*O139+P249*P139+Q249*Q139+R249*R139+S249*S139+T249*T139+U249*U139+V249*V139+W249*W139+X249*X139+Y249*Y139+Z249*Z139+AA249*AA139+AB249*AB139+AC249*AC139+AD249*AD139+AE249*AE139+AF249*AF139+AG249*AG139+AH249*AH139+AI249*AI139+AJ249*AJ139+AK249*AK139+AL249*AL139+AM249*AM139+AN249*AN139+AO249*AO139+AP249*AP139+AQ249*AQ139+AR249*AR139+AS249*AS139+AT249*AT139+AU249*AU139+AV249*AV139+AW249*AW139+AX249*AX139+AY249*AY139+AZ249*AZ139+BA249*BA139+BB249*BB139+BC249*BC139+BD249*BD139+BE249*BE139+BF249*BF139+BG249*BG139+BH249*BH139+BI249*BI139+BJ249*BJ139+BK249*BK139+BL249*BL139+BM249*BM139+BN249*BN139+BO249*BO139+BP249*BP139+BQ249*BQ139+BR249*BR139+BS249*BS139+BT249*BT139+BU249*BU139+BV249*BV139+BW249*BW139+BX249*BX139+BY249*BY139+BZ249*BZ139+CA249*CA139+CB249*CB139+CC249*CC139+CD249*CD139+CE249*CE139+CF249*CF139+CG249*CG139+CH249*CH139+CI249*CI139+CJ249*CJ139+CK249*CK139+CL249*CL139+CM249*CM139+CN249*CN139</f>
        <v>0</v>
      </c>
      <c r="CS139" s="2651">
        <f>E250*E139+F250*F139+G250*G139+H250*H139+I250*I139+J250*J139+K250*K139+L250*L139+M250*M139+N250*N139+O250*O139+P250*P139+Q250*Q139+R250*R139+S250*S139+T250*T139+U250*U139+V250*V139+W250*W139+X250*X139+Y250*Y139+Z250*Z139+AA250*AA139+AB250*AB139+AC250*AC139+AD250*AD139+AE250*AE139+AF250*AF139+AG250*AG139+AH250*AH139+AI250*AI139+AJ250*AJ139+AK250*AK139+AL250*AL139+AM250*AM139+AN250*AN139+AO250*AO139+AP250*AP139+AQ250*AQ139+AR250*AR139+AS250*AS139+AT250*AT139+AU250*AU139+AV250*AV139+AW250*AW139+AX250*AX139+AY250*AY139+AZ250*AZ139+BA250*BA139+BB250*BB139+BC250*BC139+BD250*BD139+BE250*BE139+BF250*BF139+BG250*BG139+BH250*BH139+BI250*BI139+BJ250*BJ139+BK250*BK139+BL250*BL139+BM250*BM139+BN250*BN139+BO250*BO139+BP250*BP139+BQ250*BQ139+BR250*BR139+BS250*BS139+BT250*BT139+BU250*BU139+BV250*BV139+BW250*BW139+BX250*BX139+BY250*BY139+BZ250*BZ139+CA250*CA139+CB250*CB139+CC250*CC139+CD250*CD139+CE250*CE139+CF250*CF139+CG250*CG139+CH250*CH139+CI250*CI139+CJ250*CJ139+CK250*CK139+CL250*CL139+CM250*CM139+CN250*CN139</f>
        <v>0</v>
      </c>
      <c r="CT139" s="2652">
        <f>E251*E139+F251*F139+G251*G139+H251*H139+I251*I139+J251*J139+K251*K139+L251*L139+M251*M139+N251*N139+O251*O139+P251*P139+Q251*Q139+R251*R139+S251*S139+T251*T139+U251*U139+V251*V139+W251*W139+X251*X139+Y251*Y139+Z251*Z139+AA251*AA139+AB251*AB139+AC251*AC139+AD251*AD139+AE251*AE139+AF251*AF139+AG251*AG139+AH251*AH139+AI251*AI139+AJ251*AJ139+AK251*AK139+AL251*AL139+AM251*AM139+AN251*AN139+AO251*AO139+AP251*AP139+AQ251*AQ139+AR251*AR139+AS251*AS139+AT251*AT139+AU251*AU139+AV251*AV139+AW251*AW139+AX251*AX139+AY251*AY139+AZ251*AZ139+BA251*BA139+BB251*BB139+BC251*BC139+BD251*BD139+BE251*BE139+BF251*BF139+BG251*BG139+BH251*BH139+BI251*BI139+BJ251*BJ139+BK251*BK139+BL251*BL139+BM251*BM139+BN251*BN139+BO251*BO139+BP251*BP139+BQ251*BQ139+BR251*BR139+BS251*BS139+BT251*BT139+BU251*BU139+BV251*BV139+BW251*BW139+BX251*BX139+BY251*BY139+BZ251*BZ139+CA251*CA139+CB251*CB139+CC251*CC139+CD251*CD139+CE251*CE139+CF251*CF139+CG251*CG139+CH251*CH139+CI251*CI139+CJ251*CJ139+CK251*CK139+CL251*CL139+CM251*CM139+CN251*CN139</f>
        <v>0</v>
      </c>
      <c r="CU139" s="2652">
        <f>E252*E139+F252*F139+G252*G139+H252*H139+I252*I139+J252*J139+K252*K139+L252*L139+M252*M139+N252*N139+O252*O139+P252*P139+Q252*Q139+R252*R139+S252*S139+T252*T139+U252*U139+V252*V139+W252*W139+X252*X139+Y252*Y139+Z252*Z139+AA252*AA139+AB252*AB139+AC252*AC139+AD252*AD139+AE252*AE139+AF252*AF139+AG252*AG139+AH252*AH139+AI252*AI139+AJ252*AJ139+AK252*AK139+AL252*AL139+AM252*AM139+AN252*AN139+AO252*AO139+AP252*AP139+AQ252*AQ139+AR252*AR139+AS252*AS139+AT252*AT139+AU252*AU139+AV252*AV139+AW252*AW139+AX252*AX139+AY252*AY139+AZ252*AZ139+BA252*BA139+BB252*BB139+BC252*BC139+BD252*BD139+BE252*BE139+BF252*BF139+BG252*BG139+BH252*BH139+BI252*BI139+BJ252*BJ139+BK252*BK139+BL252*BL139+BM252*BM139+BN252*BN139+BO252*BO139+BP252*BP139+BQ252*BQ139+BR252*BR139+BS252*BS139+BT252*BT139+BU252*BU139+BV252*BV139+BW252*BW139+BX252*BX139+BY252*BY139+BZ252*BZ139+CA252*CA139+CB252*CB139+CC252*CC139+CD252*CD139+CE252*CE139+CF252*CF139+CG252*CG139+CH252*CH139+CI252*CI139+CJ252*CJ139+CK252*CK139+CL252*CL139+CM252*CM139+CN252*CN139</f>
        <v>0</v>
      </c>
      <c r="CV139" s="2652">
        <f>E253*E139+F253*F139+G253*G139+H253*H139+I253*I139+J253*J139+K253*K139+L253*L139+M253*M139+N253*N139+O253*O139+P253*P139+Q253*Q139+R253*R139+S253*S139+T253*T139+U253*U139+V253*V139+W253*W139+X253*X139+Y253*Y139+Z253*Z139+AA253*AA139+AB253*AB139+AC253*AC139+AD253*AD139+AE253*AE139+AF253*AF139+AG253*AG139+AH253*AH139+AI253*AI139+AJ253*AJ139+AK253*AK139+AL253*AL139+AM253*AM139+AN253*AN139+AO253*AO139+AP253*AP139+AQ253*AQ139+AR253*AR139+AS253*AS139+AT253*AT139+AU253*AU139+AV253*AV139+AW253*AW139+AX253*AX139+AY253*AY139+AZ253*AZ139+BA253*BA139+BB253*BB139+BC253*BC139+BD253*BD139+BE253*BE139+BF253*BF139+BG253*BG139+BH253*BH139+BI253*BI139+BJ253*BJ139+BK253*BK139+BL253*BL139+BM253*BM139+BN253*BN139+BO253*BO139+BP253*BP139+BQ253*BQ139+BR253*BR139+BS253*BS139+BT253*BT139+BU253*BU139+BV253*BV139+BW253*BW139+BX253*BX139+BY253*BY139+BZ253*BZ139+CA253*CA139+CB253*CB139+CC253*CC139+CD253*CD139+CE253*CE139+CF253*CF139+CG253*CG139+CH253*CH139+CI253*CI139+CJ253*CJ139+CK253*CK139+CL253*CL139+CM253*CM139+CN253*CN139</f>
        <v>0</v>
      </c>
      <c r="CW139" s="2652">
        <f>E254*E139+F254*F139+G254*G139+H254*H139+I254*I139+J254*J139+K254*K139+L254*L139+M254*M139+N254*N139+O254*O139+P254*P139+Q254*Q139+R254*R139+S254*S139+T254*T139+U254*U139+V254*V139+W254*W139+X254*X139+Y254*Y139+Z254*Z139+AA254*AA139+AB254*AB139+AC254*AC139+AD254*AD139+AE254*AE139+AF254*AF139+AG254*AG139+AH254*AH139+AI254*AI139+AJ254*AJ139+AK254*AK139+AL254*AL139+AM254*AM139+AN254*AN139+AO254*AO139+AP254*AP139+AQ254*AQ139+AR254*AR139+AS254*AS139+AT254*AT139+AU254*AU139+AV254*AV139+AW254*AW139+AX254*AX139+AY254*AY139+AZ254*AZ139+BA254*BA139+BB254*BB139+BC254*BC139+BD254*BD139+BE254*BE139+BF254*BF139+BG254*BG139+BH254*BH139+BI254*BI139+BJ254*BJ139+BK254*BK139+BL254*BL139+BM254*BM139+BN254*BN139+BO254*BO139+BP254*BP139+BQ254*BQ139+BR254*BR139+BS254*BS139+BT254*BT139+BU254*BU139+BV254*BV139+BW254*BW139+BX254*BX139+BY254*BY139+BZ254*BZ139+CA254*CA139+CB254*CB139+CC254*CC139+CD254*CD139+CE254*CE139+CF254*CF139+CG254*CG139+CH254*CH139+CI254*CI139+CJ254*CJ139+CK254*CK139+CL254*CL139+CM254*CM139+CN254*CN139</f>
        <v>0</v>
      </c>
      <c r="CX139" s="2652">
        <f>E255*E139+F255*F139+G255*G139+H255*H139+I255*I139+J255*J139+K255*K139+L255*L139+M255*M139+N255*N139+O255*O139+P255*P139+Q255*Q139+R255*R139+S255*S139+T255*T139+U255*U139+V255*V139+W255*W139+X255*X139+Y255*Y139+Z255*Z139+AA255*AA139+AB255*AB139+AC255*AC139+AD255*AD139+AE255*AE139+AF255*AF139+AG255*AG139+AH255*AH139+AI255*AI139+AJ255*AJ139+AK255*AK139+AL255*AL139+AM255*AM139+AN255*AN139+AO255*AO139+AP255*AP139+AQ255*AQ139+AR255*AR139+AS255*AS139+AT255*AT139+AU255*AU139+AV255*AV139+AW255*AW139+AX255*AX139+AY255*AY139+AZ255*AZ139+BA255*BA139+BB255*BB139+BC255*BC139+BD255*BD139+BE255*BE139+BF255*BF139+BG255*BG139+BH255*BH139+BI255*BI139+BJ255*BJ139+BK255*BK139+BL255*BL139+BM255*BM139+BN255*BN139+BO255*BO139+BP255*BP139+BQ255*BQ139+BR255*BR139+BS255*BS139+BT255*BT139+BU255*BU139+BV255*BV139+BW255*BW139+BX255*BX139+BY255*BY139+BZ255*BZ139+CA255*CA139+CB255*CB139+CC255*CC139+CD255*CD139+CE255*CE139+CF255*CF139+CG255*CG139+CH255*CH139+CI255*CI139+CJ255*CJ139+CK255*CK139+CL255*CL139+CM255*CM139+CN255*CN139</f>
        <v>0</v>
      </c>
      <c r="CY139" s="2652">
        <f>E256*E139+F256*F139+G256*G139+H256*H139+I256*I139+J256*J139+K256*K139+L256*L139+M256*M139+N256*N139+O256*O139+P256*P139+Q256*Q139+R256*R139+S256*S139+T256*T139+U256*U139+V256*V139+W256*W139+X256*X139+Y256*Y139+Z256*Z139+AA256*AA139+AB256*AB139+AC256*AC139+AD256*AD139+AE256*AE139+AF256*AF139+AG256*AG139+AH256*AH139+AI256*AI139+AJ256*AJ139+AK256*AK139+AL256*AL139+AM256*AM139+AN256*AN139+AO256*AO139+AP256*AP139+AQ256*AQ139+AR256*AR139+AS256*AS139+AT256*AT139+AU256*AU139+AV256*AV139+AW256*AW139+AX256*AX139+AY256*AY139+AZ256*AZ139+BA256*BA139+BB256*BB139+BC256*BC139+BD256*BD139+BE256*BE139+BF256*BF139+BG256*BG139+BH256*BH139+BI256*BI139+BJ256*BJ139+BK256*BK139+BL256*BL139+BM256*BM139+BN256*BN139+BO256*BO139+BP256*BP139+BQ256*BQ139+BR256*BR139+BS256*BS139+BT256*BT139+BU256*BU139+BV256*BV139+BW256*BW139+BX256*BX139+BY256*BY139+BZ256*BZ139+CA256*CA139+CB256*CB139+CC256*CC139+CD256*CD139+CE256*CE139+CF256*CF139+CG256*CG139+CH256*CH139+CI256*CI139+CJ256*CJ139+CK256*CK139+CL256*CL139+CM256*CM139+CN256*CN139</f>
        <v>0</v>
      </c>
      <c r="CZ139" s="2652">
        <f>E257*E139+F257*F139+G257*G139+H257*H139+I257*I139+J257*J139+K257*K139+L257*L139+M257*M139+N257*N139+O257*O139+P257*P139+Q257*Q139+R257*R139+S257*S139+T257*T139+U257*U139+V257*V139+W257*W139+X257*X139+Y257*Y139+Z257*Z139+AA257*AA139+AB257*AB139+AC257*AC139+AD257*AD139+AE257*AE139+AF257*AF139+AG257*AG139+AH257*AH139+AI257*AI139+AJ257*AJ139+AK257*AK139+AL257*AL139+AM257*AM139+AN257*AN139+AO257*AO139+AP257*AP139+AQ257*AQ139+AR257*AR139+AS257*AS139+AT257*AT139+AU257*AU139+AV257*AV139+AW257*AW139+AX257*AX139+AY257*AY139+AZ257*AZ139+BA257*BA139+BB257*BB139+BC257*BC139+BD257*BD139+BE257*BE139+BF257*BF139+BG257*BG139+BH257*BH139+BI257*BI139+BJ257*BJ139+BK257*BK139+BL257*BL139+BM257*BM139+BN257*BN139+BO257*BO139+BP257*BP139+BQ257*BQ139+BR257*BR139+BS257*BS139+BT257*BT139+BU257*BU139+BV257*BV139+BW257*BW139+BX257*BX139+BY257*BY139+BZ257*BZ139+CA257*CA139+CB257*CB139+CC257*CC139+CD257*CD139+CE257*CE139+CF257*CF139+CG257*CG139+CH257*CH139+CI257*CI139+CJ257*CJ139+CK257*CK139+CL257*CL139+CM257*CM139+CN257*CN139</f>
        <v>0</v>
      </c>
      <c r="DA139" s="2652">
        <f>E258*E139+F258*F139+G258*G139+H258*H139+I258*I139+J258*J139+K258*K139+L258*L139+M258*M139+N258*N139+O258*O139+P258*P139+Q258*Q139+R258*R139+S258*S139+T258*T139+U258*U139+V258*V139+W258*W139+X258*X139+Y258*Y139+Z258*Z139+AA258*AA139+AB258*AB139+AC258*AC139+AD258*AD139+AE258*AE139+AF258*AF139+AG258*AG139+AH258*AH139+AI258*AI139+AJ258*AJ139+AK258*AK139+AL258*AL139+AM258*AM139+AN258*AN139+AO258*AO139+AP258*AP139+AQ258*AQ139+AR258*AR139+AS258*AS139+AT258*AT139+AU258*AU139+AV258*AV139+AW258*AW139+AX258*AX139+AY258*AY139+AZ258*AZ139+BA258*BA139+BB258*BB139+BC258*BC139+BD258*BD139+BE258*BE139+BF258*BF139+BG258*BG139+BH258*BH139+BI258*BI139+BJ258*BJ139+BK258*BK139+BL258*BL139+BM258*BM139+BN258*BN139+BO258*BO139+BP258*BP139+BQ258*BQ139+BR258*BR139+BS258*BS139+BT258*BT139+BU258*BU139+BV258*BV139+BW258*BW139+BX258*BX139+BY258*BY139+BZ258*BZ139+CA258*CA139+CB258*CB139+CC258*CC139+CD258*CD139+CE258*CE139+CF258*CF139+CG258*CG139+CH258*CH139+CI258*CI139+CJ258*CJ139+CK258*CK139+CL258*CL139+CM258*CM139+CN258*CN139</f>
        <v>0</v>
      </c>
    </row>
    <row r="140" spans="2:105" ht="18" x14ac:dyDescent="0.35">
      <c r="B140" s="784">
        <v>7</v>
      </c>
      <c r="C140" s="785" t="s">
        <v>229</v>
      </c>
      <c r="D140" s="786" t="s">
        <v>2137</v>
      </c>
      <c r="E140" s="2674">
        <f>(1-Y_OHO_SB_poly_ana-Y_OHO_H2_ana_high)/Y_OHO_SB_poly_ana</f>
        <v>5.5</v>
      </c>
      <c r="F140" s="2674">
        <f>0</f>
        <v>0</v>
      </c>
      <c r="G140" s="2673">
        <f>-1/Y_OHO_SB_poly_ana</f>
        <v>-10</v>
      </c>
      <c r="H140" s="2674">
        <f>0</f>
        <v>0</v>
      </c>
      <c r="I140" s="2674">
        <f>0</f>
        <v>0</v>
      </c>
      <c r="J140" s="2674">
        <f>0</f>
        <v>0</v>
      </c>
      <c r="K140" s="2674">
        <f>0</f>
        <v>0</v>
      </c>
      <c r="L140" s="2674">
        <f>0</f>
        <v>0</v>
      </c>
      <c r="M140" s="2674">
        <f>0</f>
        <v>0</v>
      </c>
      <c r="N140" s="2674">
        <f>0</f>
        <v>0</v>
      </c>
      <c r="O140" s="2674">
        <f>0</f>
        <v>0</v>
      </c>
      <c r="P140" s="2674">
        <f>0</f>
        <v>0</v>
      </c>
      <c r="Q140" s="2674">
        <f>0</f>
        <v>0</v>
      </c>
      <c r="R140" s="2674">
        <f>0</f>
        <v>0</v>
      </c>
      <c r="S140" s="2674">
        <f>0</f>
        <v>0</v>
      </c>
      <c r="T140" s="2674">
        <f>1</f>
        <v>1</v>
      </c>
      <c r="U140" s="2674">
        <f>0</f>
        <v>0</v>
      </c>
      <c r="V140" s="2674">
        <f>0</f>
        <v>0</v>
      </c>
      <c r="W140" s="2674">
        <f>0</f>
        <v>0</v>
      </c>
      <c r="X140" s="2674">
        <f>0</f>
        <v>0</v>
      </c>
      <c r="Y140" s="2674">
        <f>0</f>
        <v>0</v>
      </c>
      <c r="Z140" s="2674">
        <f>0</f>
        <v>0</v>
      </c>
      <c r="AA140" s="2674">
        <f>0</f>
        <v>0</v>
      </c>
      <c r="AB140" s="2674">
        <f>0</f>
        <v>0</v>
      </c>
      <c r="AC140" s="2738">
        <f>0</f>
        <v>0</v>
      </c>
      <c r="AD140" s="2673">
        <f>-i_N_BIO</f>
        <v>-7.0000000000000007E-2</v>
      </c>
      <c r="AE140" s="2674">
        <f>0</f>
        <v>0</v>
      </c>
      <c r="AF140" s="2674">
        <f>0</f>
        <v>0</v>
      </c>
      <c r="AG140" s="2674">
        <f>0</f>
        <v>0</v>
      </c>
      <c r="AH140" s="2674">
        <f>0</f>
        <v>0</v>
      </c>
      <c r="AI140" s="2674">
        <f>0</f>
        <v>0</v>
      </c>
      <c r="AJ140" s="2674">
        <f>0</f>
        <v>0</v>
      </c>
      <c r="AK140" s="2674">
        <f>0</f>
        <v>0</v>
      </c>
      <c r="AL140" s="2673">
        <f>-i_P_BIO</f>
        <v>-0.02</v>
      </c>
      <c r="AM140" s="2674">
        <f>0</f>
        <v>0</v>
      </c>
      <c r="AN140" s="2674">
        <f>0</f>
        <v>0</v>
      </c>
      <c r="AO140" s="2674">
        <f>0</f>
        <v>0</v>
      </c>
      <c r="AP140" s="2674">
        <f>0</f>
        <v>0</v>
      </c>
      <c r="AQ140" s="2674">
        <f>0</f>
        <v>0</v>
      </c>
      <c r="AR140" s="2674">
        <f>0</f>
        <v>0</v>
      </c>
      <c r="AS140" s="2674">
        <f>0</f>
        <v>0</v>
      </c>
      <c r="AT140" s="2674">
        <f>Y_OHO_H2_ana_high/Y_OHO_SB_poly_ana</f>
        <v>3.4999999999999996</v>
      </c>
      <c r="AU140" s="2754">
        <f>(i_CIT_SB_poly-i_CIT_VFA*(1-Y_OHO_SB_poly_ana-Y_OHO_H2_ana_high)-i_CIT_BIO*Y_OHO_SB_poly_ana)/Y_OHO_SB_poly_ana</f>
        <v>0.44549999999999956</v>
      </c>
      <c r="AV140" s="2673">
        <f>i_INORG</f>
        <v>0.11</v>
      </c>
      <c r="AW140" s="2673">
        <f>-i_INORG*(1-i_Ca_INORG*(A_MCa+2*A_MCl)/A_MCa-i_Mg_INORG*(A_MMg+2*A_MCl)/A_MMg)*f_Na</f>
        <v>-2.8804303582798466E-2</v>
      </c>
      <c r="AX140" s="2673">
        <f>-i_INORG*(i_Ca_INORG*(2*A_MCl)/A_MCa+i_Mg_INORG*(2*A_MCl)/A_MMg)-i_INORG*(1-i_Ca_INORG*(A_MCa+2*A_MCl)/A_MCa-i_Mg_INORG*(A_MMg+2*A_MCl)/A_MMg)*(1-f_Na)</f>
        <v>-7.0195696417201539E-2</v>
      </c>
      <c r="AY140" s="2673">
        <f>-i_INORG*i_Ca_INORG</f>
        <v>-5.5000000000000005E-3</v>
      </c>
      <c r="AZ140" s="2673">
        <f>-i_INORG*i_Mg_INORG</f>
        <v>-5.5000000000000005E-3</v>
      </c>
      <c r="BA140" s="2673">
        <f>0</f>
        <v>0</v>
      </c>
      <c r="BB140" s="2673">
        <f>0</f>
        <v>0</v>
      </c>
      <c r="BC140" s="2673">
        <f>0</f>
        <v>0</v>
      </c>
      <c r="BD140" s="2673">
        <f>0</f>
        <v>0</v>
      </c>
      <c r="BE140" s="2673">
        <f>0</f>
        <v>0</v>
      </c>
      <c r="BF140" s="2673">
        <f>0</f>
        <v>0</v>
      </c>
      <c r="BG140" s="2673">
        <f>0</f>
        <v>0</v>
      </c>
      <c r="BH140" s="2673">
        <f>0</f>
        <v>0</v>
      </c>
      <c r="BI140" s="2673">
        <f>0</f>
        <v>0</v>
      </c>
      <c r="BJ140" s="2763">
        <f>0</f>
        <v>0</v>
      </c>
      <c r="BK140" s="2763">
        <f>0</f>
        <v>0</v>
      </c>
      <c r="BL140" s="2763">
        <f>0</f>
        <v>0</v>
      </c>
      <c r="BM140" s="2763">
        <f>0</f>
        <v>0</v>
      </c>
      <c r="BN140" s="2763">
        <f>0</f>
        <v>0</v>
      </c>
      <c r="BO140" s="2763">
        <f>0</f>
        <v>0</v>
      </c>
      <c r="BP140" s="2763">
        <f>0</f>
        <v>0</v>
      </c>
      <c r="BQ140" s="2673">
        <f>0</f>
        <v>0</v>
      </c>
      <c r="BR140" s="2673">
        <f>0</f>
        <v>0</v>
      </c>
      <c r="BS140" s="2763">
        <f>0</f>
        <v>0</v>
      </c>
      <c r="BT140" s="2673">
        <f>0</f>
        <v>0</v>
      </c>
      <c r="BU140" s="2673">
        <f>0</f>
        <v>0</v>
      </c>
      <c r="BV140" s="2786">
        <f>0</f>
        <v>0</v>
      </c>
      <c r="BW140" s="2786">
        <f>0</f>
        <v>0</v>
      </c>
      <c r="BX140" s="2786">
        <f>0</f>
        <v>0</v>
      </c>
      <c r="BY140" s="2786">
        <f>0</f>
        <v>0</v>
      </c>
      <c r="BZ140" s="2673">
        <f>0</f>
        <v>0</v>
      </c>
      <c r="CA140" s="2673">
        <f>0</f>
        <v>0</v>
      </c>
      <c r="CB140" s="2796">
        <f>0</f>
        <v>0</v>
      </c>
      <c r="CC140" s="2673">
        <f>0</f>
        <v>0</v>
      </c>
      <c r="CD140" s="2673">
        <f>0</f>
        <v>0</v>
      </c>
      <c r="CE140" s="2673">
        <f>0</f>
        <v>0</v>
      </c>
      <c r="CF140" s="2673">
        <f>0</f>
        <v>0</v>
      </c>
      <c r="CG140" s="2673">
        <f>0</f>
        <v>0</v>
      </c>
      <c r="CH140" s="2673">
        <f>0</f>
        <v>0</v>
      </c>
      <c r="CI140" s="2673">
        <f>0</f>
        <v>0</v>
      </c>
      <c r="CJ140" s="2673">
        <f>0</f>
        <v>0</v>
      </c>
      <c r="CK140" s="2673">
        <f>0</f>
        <v>0</v>
      </c>
      <c r="CL140" s="2673">
        <f>0</f>
        <v>0</v>
      </c>
      <c r="CM140" s="2673">
        <f>0</f>
        <v>0</v>
      </c>
      <c r="CN140" s="2673">
        <f>0</f>
        <v>0</v>
      </c>
      <c r="CO140" s="2825">
        <f>µ_FERM_OHO_T*X_OHO*L_ogsatSVFA_KVFA_FERM*M_satSB_KSB_poly_ana*M_inhSO2_KO2_OHO*M_inhSNO2_KNO2_OHO*M_inhSNO3_KNO3_OHO*M_satSNHx_KNHx_BIO*M_satSPO4_KPO4_BIO*M_satSCAT_KCAT*M_satSAN_KAN*M_satSCa_KCa*M_satSMg_KMg*B_ellinhpH</f>
        <v>6.8543234182220976E-218</v>
      </c>
      <c r="CQ140" s="2650">
        <f>E248*E140+F248*F140+G248*G140+H248*H140+I248*I140+J248*J140+K248*K140+L248*L140+M248*M140+N248*N140+O248*O140+P248*P140+Q248*Q140+R248*R140+S248*S140+T248*T140+U248*U140+V248*V140+W248*W140+X248*X140+Y248*Y140+Z248*Z140+AA248*AA140+AB248*AB140+AC248*AC140+AD248*AD140+AE248*AE140+AF248*AF140+AG248*AG140+AH248*AH140+AI248*AI140+AJ248*AJ140+AK248*AK140+AL248*AL140+AM248*AM140+AN248*AN140+AO248*AO140+AP248*AP140+AQ248*AQ140+AR248*AR140+AS248*AS140+AT248*AT140+AU248*AU140+AV248*AV140+AW248*AW140+AX248*AX140+AY248*AY140+AZ248*AZ140+BA248*BA140+BB248*BB140+BC248*BC140+BD248*BD140+BE248*BE140+BF248*BF140+BG248*BG140+BH248*BH140+BI248*BI140+BJ248*BJ140+BK248*BK140+BL248*BL140+BM248*BM140+BN248*BN140+BO248*BO140+BP248*BP140+BQ248*BQ140+BR248*BR140+BS248*BS140+BT248*BT140+BU248*BU140+BV248*BV140+BW248*BW140+BX248*BX140+BY248*BY140+BZ248*BZ140+CA248*CA140+CB248*CB140+CC248*CC140+CD248*CD140+CE248*CE140+CF248*CF140+CG248*CG140+CH248*CH140+CI248*CI140+CJ248*CJ140+CK248*CK140+CL248*CL140+CM248*CM140+CN248*CN140</f>
        <v>-4.4408920985006262E-16</v>
      </c>
      <c r="CR140" s="2650">
        <f>E249*E140+F249*F140+G249*G140+H249*H140+I249*I140+J249*J140+K249*K140+L249*L140+M249*M140+N249*N140+O249*O140+P249*P140+Q249*Q140+R249*R140+S249*S140+T249*T140+U249*U140+V249*V140+W249*W140+X249*X140+Y249*Y140+Z249*Z140+AA249*AA140+AB249*AB140+AC249*AC140+AD249*AD140+AE249*AE140+AF249*AF140+AG249*AG140+AH249*AH140+AI249*AI140+AJ249*AJ140+AK249*AK140+AL249*AL140+AM249*AM140+AN249*AN140+AO249*AO140+AP249*AP140+AQ249*AQ140+AR249*AR140+AS249*AS140+AT249*AT140+AU249*AU140+AV249*AV140+AW249*AW140+AX249*AX140+AY249*AY140+AZ249*AZ140+BA249*BA140+BB249*BB140+BC249*BC140+BD249*BD140+BE249*BE140+BF249*BF140+BG249*BG140+BH249*BH140+BI249*BI140+BJ249*BJ140+BK249*BK140+BL249*BL140+BM249*BM140+BN249*BN140+BO249*BO140+BP249*BP140+BQ249*BQ140+BR249*BR140+BS249*BS140+BT249*BT140+BU249*BU140+BV249*BV140+BW249*BW140+BX249*BX140+BY249*BY140+BZ249*BZ140+CA249*CA140+CB249*CB140+CC249*CC140+CD249*CD140+CE249*CE140+CF249*CF140+CG249*CG140+CH249*CH140+CI249*CI140+CJ249*CJ140+CK249*CK140+CL249*CL140+CM249*CM140+CN249*CN140</f>
        <v>-3.3306690738754696E-16</v>
      </c>
      <c r="CS140" s="2651">
        <f>E250*E140+F250*F140+G250*G140+H250*H140+I250*I140+J250*J140+K250*K140+L250*L140+M250*M140+N250*N140+O250*O140+P250*P140+Q250*Q140+R250*R140+S250*S140+T250*T140+U250*U140+V250*V140+W250*W140+X250*X140+Y250*Y140+Z250*Z140+AA250*AA140+AB250*AB140+AC250*AC140+AD250*AD140+AE250*AE140+AF250*AF140+AG250*AG140+AH250*AH140+AI250*AI140+AJ250*AJ140+AK250*AK140+AL250*AL140+AM250*AM140+AN250*AN140+AO250*AO140+AP250*AP140+AQ250*AQ140+AR250*AR140+AS250*AS140+AT250*AT140+AU250*AU140+AV250*AV140+AW250*AW140+AX250*AX140+AY250*AY140+AZ250*AZ140+BA250*BA140+BB250*BB140+BC250*BC140+BD250*BD140+BE250*BE140+BF250*BF140+BG250*BG140+BH250*BH140+BI250*BI140+BJ250*BJ140+BK250*BK140+BL250*BL140+BM250*BM140+BN250*BN140+BO250*BO140+BP250*BP140+BQ250*BQ140+BR250*BR140+BS250*BS140+BT250*BT140+BU250*BU140+BV250*BV140+BW250*BW140+BX250*BX140+BY250*BY140+BZ250*BZ140+CA250*CA140+CB250*CB140+CC250*CC140+CD250*CD140+CE250*CE140+CF250*CF140+CG250*CG140+CH250*CH140+CI250*CI140+CJ250*CJ140+CK250*CK140+CL250*CL140+CM250*CM140+CN250*CN140</f>
        <v>0</v>
      </c>
      <c r="CT140" s="2652">
        <f>E251*E140+F251*F140+G251*G140+H251*H140+I251*I140+J251*J140+K251*K140+L251*L140+M251*M140+N251*N140+O251*O140+P251*P140+Q251*Q140+R251*R140+S251*S140+T251*T140+U251*U140+V251*V140+W251*W140+X251*X140+Y251*Y140+Z251*Z140+AA251*AA140+AB251*AB140+AC251*AC140+AD251*AD140+AE251*AE140+AF251*AF140+AG251*AG140+AH251*AH140+AI251*AI140+AJ251*AJ140+AK251*AK140+AL251*AL140+AM251*AM140+AN251*AN140+AO251*AO140+AP251*AP140+AQ251*AQ140+AR251*AR140+AS251*AS140+AT251*AT140+AU251*AU140+AV251*AV140+AW251*AW140+AX251*AX140+AY251*AY140+AZ251*AZ140+BA251*BA140+BB251*BB140+BC251*BC140+BD251*BD140+BE251*BE140+BF251*BF140+BG251*BG140+BH251*BH140+BI251*BI140+BJ251*BJ140+BK251*BK140+BL251*BL140+BM251*BM140+BN251*BN140+BO251*BO140+BP251*BP140+BQ251*BQ140+BR251*BR140+BS251*BS140+BT251*BT140+BU251*BU140+BV251*BV140+BW251*BW140+BX251*BX140+BY251*BY140+BZ251*BZ140+CA251*CA140+CB251*CB140+CC251*CC140+CD251*CD140+CE251*CE140+CF251*CF140+CG251*CG140+CH251*CH140+CI251*CI140+CJ251*CJ140+CK251*CK140+CL251*CL140+CM251*CM140+CN251*CN140</f>
        <v>0</v>
      </c>
      <c r="CU140" s="2652">
        <f>E252*E140+F252*F140+G252*G140+H252*H140+I252*I140+J252*J140+K252*K140+L252*L140+M252*M140+N252*N140+O252*O140+P252*P140+Q252*Q140+R252*R140+S252*S140+T252*T140+U252*U140+V252*V140+W252*W140+X252*X140+Y252*Y140+Z252*Z140+AA252*AA140+AB252*AB140+AC252*AC140+AD252*AD140+AE252*AE140+AF252*AF140+AG252*AG140+AH252*AH140+AI252*AI140+AJ252*AJ140+AK252*AK140+AL252*AL140+AM252*AM140+AN252*AN140+AO252*AO140+AP252*AP140+AQ252*AQ140+AR252*AR140+AS252*AS140+AT252*AT140+AU252*AU140+AV252*AV140+AW252*AW140+AX252*AX140+AY252*AY140+AZ252*AZ140+BA252*BA140+BB252*BB140+BC252*BC140+BD252*BD140+BE252*BE140+BF252*BF140+BG252*BG140+BH252*BH140+BI252*BI140+BJ252*BJ140+BK252*BK140+BL252*BL140+BM252*BM140+BN252*BN140+BO252*BO140+BP252*BP140+BQ252*BQ140+BR252*BR140+BS252*BS140+BT252*BT140+BU252*BU140+BV252*BV140+BW252*BW140+BX252*BX140+BY252*BY140+BZ252*BZ140+CA252*CA140+CB252*CB140+CC252*CC140+CD252*CD140+CE252*CE140+CF252*CF140+CG252*CG140+CH252*CH140+CI252*CI140+CJ252*CJ140+CK252*CK140+CL252*CL140+CM252*CM140+CN252*CN140</f>
        <v>0</v>
      </c>
      <c r="CV140" s="2652">
        <f>E253*E140+F253*F140+G253*G140+H253*H140+I253*I140+J253*J140+K253*K140+L253*L140+M253*M140+N253*N140+O253*O140+P253*P140+Q253*Q140+R253*R140+S253*S140+T253*T140+U253*U140+V253*V140+W253*W140+X253*X140+Y253*Y140+Z253*Z140+AA253*AA140+AB253*AB140+AC253*AC140+AD253*AD140+AE253*AE140+AF253*AF140+AG253*AG140+AH253*AH140+AI253*AI140+AJ253*AJ140+AK253*AK140+AL253*AL140+AM253*AM140+AN253*AN140+AO253*AO140+AP253*AP140+AQ253*AQ140+AR253*AR140+AS253*AS140+AT253*AT140+AU253*AU140+AV253*AV140+AW253*AW140+AX253*AX140+AY253*AY140+AZ253*AZ140+BA253*BA140+BB253*BB140+BC253*BC140+BD253*BD140+BE253*BE140+BF253*BF140+BG253*BG140+BH253*BH140+BI253*BI140+BJ253*BJ140+BK253*BK140+BL253*BL140+BM253*BM140+BN253*BN140+BO253*BO140+BP253*BP140+BQ253*BQ140+BR253*BR140+BS253*BS140+BT253*BT140+BU253*BU140+BV253*BV140+BW253*BW140+BX253*BX140+BY253*BY140+BZ253*BZ140+CA253*CA140+CB253*CB140+CC253*CC140+CD253*CD140+CE253*CE140+CF253*CF140+CG253*CG140+CH253*CH140+CI253*CI140+CJ253*CJ140+CK253*CK140+CL253*CL140+CM253*CM140+CN253*CN140</f>
        <v>0</v>
      </c>
      <c r="CW140" s="2652">
        <f>E254*E140+F254*F140+G254*G140+H254*H140+I254*I140+J254*J140+K254*K140+L254*L140+M254*M140+N254*N140+O254*O140+P254*P140+Q254*Q140+R254*R140+S254*S140+T254*T140+U254*U140+V254*V140+W254*W140+X254*X140+Y254*Y140+Z254*Z140+AA254*AA140+AB254*AB140+AC254*AC140+AD254*AD140+AE254*AE140+AF254*AF140+AG254*AG140+AH254*AH140+AI254*AI140+AJ254*AJ140+AK254*AK140+AL254*AL140+AM254*AM140+AN254*AN140+AO254*AO140+AP254*AP140+AQ254*AQ140+AR254*AR140+AS254*AS140+AT254*AT140+AU254*AU140+AV254*AV140+AW254*AW140+AX254*AX140+AY254*AY140+AZ254*AZ140+BA254*BA140+BB254*BB140+BC254*BC140+BD254*BD140+BE254*BE140+BF254*BF140+BG254*BG140+BH254*BH140+BI254*BI140+BJ254*BJ140+BK254*BK140+BL254*BL140+BM254*BM140+BN254*BN140+BO254*BO140+BP254*BP140+BQ254*BQ140+BR254*BR140+BS254*BS140+BT254*BT140+BU254*BU140+BV254*BV140+BW254*BW140+BX254*BX140+BY254*BY140+BZ254*BZ140+CA254*CA140+CB254*CB140+CC254*CC140+CD254*CD140+CE254*CE140+CF254*CF140+CG254*CG140+CH254*CH140+CI254*CI140+CJ254*CJ140+CK254*CK140+CL254*CL140+CM254*CM140+CN254*CN140</f>
        <v>0</v>
      </c>
      <c r="CX140" s="2652">
        <f>E255*E140+F255*F140+G255*G140+H255*H140+I255*I140+J255*J140+K255*K140+L255*L140+M255*M140+N255*N140+O255*O140+P255*P140+Q255*Q140+R255*R140+S255*S140+T255*T140+U255*U140+V255*V140+W255*W140+X255*X140+Y255*Y140+Z255*Z140+AA255*AA140+AB255*AB140+AC255*AC140+AD255*AD140+AE255*AE140+AF255*AF140+AG255*AG140+AH255*AH140+AI255*AI140+AJ255*AJ140+AK255*AK140+AL255*AL140+AM255*AM140+AN255*AN140+AO255*AO140+AP255*AP140+AQ255*AQ140+AR255*AR140+AS255*AS140+AT255*AT140+AU255*AU140+AV255*AV140+AW255*AW140+AX255*AX140+AY255*AY140+AZ255*AZ140+BA255*BA140+BB255*BB140+BC255*BC140+BD255*BD140+BE255*BE140+BF255*BF140+BG255*BG140+BH255*BH140+BI255*BI140+BJ255*BJ140+BK255*BK140+BL255*BL140+BM255*BM140+BN255*BN140+BO255*BO140+BP255*BP140+BQ255*BQ140+BR255*BR140+BS255*BS140+BT255*BT140+BU255*BU140+BV255*BV140+BW255*BW140+BX255*BX140+BY255*BY140+BZ255*BZ140+CA255*CA140+CB255*CB140+CC255*CC140+CD255*CD140+CE255*CE140+CF255*CF140+CG255*CG140+CH255*CH140+CI255*CI140+CJ255*CJ140+CK255*CK140+CL255*CL140+CM255*CM140+CN255*CN140</f>
        <v>0</v>
      </c>
      <c r="CY140" s="2652">
        <f>E256*E140+F256*F140+G256*G140+H256*H140+I256*I140+J256*J140+K256*K140+L256*L140+M256*M140+N256*N140+O256*O140+P256*P140+Q256*Q140+R256*R140+S256*S140+T256*T140+U256*U140+V256*V140+W256*W140+X256*X140+Y256*Y140+Z256*Z140+AA256*AA140+AB256*AB140+AC256*AC140+AD256*AD140+AE256*AE140+AF256*AF140+AG256*AG140+AH256*AH140+AI256*AI140+AJ256*AJ140+AK256*AK140+AL256*AL140+AM256*AM140+AN256*AN140+AO256*AO140+AP256*AP140+AQ256*AQ140+AR256*AR140+AS256*AS140+AT256*AT140+AU256*AU140+AV256*AV140+AW256*AW140+AX256*AX140+AY256*AY140+AZ256*AZ140+BA256*BA140+BB256*BB140+BC256*BC140+BD256*BD140+BE256*BE140+BF256*BF140+BG256*BG140+BH256*BH140+BI256*BI140+BJ256*BJ140+BK256*BK140+BL256*BL140+BM256*BM140+BN256*BN140+BO256*BO140+BP256*BP140+BQ256*BQ140+BR256*BR140+BS256*BS140+BT256*BT140+BU256*BU140+BV256*BV140+BW256*BW140+BX256*BX140+BY256*BY140+BZ256*BZ140+CA256*CA140+CB256*CB140+CC256*CC140+CD256*CD140+CE256*CE140+CF256*CF140+CG256*CG140+CH256*CH140+CI256*CI140+CJ256*CJ140+CK256*CK140+CL256*CL140+CM256*CM140+CN256*CN140</f>
        <v>0</v>
      </c>
      <c r="CZ140" s="2652">
        <f>E257*E140+F257*F140+G257*G140+H257*H140+I257*I140+J257*J140+K257*K140+L257*L140+M257*M140+N257*N140+O257*O140+P257*P140+Q257*Q140+R257*R140+S257*S140+T257*T140+U257*U140+V257*V140+W257*W140+X257*X140+Y257*Y140+Z257*Z140+AA257*AA140+AB257*AB140+AC257*AC140+AD257*AD140+AE257*AE140+AF257*AF140+AG257*AG140+AH257*AH140+AI257*AI140+AJ257*AJ140+AK257*AK140+AL257*AL140+AM257*AM140+AN257*AN140+AO257*AO140+AP257*AP140+AQ257*AQ140+AR257*AR140+AS257*AS140+AT257*AT140+AU257*AU140+AV257*AV140+AW257*AW140+AX257*AX140+AY257*AY140+AZ257*AZ140+BA257*BA140+BB257*BB140+BC257*BC140+BD257*BD140+BE257*BE140+BF257*BF140+BG257*BG140+BH257*BH140+BI257*BI140+BJ257*BJ140+BK257*BK140+BL257*BL140+BM257*BM140+BN257*BN140+BO257*BO140+BP257*BP140+BQ257*BQ140+BR257*BR140+BS257*BS140+BT257*BT140+BU257*BU140+BV257*BV140+BW257*BW140+BX257*BX140+BY257*BY140+BZ257*BZ140+CA257*CA140+CB257*CB140+CC257*CC140+CD257*CD140+CE257*CE140+CF257*CF140+CG257*CG140+CH257*CH140+CI257*CI140+CJ257*CJ140+CK257*CK140+CL257*CL140+CM257*CM140+CN257*CN140</f>
        <v>0</v>
      </c>
      <c r="DA140" s="2652">
        <f>E258*E140+F258*F140+G258*G140+H258*H140+I258*I140+J258*J140+K258*K140+L258*L140+M258*M140+N258*N140+O258*O140+P258*P140+Q258*Q140+R258*R140+S258*S140+T258*T140+U258*U140+V258*V140+W258*W140+X258*X140+Y258*Y140+Z258*Z140+AA258*AA140+AB258*AB140+AC258*AC140+AD258*AD140+AE258*AE140+AF258*AF140+AG258*AG140+AH258*AH140+AI258*AI140+AJ258*AJ140+AK258*AK140+AL258*AL140+AM258*AM140+AN258*AN140+AO258*AO140+AP258*AP140+AQ258*AQ140+AR258*AR140+AS258*AS140+AT258*AT140+AU258*AU140+AV258*AV140+AW258*AW140+AX258*AX140+AY258*AY140+AZ258*AZ140+BA258*BA140+BB258*BB140+BC258*BC140+BD258*BD140+BE258*BE140+BF258*BF140+BG258*BG140+BH258*BH140+BI258*BI140+BJ258*BJ140+BK258*BK140+BL258*BL140+BM258*BM140+BN258*BN140+BO258*BO140+BP258*BP140+BQ258*BQ140+BR258*BR140+BS258*BS140+BT258*BT140+BU258*BU140+BV258*BV140+BW258*BW140+BX258*BX140+BY258*BY140+BZ258*BZ140+CA258*CA140+CB258*CB140+CC258*CC140+CD258*CD140+CE258*CE140+CF258*CF140+CG258*CG140+CH258*CH140+CI258*CI140+CJ258*CJ140+CK258*CK140+CL258*CL140+CM258*CM140+CN258*CN140</f>
        <v>0</v>
      </c>
    </row>
    <row r="141" spans="2:105" ht="18" x14ac:dyDescent="0.35">
      <c r="B141" s="784">
        <v>8</v>
      </c>
      <c r="C141" s="785" t="s">
        <v>230</v>
      </c>
      <c r="D141" s="786" t="s">
        <v>2835</v>
      </c>
      <c r="E141" s="2674">
        <f>(1-Y_OHO_SB_poly_ana-Y_OHO_H2_ana_low)/Y_OHO_SB_poly_ana</f>
        <v>8</v>
      </c>
      <c r="F141" s="2674">
        <f>0</f>
        <v>0</v>
      </c>
      <c r="G141" s="2673">
        <f>-1/Y_OHO_SB_poly_ana</f>
        <v>-10</v>
      </c>
      <c r="H141" s="2674">
        <f>0</f>
        <v>0</v>
      </c>
      <c r="I141" s="2674">
        <f>0</f>
        <v>0</v>
      </c>
      <c r="J141" s="2674">
        <f>0</f>
        <v>0</v>
      </c>
      <c r="K141" s="2674">
        <f>0</f>
        <v>0</v>
      </c>
      <c r="L141" s="2674">
        <f>0</f>
        <v>0</v>
      </c>
      <c r="M141" s="2674">
        <f>0</f>
        <v>0</v>
      </c>
      <c r="N141" s="2674">
        <f>0</f>
        <v>0</v>
      </c>
      <c r="O141" s="2674">
        <f>0</f>
        <v>0</v>
      </c>
      <c r="P141" s="2674">
        <f>0</f>
        <v>0</v>
      </c>
      <c r="Q141" s="2674">
        <f>0</f>
        <v>0</v>
      </c>
      <c r="R141" s="2674">
        <f>0</f>
        <v>0</v>
      </c>
      <c r="S141" s="2674">
        <f>0</f>
        <v>0</v>
      </c>
      <c r="T141" s="2674">
        <f>1</f>
        <v>1</v>
      </c>
      <c r="U141" s="2674">
        <f>0</f>
        <v>0</v>
      </c>
      <c r="V141" s="2674">
        <f>0</f>
        <v>0</v>
      </c>
      <c r="W141" s="2674">
        <f>0</f>
        <v>0</v>
      </c>
      <c r="X141" s="2674">
        <f>0</f>
        <v>0</v>
      </c>
      <c r="Y141" s="2674">
        <f>0</f>
        <v>0</v>
      </c>
      <c r="Z141" s="2674">
        <f>0</f>
        <v>0</v>
      </c>
      <c r="AA141" s="2674">
        <f>0</f>
        <v>0</v>
      </c>
      <c r="AB141" s="2674">
        <f>0</f>
        <v>0</v>
      </c>
      <c r="AC141" s="2738">
        <f>0</f>
        <v>0</v>
      </c>
      <c r="AD141" s="2673">
        <f>-i_N_BIO</f>
        <v>-7.0000000000000007E-2</v>
      </c>
      <c r="AE141" s="2674">
        <f>0</f>
        <v>0</v>
      </c>
      <c r="AF141" s="2674">
        <f>0</f>
        <v>0</v>
      </c>
      <c r="AG141" s="2674">
        <f>0</f>
        <v>0</v>
      </c>
      <c r="AH141" s="2674">
        <f>0</f>
        <v>0</v>
      </c>
      <c r="AI141" s="2674">
        <f>0</f>
        <v>0</v>
      </c>
      <c r="AJ141" s="2674">
        <f>0</f>
        <v>0</v>
      </c>
      <c r="AK141" s="2674">
        <f>0</f>
        <v>0</v>
      </c>
      <c r="AL141" s="2673">
        <f>-i_P_BIO</f>
        <v>-0.02</v>
      </c>
      <c r="AM141" s="2674">
        <f>0</f>
        <v>0</v>
      </c>
      <c r="AN141" s="2674">
        <f>0</f>
        <v>0</v>
      </c>
      <c r="AO141" s="2674">
        <f>0</f>
        <v>0</v>
      </c>
      <c r="AP141" s="2674">
        <f>0</f>
        <v>0</v>
      </c>
      <c r="AQ141" s="2674">
        <f>0</f>
        <v>0</v>
      </c>
      <c r="AR141" s="2674">
        <f>0</f>
        <v>0</v>
      </c>
      <c r="AS141" s="2674">
        <f>0</f>
        <v>0</v>
      </c>
      <c r="AT141" s="2674">
        <f>Y_OHO_H2_ana_low/Y_OHO_SB_poly_ana</f>
        <v>1</v>
      </c>
      <c r="AU141" s="2754">
        <f>(i_CIT_SB_poly-i_CIT_VFA*(1-Y_OHO_SB_poly_ana-Y_OHO_H2_ana_low)-i_CIT_BIO*Y_OHO_SB_poly_ana)/Y_OHO_SB_poly_ana</f>
        <v>-0.49200000000000066</v>
      </c>
      <c r="AV141" s="2673">
        <f>i_INORG</f>
        <v>0.11</v>
      </c>
      <c r="AW141" s="2673">
        <f>-i_INORG*(1-i_Ca_INORG*(A_MCa+2*A_MCl)/A_MCa-i_Mg_INORG*(A_MMg+2*A_MCl)/A_MMg)*f_Na</f>
        <v>-2.8804303582798466E-2</v>
      </c>
      <c r="AX141" s="2673">
        <f>-i_INORG*(i_Ca_INORG*(2*A_MCl)/A_MCa+i_Mg_INORG*(2*A_MCl)/A_MMg)-i_INORG*(1-i_Ca_INORG*(A_MCa+2*A_MCl)/A_MCa-i_Mg_INORG*(A_MMg+2*A_MCl)/A_MMg)*(1-f_Na)</f>
        <v>-7.0195696417201539E-2</v>
      </c>
      <c r="AY141" s="2673">
        <f>-i_INORG*i_Ca_INORG</f>
        <v>-5.5000000000000005E-3</v>
      </c>
      <c r="AZ141" s="2673">
        <f>-i_INORG*i_Mg_INORG</f>
        <v>-5.5000000000000005E-3</v>
      </c>
      <c r="BA141" s="2673">
        <f>0</f>
        <v>0</v>
      </c>
      <c r="BB141" s="2673">
        <f>0</f>
        <v>0</v>
      </c>
      <c r="BC141" s="2673">
        <f>0</f>
        <v>0</v>
      </c>
      <c r="BD141" s="2673">
        <f>0</f>
        <v>0</v>
      </c>
      <c r="BE141" s="2673">
        <f>0</f>
        <v>0</v>
      </c>
      <c r="BF141" s="2673">
        <f>0</f>
        <v>0</v>
      </c>
      <c r="BG141" s="2673">
        <f>0</f>
        <v>0</v>
      </c>
      <c r="BH141" s="2673">
        <f>0</f>
        <v>0</v>
      </c>
      <c r="BI141" s="2673">
        <f>0</f>
        <v>0</v>
      </c>
      <c r="BJ141" s="2763">
        <f>0</f>
        <v>0</v>
      </c>
      <c r="BK141" s="2763">
        <f>0</f>
        <v>0</v>
      </c>
      <c r="BL141" s="2763">
        <f>0</f>
        <v>0</v>
      </c>
      <c r="BM141" s="2763">
        <f>0</f>
        <v>0</v>
      </c>
      <c r="BN141" s="2763">
        <f>0</f>
        <v>0</v>
      </c>
      <c r="BO141" s="2763">
        <f>0</f>
        <v>0</v>
      </c>
      <c r="BP141" s="2763">
        <f>0</f>
        <v>0</v>
      </c>
      <c r="BQ141" s="2673">
        <f>0</f>
        <v>0</v>
      </c>
      <c r="BR141" s="2673">
        <f>0</f>
        <v>0</v>
      </c>
      <c r="BS141" s="2763">
        <f>0</f>
        <v>0</v>
      </c>
      <c r="BT141" s="2673">
        <f>0</f>
        <v>0</v>
      </c>
      <c r="BU141" s="2673">
        <f>0</f>
        <v>0</v>
      </c>
      <c r="BV141" s="2786">
        <f>0</f>
        <v>0</v>
      </c>
      <c r="BW141" s="2786">
        <f>0</f>
        <v>0</v>
      </c>
      <c r="BX141" s="2786">
        <f>0</f>
        <v>0</v>
      </c>
      <c r="BY141" s="2786">
        <f>0</f>
        <v>0</v>
      </c>
      <c r="BZ141" s="2673">
        <f>0</f>
        <v>0</v>
      </c>
      <c r="CA141" s="2673">
        <f>0</f>
        <v>0</v>
      </c>
      <c r="CB141" s="2796">
        <f>0</f>
        <v>0</v>
      </c>
      <c r="CC141" s="2673">
        <f>0</f>
        <v>0</v>
      </c>
      <c r="CD141" s="2673">
        <f>0</f>
        <v>0</v>
      </c>
      <c r="CE141" s="2673">
        <f>0</f>
        <v>0</v>
      </c>
      <c r="CF141" s="2673">
        <f>0</f>
        <v>0</v>
      </c>
      <c r="CG141" s="2673">
        <f>0</f>
        <v>0</v>
      </c>
      <c r="CH141" s="2673">
        <f>0</f>
        <v>0</v>
      </c>
      <c r="CI141" s="2673">
        <f>0</f>
        <v>0</v>
      </c>
      <c r="CJ141" s="2673">
        <f>0</f>
        <v>0</v>
      </c>
      <c r="CK141" s="2673">
        <f>0</f>
        <v>0</v>
      </c>
      <c r="CL141" s="2673">
        <f>0</f>
        <v>0</v>
      </c>
      <c r="CM141" s="2673">
        <f>0</f>
        <v>0</v>
      </c>
      <c r="CN141" s="2673">
        <f>0</f>
        <v>0</v>
      </c>
      <c r="CO141" s="2825">
        <f>µ_FERM_OHO_T*X_OHO*L_oginhSVFA_KVFA_FERM*M_satSB_KSB_poly_ana*M_inhSO2_KO2_OHO*M_inhSNO2_KNO2_OHO*M_inhSNO3_KNO3_OHO*M_satSNHx_KNHx_BIO*M_satSPO4_KPO4_BIO*M_satSCAT_KCAT*M_satSAN_KAN*M_satSCa_KCa*M_satSMg_KMg*M_satSCO2_KCO2_BIO*B_ellinhpH</f>
        <v>0.15066533012923486</v>
      </c>
      <c r="CQ141" s="2650">
        <f>E248*E141+F248*F141+G248*G141+H248*H141+I248*I141+J248*J141+K248*K141+L248*L141+M248*M141+N248*N141+O248*O141+P248*P141+Q248*Q141+R248*R141+S248*S141+T248*T141+U248*U141+V248*V141+W248*W141+X248*X141+Y248*Y141+Z248*Z141+AA248*AA141+AB248*AB141+AC248*AC141+AD248*AD141+AE248*AE141+AF248*AF141+AG248*AG141+AH248*AH141+AI248*AI141+AJ248*AJ141+AK248*AK141+AL248*AL141+AM248*AM141+AN248*AN141+AO248*AO141+AP248*AP141+AQ248*AQ141+AR248*AR141+AS248*AS141+AT248*AT141+AU248*AU141+AV248*AV141+AW248*AW141+AX248*AX141+AY248*AY141+AZ248*AZ141+BA248*BA141+BB248*BB141+BC248*BC141+BD248*BD141+BE248*BE141+BF248*BF141+BG248*BG141+BH248*BH141+BI248*BI141+BJ248*BJ141+BK248*BK141+BL248*BL141+BM248*BM141+BN248*BN141+BO248*BO141+BP248*BP141+BQ248*BQ141+BR248*BR141+BS248*BS141+BT248*BT141+BU248*BU141+BV248*BV141+BW248*BW141+BX248*BX141+BY248*BY141+BZ248*BZ141+CA248*CA141+CB248*CB141+CC248*CC141+CD248*CD141+CE248*CE141+CF248*CF141+CG248*CG141+CH248*CH141+CI248*CI141+CJ248*CJ141+CK248*CK141+CL248*CL141+CM248*CM141+CN248*CN141</f>
        <v>0</v>
      </c>
      <c r="CR141" s="2650">
        <f>E249*E141+F249*F141+G249*G141+H249*H141+I249*I141+J249*J141+K249*K141+L249*L141+M249*M141+N249*N141+O249*O141+P249*P141+Q249*Q141+R249*R141+S249*S141+T249*T141+U249*U141+V249*V141+W249*W141+X249*X141+Y249*Y141+Z249*Z141+AA249*AA141+AB249*AB141+AC249*AC141+AD249*AD141+AE249*AE141+AF249*AF141+AG249*AG141+AH249*AH141+AI249*AI141+AJ249*AJ141+AK249*AK141+AL249*AL141+AM249*AM141+AN249*AN141+AO249*AO141+AP249*AP141+AQ249*AQ141+AR249*AR141+AS249*AS141+AT249*AT141+AU249*AU141+AV249*AV141+AW249*AW141+AX249*AX141+AY249*AY141+AZ249*AZ141+BA249*BA141+BB249*BB141+BC249*BC141+BD249*BD141+BE249*BE141+BF249*BF141+BG249*BG141+BH249*BH141+BI249*BI141+BJ249*BJ141+BK249*BK141+BL249*BL141+BM249*BM141+BN249*BN141+BO249*BO141+BP249*BP141+BQ249*BQ141+BR249*BR141+BS249*BS141+BT249*BT141+BU249*BU141+BV249*BV141+BW249*BW141+BX249*BX141+BY249*BY141+BZ249*BZ141+CA249*CA141+CB249*CB141+CC249*CC141+CD249*CD141+CE249*CE141+CF249*CF141+CG249*CG141+CH249*CH141+CI249*CI141+CJ249*CJ141+CK249*CK141+CL249*CL141+CM249*CM141+CN249*CN141</f>
        <v>-5.5511151231257827E-16</v>
      </c>
      <c r="CS141" s="2651">
        <f>E250*E141+F250*F141+G250*G141+H250*H141+I250*I141+J250*J141+K250*K141+L250*L141+M250*M141+N250*N141+O250*O141+P250*P141+Q250*Q141+R250*R141+S250*S141+T250*T141+U250*U141+V250*V141+W250*W141+X250*X141+Y250*Y141+Z250*Z141+AA250*AA141+AB250*AB141+AC250*AC141+AD250*AD141+AE250*AE141+AF250*AF141+AG250*AG141+AH250*AH141+AI250*AI141+AJ250*AJ141+AK250*AK141+AL250*AL141+AM250*AM141+AN250*AN141+AO250*AO141+AP250*AP141+AQ250*AQ141+AR250*AR141+AS250*AS141+AT250*AT141+AU250*AU141+AV250*AV141+AW250*AW141+AX250*AX141+AY250*AY141+AZ250*AZ141+BA250*BA141+BB250*BB141+BC250*BC141+BD250*BD141+BE250*BE141+BF250*BF141+BG250*BG141+BH250*BH141+BI250*BI141+BJ250*BJ141+BK250*BK141+BL250*BL141+BM250*BM141+BN250*BN141+BO250*BO141+BP250*BP141+BQ250*BQ141+BR250*BR141+BS250*BS141+BT250*BT141+BU250*BU141+BV250*BV141+BW250*BW141+BX250*BX141+BY250*BY141+BZ250*BZ141+CA250*CA141+CB250*CB141+CC250*CC141+CD250*CD141+CE250*CE141+CF250*CF141+CG250*CG141+CH250*CH141+CI250*CI141+CJ250*CJ141+CK250*CK141+CL250*CL141+CM250*CM141+CN250*CN141</f>
        <v>0</v>
      </c>
      <c r="CT141" s="2652">
        <f>E251*E141+F251*F141+G251*G141+H251*H141+I251*I141+J251*J141+K251*K141+L251*L141+M251*M141+N251*N141+O251*O141+P251*P141+Q251*Q141+R251*R141+S251*S141+T251*T141+U251*U141+V251*V141+W251*W141+X251*X141+Y251*Y141+Z251*Z141+AA251*AA141+AB251*AB141+AC251*AC141+AD251*AD141+AE251*AE141+AF251*AF141+AG251*AG141+AH251*AH141+AI251*AI141+AJ251*AJ141+AK251*AK141+AL251*AL141+AM251*AM141+AN251*AN141+AO251*AO141+AP251*AP141+AQ251*AQ141+AR251*AR141+AS251*AS141+AT251*AT141+AU251*AU141+AV251*AV141+AW251*AW141+AX251*AX141+AY251*AY141+AZ251*AZ141+BA251*BA141+BB251*BB141+BC251*BC141+BD251*BD141+BE251*BE141+BF251*BF141+BG251*BG141+BH251*BH141+BI251*BI141+BJ251*BJ141+BK251*BK141+BL251*BL141+BM251*BM141+BN251*BN141+BO251*BO141+BP251*BP141+BQ251*BQ141+BR251*BR141+BS251*BS141+BT251*BT141+BU251*BU141+BV251*BV141+BW251*BW141+BX251*BX141+BY251*BY141+BZ251*BZ141+CA251*CA141+CB251*CB141+CC251*CC141+CD251*CD141+CE251*CE141+CF251*CF141+CG251*CG141+CH251*CH141+CI251*CI141+CJ251*CJ141+CK251*CK141+CL251*CL141+CM251*CM141+CN251*CN141</f>
        <v>0</v>
      </c>
      <c r="CU141" s="2652">
        <f>E252*E141+F252*F141+G252*G141+H252*H141+I252*I141+J252*J141+K252*K141+L252*L141+M252*M141+N252*N141+O252*O141+P252*P141+Q252*Q141+R252*R141+S252*S141+T252*T141+U252*U141+V252*V141+W252*W141+X252*X141+Y252*Y141+Z252*Z141+AA252*AA141+AB252*AB141+AC252*AC141+AD252*AD141+AE252*AE141+AF252*AF141+AG252*AG141+AH252*AH141+AI252*AI141+AJ252*AJ141+AK252*AK141+AL252*AL141+AM252*AM141+AN252*AN141+AO252*AO141+AP252*AP141+AQ252*AQ141+AR252*AR141+AS252*AS141+AT252*AT141+AU252*AU141+AV252*AV141+AW252*AW141+AX252*AX141+AY252*AY141+AZ252*AZ141+BA252*BA141+BB252*BB141+BC252*BC141+BD252*BD141+BE252*BE141+BF252*BF141+BG252*BG141+BH252*BH141+BI252*BI141+BJ252*BJ141+BK252*BK141+BL252*BL141+BM252*BM141+BN252*BN141+BO252*BO141+BP252*BP141+BQ252*BQ141+BR252*BR141+BS252*BS141+BT252*BT141+BU252*BU141+BV252*BV141+BW252*BW141+BX252*BX141+BY252*BY141+BZ252*BZ141+CA252*CA141+CB252*CB141+CC252*CC141+CD252*CD141+CE252*CE141+CF252*CF141+CG252*CG141+CH252*CH141+CI252*CI141+CJ252*CJ141+CK252*CK141+CL252*CL141+CM252*CM141+CN252*CN141</f>
        <v>0</v>
      </c>
      <c r="CV141" s="2652">
        <f>E253*E141+F253*F141+G253*G141+H253*H141+I253*I141+J253*J141+K253*K141+L253*L141+M253*M141+N253*N141+O253*O141+P253*P141+Q253*Q141+R253*R141+S253*S141+T253*T141+U253*U141+V253*V141+W253*W141+X253*X141+Y253*Y141+Z253*Z141+AA253*AA141+AB253*AB141+AC253*AC141+AD253*AD141+AE253*AE141+AF253*AF141+AG253*AG141+AH253*AH141+AI253*AI141+AJ253*AJ141+AK253*AK141+AL253*AL141+AM253*AM141+AN253*AN141+AO253*AO141+AP253*AP141+AQ253*AQ141+AR253*AR141+AS253*AS141+AT253*AT141+AU253*AU141+AV253*AV141+AW253*AW141+AX253*AX141+AY253*AY141+AZ253*AZ141+BA253*BA141+BB253*BB141+BC253*BC141+BD253*BD141+BE253*BE141+BF253*BF141+BG253*BG141+BH253*BH141+BI253*BI141+BJ253*BJ141+BK253*BK141+BL253*BL141+BM253*BM141+BN253*BN141+BO253*BO141+BP253*BP141+BQ253*BQ141+BR253*BR141+BS253*BS141+BT253*BT141+BU253*BU141+BV253*BV141+BW253*BW141+BX253*BX141+BY253*BY141+BZ253*BZ141+CA253*CA141+CB253*CB141+CC253*CC141+CD253*CD141+CE253*CE141+CF253*CF141+CG253*CG141+CH253*CH141+CI253*CI141+CJ253*CJ141+CK253*CK141+CL253*CL141+CM253*CM141+CN253*CN141</f>
        <v>0</v>
      </c>
      <c r="CW141" s="2652">
        <f>E254*E141+F254*F141+G254*G141+H254*H141+I254*I141+J254*J141+K254*K141+L254*L141+M254*M141+N254*N141+O254*O141+P254*P141+Q254*Q141+R254*R141+S254*S141+T254*T141+U254*U141+V254*V141+W254*W141+X254*X141+Y254*Y141+Z254*Z141+AA254*AA141+AB254*AB141+AC254*AC141+AD254*AD141+AE254*AE141+AF254*AF141+AG254*AG141+AH254*AH141+AI254*AI141+AJ254*AJ141+AK254*AK141+AL254*AL141+AM254*AM141+AN254*AN141+AO254*AO141+AP254*AP141+AQ254*AQ141+AR254*AR141+AS254*AS141+AT254*AT141+AU254*AU141+AV254*AV141+AW254*AW141+AX254*AX141+AY254*AY141+AZ254*AZ141+BA254*BA141+BB254*BB141+BC254*BC141+BD254*BD141+BE254*BE141+BF254*BF141+BG254*BG141+BH254*BH141+BI254*BI141+BJ254*BJ141+BK254*BK141+BL254*BL141+BM254*BM141+BN254*BN141+BO254*BO141+BP254*BP141+BQ254*BQ141+BR254*BR141+BS254*BS141+BT254*BT141+BU254*BU141+BV254*BV141+BW254*BW141+BX254*BX141+BY254*BY141+BZ254*BZ141+CA254*CA141+CB254*CB141+CC254*CC141+CD254*CD141+CE254*CE141+CF254*CF141+CG254*CG141+CH254*CH141+CI254*CI141+CJ254*CJ141+CK254*CK141+CL254*CL141+CM254*CM141+CN254*CN141</f>
        <v>0</v>
      </c>
      <c r="CX141" s="2652">
        <f>E255*E141+F255*F141+G255*G141+H255*H141+I255*I141+J255*J141+K255*K141+L255*L141+M255*M141+N255*N141+O255*O141+P255*P141+Q255*Q141+R255*R141+S255*S141+T255*T141+U255*U141+V255*V141+W255*W141+X255*X141+Y255*Y141+Z255*Z141+AA255*AA141+AB255*AB141+AC255*AC141+AD255*AD141+AE255*AE141+AF255*AF141+AG255*AG141+AH255*AH141+AI255*AI141+AJ255*AJ141+AK255*AK141+AL255*AL141+AM255*AM141+AN255*AN141+AO255*AO141+AP255*AP141+AQ255*AQ141+AR255*AR141+AS255*AS141+AT255*AT141+AU255*AU141+AV255*AV141+AW255*AW141+AX255*AX141+AY255*AY141+AZ255*AZ141+BA255*BA141+BB255*BB141+BC255*BC141+BD255*BD141+BE255*BE141+BF255*BF141+BG255*BG141+BH255*BH141+BI255*BI141+BJ255*BJ141+BK255*BK141+BL255*BL141+BM255*BM141+BN255*BN141+BO255*BO141+BP255*BP141+BQ255*BQ141+BR255*BR141+BS255*BS141+BT255*BT141+BU255*BU141+BV255*BV141+BW255*BW141+BX255*BX141+BY255*BY141+BZ255*BZ141+CA255*CA141+CB255*CB141+CC255*CC141+CD255*CD141+CE255*CE141+CF255*CF141+CG255*CG141+CH255*CH141+CI255*CI141+CJ255*CJ141+CK255*CK141+CL255*CL141+CM255*CM141+CN255*CN141</f>
        <v>0</v>
      </c>
      <c r="CY141" s="2652">
        <f>E256*E141+F256*F141+G256*G141+H256*H141+I256*I141+J256*J141+K256*K141+L256*L141+M256*M141+N256*N141+O256*O141+P256*P141+Q256*Q141+R256*R141+S256*S141+T256*T141+U256*U141+V256*V141+W256*W141+X256*X141+Y256*Y141+Z256*Z141+AA256*AA141+AB256*AB141+AC256*AC141+AD256*AD141+AE256*AE141+AF256*AF141+AG256*AG141+AH256*AH141+AI256*AI141+AJ256*AJ141+AK256*AK141+AL256*AL141+AM256*AM141+AN256*AN141+AO256*AO141+AP256*AP141+AQ256*AQ141+AR256*AR141+AS256*AS141+AT256*AT141+AU256*AU141+AV256*AV141+AW256*AW141+AX256*AX141+AY256*AY141+AZ256*AZ141+BA256*BA141+BB256*BB141+BC256*BC141+BD256*BD141+BE256*BE141+BF256*BF141+BG256*BG141+BH256*BH141+BI256*BI141+BJ256*BJ141+BK256*BK141+BL256*BL141+BM256*BM141+BN256*BN141+BO256*BO141+BP256*BP141+BQ256*BQ141+BR256*BR141+BS256*BS141+BT256*BT141+BU256*BU141+BV256*BV141+BW256*BW141+BX256*BX141+BY256*BY141+BZ256*BZ141+CA256*CA141+CB256*CB141+CC256*CC141+CD256*CD141+CE256*CE141+CF256*CF141+CG256*CG141+CH256*CH141+CI256*CI141+CJ256*CJ141+CK256*CK141+CL256*CL141+CM256*CM141+CN256*CN141</f>
        <v>0</v>
      </c>
      <c r="CZ141" s="2652">
        <f>E257*E141+F257*F141+G257*G141+H257*H141+I257*I141+J257*J141+K257*K141+L257*L141+M257*M141+N257*N141+O257*O141+P257*P141+Q257*Q141+R257*R141+S257*S141+T257*T141+U257*U141+V257*V141+W257*W141+X257*X141+Y257*Y141+Z257*Z141+AA257*AA141+AB257*AB141+AC257*AC141+AD257*AD141+AE257*AE141+AF257*AF141+AG257*AG141+AH257*AH141+AI257*AI141+AJ257*AJ141+AK257*AK141+AL257*AL141+AM257*AM141+AN257*AN141+AO257*AO141+AP257*AP141+AQ257*AQ141+AR257*AR141+AS257*AS141+AT257*AT141+AU257*AU141+AV257*AV141+AW257*AW141+AX257*AX141+AY257*AY141+AZ257*AZ141+BA257*BA141+BB257*BB141+BC257*BC141+BD257*BD141+BE257*BE141+BF257*BF141+BG257*BG141+BH257*BH141+BI257*BI141+BJ257*BJ141+BK257*BK141+BL257*BL141+BM257*BM141+BN257*BN141+BO257*BO141+BP257*BP141+BQ257*BQ141+BR257*BR141+BS257*BS141+BT257*BT141+BU257*BU141+BV257*BV141+BW257*BW141+BX257*BX141+BY257*BY141+BZ257*BZ141+CA257*CA141+CB257*CB141+CC257*CC141+CD257*CD141+CE257*CE141+CF257*CF141+CG257*CG141+CH257*CH141+CI257*CI141+CJ257*CJ141+CK257*CK141+CL257*CL141+CM257*CM141+CN257*CN141</f>
        <v>0</v>
      </c>
      <c r="DA141" s="2652">
        <f>E258*E141+F258*F141+G258*G141+H258*H141+I258*I141+J258*J141+K258*K141+L258*L141+M258*M141+N258*N141+O258*O141+P258*P141+Q258*Q141+R258*R141+S258*S141+T258*T141+U258*U141+V258*V141+W258*W141+X258*X141+Y258*Y141+Z258*Z141+AA258*AA141+AB258*AB141+AC258*AC141+AD258*AD141+AE258*AE141+AF258*AF141+AG258*AG141+AH258*AH141+AI258*AI141+AJ258*AJ141+AK258*AK141+AL258*AL141+AM258*AM141+AN258*AN141+AO258*AO141+AP258*AP141+AQ258*AQ141+AR258*AR141+AS258*AS141+AT258*AT141+AU258*AU141+AV258*AV141+AW258*AW141+AX258*AX141+AY258*AY141+AZ258*AZ141+BA258*BA141+BB258*BB141+BC258*BC141+BD258*BD141+BE258*BE141+BF258*BF141+BG258*BG141+BH258*BH141+BI258*BI141+BJ258*BJ141+BK258*BK141+BL258*BL141+BM258*BM141+BN258*BN141+BO258*BO141+BP258*BP141+BQ258*BQ141+BR258*BR141+BS258*BS141+BT258*BT141+BU258*BU141+BV258*BV141+BW258*BW141+BX258*BX141+BY258*BY141+BZ258*BZ141+CA258*CA141+CB258*CB141+CC258*CC141+CD258*CD141+CE258*CE141+CF258*CF141+CG258*CG141+CH258*CH141+CI258*CI141+CJ258*CJ141+CK258*CK141+CL258*CL141+CM258*CM141+CN258*CN141</f>
        <v>0</v>
      </c>
    </row>
    <row r="142" spans="2:105" ht="18" x14ac:dyDescent="0.35">
      <c r="B142" s="784">
        <v>9</v>
      </c>
      <c r="C142" s="785" t="s">
        <v>231</v>
      </c>
      <c r="D142" s="786" t="s">
        <v>1665</v>
      </c>
      <c r="E142" s="2674">
        <f>0</f>
        <v>0</v>
      </c>
      <c r="F142" s="2674">
        <f>0</f>
        <v>0</v>
      </c>
      <c r="G142" s="2674">
        <f>0</f>
        <v>0</v>
      </c>
      <c r="H142" s="2673">
        <f>-1/Y_OHO_SMEOL_ox</f>
        <v>-2.5</v>
      </c>
      <c r="I142" s="2674">
        <f>0</f>
        <v>0</v>
      </c>
      <c r="J142" s="2674">
        <f>0</f>
        <v>0</v>
      </c>
      <c r="K142" s="2674">
        <f>0</f>
        <v>0</v>
      </c>
      <c r="L142" s="2674">
        <f>0</f>
        <v>0</v>
      </c>
      <c r="M142" s="2674">
        <f>0</f>
        <v>0</v>
      </c>
      <c r="N142" s="2674">
        <f>0</f>
        <v>0</v>
      </c>
      <c r="O142" s="2674">
        <f>0</f>
        <v>0</v>
      </c>
      <c r="P142" s="2674">
        <f>0</f>
        <v>0</v>
      </c>
      <c r="Q142" s="2674">
        <f>0</f>
        <v>0</v>
      </c>
      <c r="R142" s="2674">
        <f>0</f>
        <v>0</v>
      </c>
      <c r="S142" s="2674">
        <f>0</f>
        <v>0</v>
      </c>
      <c r="T142" s="2674">
        <f>1</f>
        <v>1</v>
      </c>
      <c r="U142" s="2674">
        <f>0</f>
        <v>0</v>
      </c>
      <c r="V142" s="2674">
        <f>0</f>
        <v>0</v>
      </c>
      <c r="W142" s="2674">
        <f>0</f>
        <v>0</v>
      </c>
      <c r="X142" s="2674">
        <f>0</f>
        <v>0</v>
      </c>
      <c r="Y142" s="2674">
        <f>0</f>
        <v>0</v>
      </c>
      <c r="Z142" s="2674">
        <f>0</f>
        <v>0</v>
      </c>
      <c r="AA142" s="2674">
        <f>0</f>
        <v>0</v>
      </c>
      <c r="AB142" s="2674">
        <f>0</f>
        <v>0</v>
      </c>
      <c r="AC142" s="2738">
        <f>0</f>
        <v>0</v>
      </c>
      <c r="AD142" s="2673">
        <f>-i_N_BIO</f>
        <v>-7.0000000000000007E-2</v>
      </c>
      <c r="AE142" s="2674">
        <f>0</f>
        <v>0</v>
      </c>
      <c r="AF142" s="2674">
        <f>0</f>
        <v>0</v>
      </c>
      <c r="AG142" s="2674">
        <f>0</f>
        <v>0</v>
      </c>
      <c r="AH142" s="2674">
        <f>0</f>
        <v>0</v>
      </c>
      <c r="AI142" s="2674">
        <f>0</f>
        <v>0</v>
      </c>
      <c r="AJ142" s="2674">
        <f>0</f>
        <v>0</v>
      </c>
      <c r="AK142" s="2674">
        <f>0</f>
        <v>0</v>
      </c>
      <c r="AL142" s="2673">
        <f>-i_P_BIO</f>
        <v>-0.02</v>
      </c>
      <c r="AM142" s="2674">
        <f>0</f>
        <v>0</v>
      </c>
      <c r="AN142" s="2674">
        <f>0</f>
        <v>0</v>
      </c>
      <c r="AO142" s="2674">
        <f>0</f>
        <v>0</v>
      </c>
      <c r="AP142" s="2674">
        <f>0</f>
        <v>0</v>
      </c>
      <c r="AQ142" s="2674">
        <f>0</f>
        <v>0</v>
      </c>
      <c r="AR142" s="2673">
        <f>-(1-Y_OHO_SMEOL_ox)/Y_OHO_SMEOL_ox</f>
        <v>-1.4999999999999998</v>
      </c>
      <c r="AS142" s="2673">
        <f>0</f>
        <v>0</v>
      </c>
      <c r="AT142" s="2673">
        <f>0</f>
        <v>0</v>
      </c>
      <c r="AU142" s="2673">
        <f>i_CIT_MEOL/Y_OHO_SMEOL_ox-i_CIT_BIO</f>
        <v>0.27300000000000002</v>
      </c>
      <c r="AV142" s="2673">
        <f>i_INORG</f>
        <v>0.11</v>
      </c>
      <c r="AW142" s="2673">
        <f>-i_INORG*(1-i_Ca_INORG*(A_MCa+2*A_MCl)/A_MCa-i_Mg_INORG*(A_MMg+2*A_MCl)/A_MMg)*f_Na</f>
        <v>-2.8804303582798466E-2</v>
      </c>
      <c r="AX142" s="2673">
        <f>-i_INORG*(i_Ca_INORG*(2*A_MCl)/A_MCa+i_Mg_INORG*(2*A_MCl)/A_MMg)-i_INORG*(1-i_Ca_INORG*(A_MCa+2*A_MCl)/A_MCa-i_Mg_INORG*(A_MMg+2*A_MCl)/A_MMg)*(1-f_Na)</f>
        <v>-7.0195696417201539E-2</v>
      </c>
      <c r="AY142" s="2673">
        <f>-i_INORG*i_Ca_INORG</f>
        <v>-5.5000000000000005E-3</v>
      </c>
      <c r="AZ142" s="2673">
        <f>-i_INORG*i_Mg_INORG</f>
        <v>-5.5000000000000005E-3</v>
      </c>
      <c r="BA142" s="2673">
        <f>0</f>
        <v>0</v>
      </c>
      <c r="BB142" s="2673">
        <f>0</f>
        <v>0</v>
      </c>
      <c r="BC142" s="2673">
        <f>0</f>
        <v>0</v>
      </c>
      <c r="BD142" s="2673">
        <f>0</f>
        <v>0</v>
      </c>
      <c r="BE142" s="2673">
        <f>0</f>
        <v>0</v>
      </c>
      <c r="BF142" s="2673">
        <f>0</f>
        <v>0</v>
      </c>
      <c r="BG142" s="2673">
        <f>0</f>
        <v>0</v>
      </c>
      <c r="BH142" s="2673">
        <f>0</f>
        <v>0</v>
      </c>
      <c r="BI142" s="2673">
        <f>0</f>
        <v>0</v>
      </c>
      <c r="BJ142" s="2763">
        <f>0</f>
        <v>0</v>
      </c>
      <c r="BK142" s="2763">
        <f>0</f>
        <v>0</v>
      </c>
      <c r="BL142" s="2763">
        <f>0</f>
        <v>0</v>
      </c>
      <c r="BM142" s="2763">
        <f>0</f>
        <v>0</v>
      </c>
      <c r="BN142" s="2763">
        <f>0</f>
        <v>0</v>
      </c>
      <c r="BO142" s="2763">
        <f>0</f>
        <v>0</v>
      </c>
      <c r="BP142" s="2763">
        <f>0</f>
        <v>0</v>
      </c>
      <c r="BQ142" s="2673">
        <f>0</f>
        <v>0</v>
      </c>
      <c r="BR142" s="2673">
        <f>0</f>
        <v>0</v>
      </c>
      <c r="BS142" s="2763">
        <f>0</f>
        <v>0</v>
      </c>
      <c r="BT142" s="2673">
        <f>0</f>
        <v>0</v>
      </c>
      <c r="BU142" s="2673">
        <f>0</f>
        <v>0</v>
      </c>
      <c r="BV142" s="2786">
        <f>0</f>
        <v>0</v>
      </c>
      <c r="BW142" s="2786">
        <f>0</f>
        <v>0</v>
      </c>
      <c r="BX142" s="2786">
        <f>0</f>
        <v>0</v>
      </c>
      <c r="BY142" s="2786">
        <f>0</f>
        <v>0</v>
      </c>
      <c r="BZ142" s="2673">
        <f>0</f>
        <v>0</v>
      </c>
      <c r="CA142" s="2673">
        <f>0</f>
        <v>0</v>
      </c>
      <c r="CB142" s="2796">
        <f>0</f>
        <v>0</v>
      </c>
      <c r="CC142" s="2673">
        <f>0</f>
        <v>0</v>
      </c>
      <c r="CD142" s="2673">
        <f>0</f>
        <v>0</v>
      </c>
      <c r="CE142" s="2673">
        <f>0</f>
        <v>0</v>
      </c>
      <c r="CF142" s="2673">
        <f>0</f>
        <v>0</v>
      </c>
      <c r="CG142" s="2673">
        <f>0</f>
        <v>0</v>
      </c>
      <c r="CH142" s="2673">
        <f>0</f>
        <v>0</v>
      </c>
      <c r="CI142" s="2673">
        <f>0</f>
        <v>0</v>
      </c>
      <c r="CJ142" s="2673">
        <f>0</f>
        <v>0</v>
      </c>
      <c r="CK142" s="2673">
        <f>0</f>
        <v>0</v>
      </c>
      <c r="CL142" s="2673">
        <f>0</f>
        <v>0</v>
      </c>
      <c r="CM142" s="2673">
        <f>0</f>
        <v>0</v>
      </c>
      <c r="CN142" s="2673">
        <f>0</f>
        <v>0</v>
      </c>
      <c r="CO142" s="2825">
        <f>µ_OHO_T*X_OHO*M_satSMEOL_KMEOL_OHO*M_satSO2_KO2_OHO*M_satSNHx_KNHx_BIO*M_satSPO4_KPO4_BIO*M_satSCAT_KCAT*M_satSAN_KAN*M_satSCa_KCa*M_satSMg_KMg*B_ellinhpH</f>
        <v>9.1865131019338874E-47</v>
      </c>
      <c r="CQ142" s="2650">
        <f>E248*E142+F248*F142+G248*G142+H248*H142+I248*I142+J248*J142+K248*K142+L248*L142+M248*M142+N248*N142+O248*O142+P248*P142+Q248*Q142+R248*R142+S248*S142+T248*T142+U248*U142+V248*V142+W248*W142+X248*X142+Y248*Y142+Z248*Z142+AA248*AA142+AB248*AB142+AC248*AC142+AD248*AD142+AE248*AE142+AF248*AF142+AG248*AG142+AH248*AH142+AI248*AI142+AJ248*AJ142+AK248*AK142+AL248*AL142+AM248*AM142+AN248*AN142+AO248*AO142+AP248*AP142+AQ248*AQ142+AR248*AR142+AS248*AS142+AT248*AT142+AU248*AU142+AV248*AV142+AW248*AW142+AX248*AX142+AY248*AY142+AZ248*AZ142+BA248*BA142+BB248*BB142+BC248*BC142+BD248*BD142+BE248*BE142+BF248*BF142+BG248*BG142+BH248*BH142+BI248*BI142+BJ248*BJ142+BK248*BK142+BL248*BL142+BM248*BM142+BN248*BN142+BO248*BO142+BP248*BP142+BQ248*BQ142+BR248*BR142+BS248*BS142+BT248*BT142+BU248*BU142+BV248*BV142+BW248*BW142+BX248*BX142+BY248*BY142+BZ248*BZ142+CA248*CA142+CB248*CB142+CC248*CC142+CD248*CD142+CE248*CE142+CF248*CF142+CG248*CG142+CH248*CH142+CI248*CI142+CJ248*CJ142+CK248*CK142+CL248*CL142+CM248*CM142+CN248*CN142</f>
        <v>-2.2204460492503131E-16</v>
      </c>
      <c r="CR142" s="2650">
        <f>E249*E142+F249*F142+G249*G142+H249*H142+I249*I142+J249*J142+K249*K142+L249*L142+M249*M142+N249*N142+O249*O142+P249*P142+Q249*Q142+R249*R142+S249*S142+T249*T142+U249*U142+V249*V142+W249*W142+X249*X142+Y249*Y142+Z249*Z142+AA249*AA142+AB249*AB142+AC249*AC142+AD249*AD142+AE249*AE142+AF249*AF142+AG249*AG142+AH249*AH142+AI249*AI142+AJ249*AJ142+AK249*AK142+AL249*AL142+AM249*AM142+AN249*AN142+AO249*AO142+AP249*AP142+AQ249*AQ142+AR249*AR142+AS249*AS142+AT249*AT142+AU249*AU142+AV249*AV142+AW249*AW142+AX249*AX142+AY249*AY142+AZ249*AZ142+BA249*BA142+BB249*BB142+BC249*BC142+BD249*BD142+BE249*BE142+BF249*BF142+BG249*BG142+BH249*BH142+BI249*BI142+BJ249*BJ142+BK249*BK142+BL249*BL142+BM249*BM142+BN249*BN142+BO249*BO142+BP249*BP142+BQ249*BQ142+BR249*BR142+BS249*BS142+BT249*BT142+BU249*BU142+BV249*BV142+BW249*BW142+BX249*BX142+BY249*BY142+BZ249*BZ142+CA249*CA142+CB249*CB142+CC249*CC142+CD249*CD142+CE249*CE142+CF249*CF142+CG249*CG142+CH249*CH142+CI249*CI142+CJ249*CJ142+CK249*CK142+CL249*CL142+CM249*CM142+CN249*CN142</f>
        <v>0</v>
      </c>
      <c r="CS142" s="2651">
        <f>E250*E142+F250*F142+G250*G142+H250*H142+I250*I142+J250*J142+K250*K142+L250*L142+M250*M142+N250*N142+O250*O142+P250*P142+Q250*Q142+R250*R142+S250*S142+T250*T142+U250*U142+V250*V142+W250*W142+X250*X142+Y250*Y142+Z250*Z142+AA250*AA142+AB250*AB142+AC250*AC142+AD250*AD142+AE250*AE142+AF250*AF142+AG250*AG142+AH250*AH142+AI250*AI142+AJ250*AJ142+AK250*AK142+AL250*AL142+AM250*AM142+AN250*AN142+AO250*AO142+AP250*AP142+AQ250*AQ142+AR250*AR142+AS250*AS142+AT250*AT142+AU250*AU142+AV250*AV142+AW250*AW142+AX250*AX142+AY250*AY142+AZ250*AZ142+BA250*BA142+BB250*BB142+BC250*BC142+BD250*BD142+BE250*BE142+BF250*BF142+BG250*BG142+BH250*BH142+BI250*BI142+BJ250*BJ142+BK250*BK142+BL250*BL142+BM250*BM142+BN250*BN142+BO250*BO142+BP250*BP142+BQ250*BQ142+BR250*BR142+BS250*BS142+BT250*BT142+BU250*BU142+BV250*BV142+BW250*BW142+BX250*BX142+BY250*BY142+BZ250*BZ142+CA250*CA142+CB250*CB142+CC250*CC142+CD250*CD142+CE250*CE142+CF250*CF142+CG250*CG142+CH250*CH142+CI250*CI142+CJ250*CJ142+CK250*CK142+CL250*CL142+CM250*CM142+CN250*CN142</f>
        <v>0</v>
      </c>
      <c r="CT142" s="2652">
        <f>E251*E142+F251*F142+G251*G142+H251*H142+I251*I142+J251*J142+K251*K142+L251*L142+M251*M142+N251*N142+O251*O142+P251*P142+Q251*Q142+R251*R142+S251*S142+T251*T142+U251*U142+V251*V142+W251*W142+X251*X142+Y251*Y142+Z251*Z142+AA251*AA142+AB251*AB142+AC251*AC142+AD251*AD142+AE251*AE142+AF251*AF142+AG251*AG142+AH251*AH142+AI251*AI142+AJ251*AJ142+AK251*AK142+AL251*AL142+AM251*AM142+AN251*AN142+AO251*AO142+AP251*AP142+AQ251*AQ142+AR251*AR142+AS251*AS142+AT251*AT142+AU251*AU142+AV251*AV142+AW251*AW142+AX251*AX142+AY251*AY142+AZ251*AZ142+BA251*BA142+BB251*BB142+BC251*BC142+BD251*BD142+BE251*BE142+BF251*BF142+BG251*BG142+BH251*BH142+BI251*BI142+BJ251*BJ142+BK251*BK142+BL251*BL142+BM251*BM142+BN251*BN142+BO251*BO142+BP251*BP142+BQ251*BQ142+BR251*BR142+BS251*BS142+BT251*BT142+BU251*BU142+BV251*BV142+BW251*BW142+BX251*BX142+BY251*BY142+BZ251*BZ142+CA251*CA142+CB251*CB142+CC251*CC142+CD251*CD142+CE251*CE142+CF251*CF142+CG251*CG142+CH251*CH142+CI251*CI142+CJ251*CJ142+CK251*CK142+CL251*CL142+CM251*CM142+CN251*CN142</f>
        <v>0</v>
      </c>
      <c r="CU142" s="2652">
        <f>E252*E142+F252*F142+G252*G142+H252*H142+I252*I142+J252*J142+K252*K142+L252*L142+M252*M142+N252*N142+O252*O142+P252*P142+Q252*Q142+R252*R142+S252*S142+T252*T142+U252*U142+V252*V142+W252*W142+X252*X142+Y252*Y142+Z252*Z142+AA252*AA142+AB252*AB142+AC252*AC142+AD252*AD142+AE252*AE142+AF252*AF142+AG252*AG142+AH252*AH142+AI252*AI142+AJ252*AJ142+AK252*AK142+AL252*AL142+AM252*AM142+AN252*AN142+AO252*AO142+AP252*AP142+AQ252*AQ142+AR252*AR142+AS252*AS142+AT252*AT142+AU252*AU142+AV252*AV142+AW252*AW142+AX252*AX142+AY252*AY142+AZ252*AZ142+BA252*BA142+BB252*BB142+BC252*BC142+BD252*BD142+BE252*BE142+BF252*BF142+BG252*BG142+BH252*BH142+BI252*BI142+BJ252*BJ142+BK252*BK142+BL252*BL142+BM252*BM142+BN252*BN142+BO252*BO142+BP252*BP142+BQ252*BQ142+BR252*BR142+BS252*BS142+BT252*BT142+BU252*BU142+BV252*BV142+BW252*BW142+BX252*BX142+BY252*BY142+BZ252*BZ142+CA252*CA142+CB252*CB142+CC252*CC142+CD252*CD142+CE252*CE142+CF252*CF142+CG252*CG142+CH252*CH142+CI252*CI142+CJ252*CJ142+CK252*CK142+CL252*CL142+CM252*CM142+CN252*CN142</f>
        <v>0</v>
      </c>
      <c r="CV142" s="2652">
        <f>E253*E142+F253*F142+G253*G142+H253*H142+I253*I142+J253*J142+K253*K142+L253*L142+M253*M142+N253*N142+O253*O142+P253*P142+Q253*Q142+R253*R142+S253*S142+T253*T142+U253*U142+V253*V142+W253*W142+X253*X142+Y253*Y142+Z253*Z142+AA253*AA142+AB253*AB142+AC253*AC142+AD253*AD142+AE253*AE142+AF253*AF142+AG253*AG142+AH253*AH142+AI253*AI142+AJ253*AJ142+AK253*AK142+AL253*AL142+AM253*AM142+AN253*AN142+AO253*AO142+AP253*AP142+AQ253*AQ142+AR253*AR142+AS253*AS142+AT253*AT142+AU253*AU142+AV253*AV142+AW253*AW142+AX253*AX142+AY253*AY142+AZ253*AZ142+BA253*BA142+BB253*BB142+BC253*BC142+BD253*BD142+BE253*BE142+BF253*BF142+BG253*BG142+BH253*BH142+BI253*BI142+BJ253*BJ142+BK253*BK142+BL253*BL142+BM253*BM142+BN253*BN142+BO253*BO142+BP253*BP142+BQ253*BQ142+BR253*BR142+BS253*BS142+BT253*BT142+BU253*BU142+BV253*BV142+BW253*BW142+BX253*BX142+BY253*BY142+BZ253*BZ142+CA253*CA142+CB253*CB142+CC253*CC142+CD253*CD142+CE253*CE142+CF253*CF142+CG253*CG142+CH253*CH142+CI253*CI142+CJ253*CJ142+CK253*CK142+CL253*CL142+CM253*CM142+CN253*CN142</f>
        <v>0</v>
      </c>
      <c r="CW142" s="2652">
        <f>E254*E142+F254*F142+G254*G142+H254*H142+I254*I142+J254*J142+K254*K142+L254*L142+M254*M142+N254*N142+O254*O142+P254*P142+Q254*Q142+R254*R142+S254*S142+T254*T142+U254*U142+V254*V142+W254*W142+X254*X142+Y254*Y142+Z254*Z142+AA254*AA142+AB254*AB142+AC254*AC142+AD254*AD142+AE254*AE142+AF254*AF142+AG254*AG142+AH254*AH142+AI254*AI142+AJ254*AJ142+AK254*AK142+AL254*AL142+AM254*AM142+AN254*AN142+AO254*AO142+AP254*AP142+AQ254*AQ142+AR254*AR142+AS254*AS142+AT254*AT142+AU254*AU142+AV254*AV142+AW254*AW142+AX254*AX142+AY254*AY142+AZ254*AZ142+BA254*BA142+BB254*BB142+BC254*BC142+BD254*BD142+BE254*BE142+BF254*BF142+BG254*BG142+BH254*BH142+BI254*BI142+BJ254*BJ142+BK254*BK142+BL254*BL142+BM254*BM142+BN254*BN142+BO254*BO142+BP254*BP142+BQ254*BQ142+BR254*BR142+BS254*BS142+BT254*BT142+BU254*BU142+BV254*BV142+BW254*BW142+BX254*BX142+BY254*BY142+BZ254*BZ142+CA254*CA142+CB254*CB142+CC254*CC142+CD254*CD142+CE254*CE142+CF254*CF142+CG254*CG142+CH254*CH142+CI254*CI142+CJ254*CJ142+CK254*CK142+CL254*CL142+CM254*CM142+CN254*CN142</f>
        <v>0</v>
      </c>
      <c r="CX142" s="2652">
        <f>E255*E142+F255*F142+G255*G142+H255*H142+I255*I142+J255*J142+K255*K142+L255*L142+M255*M142+N255*N142+O255*O142+P255*P142+Q255*Q142+R255*R142+S255*S142+T255*T142+U255*U142+V255*V142+W255*W142+X255*X142+Y255*Y142+Z255*Z142+AA255*AA142+AB255*AB142+AC255*AC142+AD255*AD142+AE255*AE142+AF255*AF142+AG255*AG142+AH255*AH142+AI255*AI142+AJ255*AJ142+AK255*AK142+AL255*AL142+AM255*AM142+AN255*AN142+AO255*AO142+AP255*AP142+AQ255*AQ142+AR255*AR142+AS255*AS142+AT255*AT142+AU255*AU142+AV255*AV142+AW255*AW142+AX255*AX142+AY255*AY142+AZ255*AZ142+BA255*BA142+BB255*BB142+BC255*BC142+BD255*BD142+BE255*BE142+BF255*BF142+BG255*BG142+BH255*BH142+BI255*BI142+BJ255*BJ142+BK255*BK142+BL255*BL142+BM255*BM142+BN255*BN142+BO255*BO142+BP255*BP142+BQ255*BQ142+BR255*BR142+BS255*BS142+BT255*BT142+BU255*BU142+BV255*BV142+BW255*BW142+BX255*BX142+BY255*BY142+BZ255*BZ142+CA255*CA142+CB255*CB142+CC255*CC142+CD255*CD142+CE255*CE142+CF255*CF142+CG255*CG142+CH255*CH142+CI255*CI142+CJ255*CJ142+CK255*CK142+CL255*CL142+CM255*CM142+CN255*CN142</f>
        <v>0</v>
      </c>
      <c r="CY142" s="2652">
        <f>E256*E142+F256*F142+G256*G142+H256*H142+I256*I142+J256*J142+K256*K142+L256*L142+M256*M142+N256*N142+O256*O142+P256*P142+Q256*Q142+R256*R142+S256*S142+T256*T142+U256*U142+V256*V142+W256*W142+X256*X142+Y256*Y142+Z256*Z142+AA256*AA142+AB256*AB142+AC256*AC142+AD256*AD142+AE256*AE142+AF256*AF142+AG256*AG142+AH256*AH142+AI256*AI142+AJ256*AJ142+AK256*AK142+AL256*AL142+AM256*AM142+AN256*AN142+AO256*AO142+AP256*AP142+AQ256*AQ142+AR256*AR142+AS256*AS142+AT256*AT142+AU256*AU142+AV256*AV142+AW256*AW142+AX256*AX142+AY256*AY142+AZ256*AZ142+BA256*BA142+BB256*BB142+BC256*BC142+BD256*BD142+BE256*BE142+BF256*BF142+BG256*BG142+BH256*BH142+BI256*BI142+BJ256*BJ142+BK256*BK142+BL256*BL142+BM256*BM142+BN256*BN142+BO256*BO142+BP256*BP142+BQ256*BQ142+BR256*BR142+BS256*BS142+BT256*BT142+BU256*BU142+BV256*BV142+BW256*BW142+BX256*BX142+BY256*BY142+BZ256*BZ142+CA256*CA142+CB256*CB142+CC256*CC142+CD256*CD142+CE256*CE142+CF256*CF142+CG256*CG142+CH256*CH142+CI256*CI142+CJ256*CJ142+CK256*CK142+CL256*CL142+CM256*CM142+CN256*CN142</f>
        <v>0</v>
      </c>
      <c r="CZ142" s="2652">
        <f>E257*E142+F257*F142+G257*G142+H257*H142+I257*I142+J257*J142+K257*K142+L257*L142+M257*M142+N257*N142+O257*O142+P257*P142+Q257*Q142+R257*R142+S257*S142+T257*T142+U257*U142+V257*V142+W257*W142+X257*X142+Y257*Y142+Z257*Z142+AA257*AA142+AB257*AB142+AC257*AC142+AD257*AD142+AE257*AE142+AF257*AF142+AG257*AG142+AH257*AH142+AI257*AI142+AJ257*AJ142+AK257*AK142+AL257*AL142+AM257*AM142+AN257*AN142+AO257*AO142+AP257*AP142+AQ257*AQ142+AR257*AR142+AS257*AS142+AT257*AT142+AU257*AU142+AV257*AV142+AW257*AW142+AX257*AX142+AY257*AY142+AZ257*AZ142+BA257*BA142+BB257*BB142+BC257*BC142+BD257*BD142+BE257*BE142+BF257*BF142+BG257*BG142+BH257*BH142+BI257*BI142+BJ257*BJ142+BK257*BK142+BL257*BL142+BM257*BM142+BN257*BN142+BO257*BO142+BP257*BP142+BQ257*BQ142+BR257*BR142+BS257*BS142+BT257*BT142+BU257*BU142+BV257*BV142+BW257*BW142+BX257*BX142+BY257*BY142+BZ257*BZ142+CA257*CA142+CB257*CB142+CC257*CC142+CD257*CD142+CE257*CE142+CF257*CF142+CG257*CG142+CH257*CH142+CI257*CI142+CJ257*CJ142+CK257*CK142+CL257*CL142+CM257*CM142+CN257*CN142</f>
        <v>0</v>
      </c>
      <c r="DA142" s="2652">
        <f>E258*E142+F258*F142+G258*G142+H258*H142+I258*I142+J258*J142+K258*K142+L258*L142+M258*M142+N258*N142+O258*O142+P258*P142+Q258*Q142+R258*R142+S258*S142+T258*T142+U258*U142+V258*V142+W258*W142+X258*X142+Y258*Y142+Z258*Z142+AA258*AA142+AB258*AB142+AC258*AC142+AD258*AD142+AE258*AE142+AF258*AF142+AG258*AG142+AH258*AH142+AI258*AI142+AJ258*AJ142+AK258*AK142+AL258*AL142+AM258*AM142+AN258*AN142+AO258*AO142+AP258*AP142+AQ258*AQ142+AR258*AR142+AS258*AS142+AT258*AT142+AU258*AU142+AV258*AV142+AW258*AW142+AX258*AX142+AY258*AY142+AZ258*AZ142+BA258*BA142+BB258*BB142+BC258*BC142+BD258*BD142+BE258*BE142+BF258*BF142+BG258*BG142+BH258*BH142+BI258*BI142+BJ258*BJ142+BK258*BK142+BL258*BL142+BM258*BM142+BN258*BN142+BO258*BO142+BP258*BP142+BQ258*BQ142+BR258*BR142+BS258*BS142+BT258*BT142+BU258*BU142+BV258*BV142+BW258*BW142+BX258*BX142+BY258*BY142+BZ258*BZ142+CA258*CA142+CB258*CB142+CC258*CC142+CD258*CD142+CE258*CE142+CF258*CF142+CG258*CG142+CH258*CH142+CI258*CI142+CJ258*CJ142+CK258*CK142+CL258*CL142+CM258*CM142+CN258*CN142</f>
        <v>0</v>
      </c>
    </row>
    <row r="143" spans="2:105" ht="18" x14ac:dyDescent="0.25">
      <c r="B143" s="784">
        <v>10</v>
      </c>
      <c r="C143" s="785" t="s">
        <v>232</v>
      </c>
      <c r="D143" s="786" t="s">
        <v>288</v>
      </c>
      <c r="E143" s="2674">
        <f>0</f>
        <v>0</v>
      </c>
      <c r="F143" s="2674">
        <f>0</f>
        <v>0</v>
      </c>
      <c r="G143" s="2674">
        <f>0</f>
        <v>0</v>
      </c>
      <c r="H143" s="2674">
        <f>0</f>
        <v>0</v>
      </c>
      <c r="I143" s="2711">
        <f>f_C</f>
        <v>0.1</v>
      </c>
      <c r="J143" s="2674">
        <f>0</f>
        <v>0</v>
      </c>
      <c r="K143" s="2674">
        <f>(1-f_E)*(1-f_C)</f>
        <v>0.82800000000000007</v>
      </c>
      <c r="L143" s="2674">
        <f>0</f>
        <v>0</v>
      </c>
      <c r="M143" s="2674">
        <f>0</f>
        <v>0</v>
      </c>
      <c r="N143" s="2674">
        <f>0</f>
        <v>0</v>
      </c>
      <c r="O143" s="2674">
        <f>0</f>
        <v>0</v>
      </c>
      <c r="P143" s="2674">
        <f>0</f>
        <v>0</v>
      </c>
      <c r="Q143" s="2674">
        <f>0</f>
        <v>0</v>
      </c>
      <c r="R143" s="2674">
        <f>f_E*(1-f_C)</f>
        <v>7.2000000000000008E-2</v>
      </c>
      <c r="S143" s="2674">
        <f>0</f>
        <v>0</v>
      </c>
      <c r="T143" s="2674">
        <f>-1</f>
        <v>-1</v>
      </c>
      <c r="U143" s="2674">
        <f>0</f>
        <v>0</v>
      </c>
      <c r="V143" s="2674">
        <f>0</f>
        <v>0</v>
      </c>
      <c r="W143" s="2674">
        <f>0</f>
        <v>0</v>
      </c>
      <c r="X143" s="2674">
        <f>0</f>
        <v>0</v>
      </c>
      <c r="Y143" s="2674">
        <f>0</f>
        <v>0</v>
      </c>
      <c r="Z143" s="2674">
        <f>0</f>
        <v>0</v>
      </c>
      <c r="AA143" s="2674">
        <f>0</f>
        <v>0</v>
      </c>
      <c r="AB143" s="2674">
        <f>0</f>
        <v>0</v>
      </c>
      <c r="AC143" s="2738">
        <f>0</f>
        <v>0</v>
      </c>
      <c r="AD143" s="2674">
        <f>i_N_BIO-f_E*(1-f_C)*i_N_XE-f_C*i_N_CB-(1-f_E)*(1-f_C)*i_N_BIO</f>
        <v>6.7199999999999899E-3</v>
      </c>
      <c r="AE143" s="2674">
        <f>0</f>
        <v>0</v>
      </c>
      <c r="AF143" s="2674">
        <f>0</f>
        <v>0</v>
      </c>
      <c r="AG143" s="2674">
        <f>0</f>
        <v>0</v>
      </c>
      <c r="AH143" s="2674">
        <f>0</f>
        <v>0</v>
      </c>
      <c r="AI143" s="2674">
        <f>0</f>
        <v>0</v>
      </c>
      <c r="AJ143" s="2674">
        <f>(1-f_E)*(1-f_C)*i_N_BIO</f>
        <v>5.7960000000000012E-2</v>
      </c>
      <c r="AK143" s="2674">
        <f>0</f>
        <v>0</v>
      </c>
      <c r="AL143" s="2674">
        <f>i_P_BIO-f_E*(1-f_C)*i_P_BIO-f_C*i_P_CB-(1-f_E)*(1-f_C)*i_P_BIO</f>
        <v>1.7999999999999995E-3</v>
      </c>
      <c r="AM143" s="2674">
        <f>0</f>
        <v>0</v>
      </c>
      <c r="AN143" s="2674">
        <f>0</f>
        <v>0</v>
      </c>
      <c r="AO143" s="2674">
        <f>0</f>
        <v>0</v>
      </c>
      <c r="AP143" s="2674">
        <f>(1-f_E)*(1-f_C)*i_P_BIO</f>
        <v>1.6560000000000002E-2</v>
      </c>
      <c r="AQ143" s="2674">
        <f>0</f>
        <v>0</v>
      </c>
      <c r="AR143" s="2674">
        <f>0</f>
        <v>0</v>
      </c>
      <c r="AS143" s="2674">
        <f>0</f>
        <v>0</v>
      </c>
      <c r="AT143" s="2674">
        <f>0</f>
        <v>0</v>
      </c>
      <c r="AU143" s="2674">
        <f>i_CIT_BIO-f_E*(1-f_C)*i_CIT_BIO-(1-f_E)*(1-f_C)*i_CIT_XBe-(1-f_E)*f_C*i_CIT_XBe-f_E*f_C*i_CIT_XBe</f>
        <v>6.1248000000000011E-2</v>
      </c>
      <c r="AV143" s="2674">
        <f>0</f>
        <v>0</v>
      </c>
      <c r="AW143" s="2673">
        <f>0</f>
        <v>0</v>
      </c>
      <c r="AX143" s="2673">
        <f>0</f>
        <v>0</v>
      </c>
      <c r="AY143" s="2673">
        <f>0</f>
        <v>0</v>
      </c>
      <c r="AZ143" s="2673">
        <f>0</f>
        <v>0</v>
      </c>
      <c r="BA143" s="2673">
        <f>0</f>
        <v>0</v>
      </c>
      <c r="BB143" s="2673">
        <f>0</f>
        <v>0</v>
      </c>
      <c r="BC143" s="2673">
        <f>0</f>
        <v>0</v>
      </c>
      <c r="BD143" s="2673">
        <f>0</f>
        <v>0</v>
      </c>
      <c r="BE143" s="2673">
        <f>0</f>
        <v>0</v>
      </c>
      <c r="BF143" s="2673">
        <f>0</f>
        <v>0</v>
      </c>
      <c r="BG143" s="2673">
        <f>0</f>
        <v>0</v>
      </c>
      <c r="BH143" s="2673">
        <f>0</f>
        <v>0</v>
      </c>
      <c r="BI143" s="2673">
        <f>0</f>
        <v>0</v>
      </c>
      <c r="BJ143" s="2763">
        <f>0</f>
        <v>0</v>
      </c>
      <c r="BK143" s="2763">
        <f>0</f>
        <v>0</v>
      </c>
      <c r="BL143" s="2763">
        <f>0</f>
        <v>0</v>
      </c>
      <c r="BM143" s="2763">
        <f>0</f>
        <v>0</v>
      </c>
      <c r="BN143" s="2763">
        <f>0</f>
        <v>0</v>
      </c>
      <c r="BO143" s="2763">
        <f>0</f>
        <v>0</v>
      </c>
      <c r="BP143" s="2763">
        <f>0</f>
        <v>0</v>
      </c>
      <c r="BQ143" s="2673">
        <f>0</f>
        <v>0</v>
      </c>
      <c r="BR143" s="2673">
        <f>0</f>
        <v>0</v>
      </c>
      <c r="BS143" s="2763">
        <f>0</f>
        <v>0</v>
      </c>
      <c r="BT143" s="2673">
        <f>0</f>
        <v>0</v>
      </c>
      <c r="BU143" s="2673">
        <f>0</f>
        <v>0</v>
      </c>
      <c r="BV143" s="2786">
        <f>0</f>
        <v>0</v>
      </c>
      <c r="BW143" s="2786">
        <f>0</f>
        <v>0</v>
      </c>
      <c r="BX143" s="2786">
        <f>0</f>
        <v>0</v>
      </c>
      <c r="BY143" s="2786">
        <f>0</f>
        <v>0</v>
      </c>
      <c r="BZ143" s="2673">
        <f>0</f>
        <v>0</v>
      </c>
      <c r="CA143" s="2673">
        <f>0</f>
        <v>0</v>
      </c>
      <c r="CB143" s="2796">
        <f>0</f>
        <v>0</v>
      </c>
      <c r="CC143" s="2673">
        <f>0</f>
        <v>0</v>
      </c>
      <c r="CD143" s="2673">
        <f>0</f>
        <v>0</v>
      </c>
      <c r="CE143" s="2673">
        <f>0</f>
        <v>0</v>
      </c>
      <c r="CF143" s="2673">
        <f>0</f>
        <v>0</v>
      </c>
      <c r="CG143" s="2673">
        <f>0</f>
        <v>0</v>
      </c>
      <c r="CH143" s="2673">
        <f>0</f>
        <v>0</v>
      </c>
      <c r="CI143" s="2673">
        <f>0</f>
        <v>0</v>
      </c>
      <c r="CJ143" s="2673">
        <f>0</f>
        <v>0</v>
      </c>
      <c r="CK143" s="2673">
        <f>0</f>
        <v>0</v>
      </c>
      <c r="CL143" s="2673">
        <f>0</f>
        <v>0</v>
      </c>
      <c r="CM143" s="2673">
        <f>0</f>
        <v>0</v>
      </c>
      <c r="CN143" s="2673">
        <f>0</f>
        <v>0</v>
      </c>
      <c r="CO143" s="2825">
        <f>b_OHO_T*X_OHO*(M_satSO2_KO2_OHO+η_b_anox*M_satSNO2_KNO2_OHO*M_inhSO2_KO2_OHO+η_b_anox*M_satSNO3_KNO3_OHO*M_inhSNO2_KNO2_OHO*M_inhSO2_KO2_OHO)</f>
        <v>96.279069767441854</v>
      </c>
      <c r="CQ143" s="2650">
        <f>E248*E143+F248*F143+G248*G143+H248*H143+I248*I143+J248*J143+K248*K143+L248*L143+M248*M143+N248*N143+O248*O143+P248*P143+Q248*Q143+R248*R143+S248*S143+T248*T143+U248*U143+V248*V143+W248*W143+X248*X143+Y248*Y143+Z248*Z143+AA248*AA143+AB248*AB143+AC248*AC143+AD248*AD143+AE248*AE143+AF248*AF143+AG248*AG143+AH248*AH143+AI248*AI143+AJ248*AJ143+AK248*AK143+AL248*AL143+AM248*AM143+AN248*AN143+AO248*AO143+AP248*AP143+AQ248*AQ143+AR248*AR143+AS248*AS143+AT248*AT143+AU248*AU143+AV248*AV143+AW248*AW143+AX248*AX143+AY248*AY143+AZ248*AZ143+BA248*BA143+BB248*BB143+BC248*BC143+BD248*BD143+BE248*BE143+BF248*BF143+BG248*BG143+BH248*BH143+BI248*BI143+BJ248*BJ143+BK248*BK143+BL248*BL143+BM248*BM143+BN248*BN143+BO248*BO143+BP248*BP143+BQ248*BQ143+BR248*BR143+BS248*BS143+BT248*BT143+BU248*BU143+BV248*BV143+BW248*BW143+BX248*BX143+BY248*BY143+BZ248*BZ143+CA248*CA143+CB248*CB143+CC248*CC143+CD248*CD143+CE248*CE143+CF248*CF143+CG248*CG143+CH248*CH143+CI248*CI143+CJ248*CJ143+CK248*CK143+CL248*CL143+CM248*CM143+CN248*CN143</f>
        <v>0</v>
      </c>
      <c r="CR143" s="2650">
        <f>E249*E143+F249*F143+G249*G143+H249*H143+I249*I143+J249*J143+K249*K143+L249*L143+M249*M143+N249*N143+O249*O143+P249*P143+Q249*Q143+R249*R143+S249*S143+T249*T143+U249*U143+V249*V143+W249*W143+X249*X143+Y249*Y143+Z249*Z143+AA249*AA143+AB249*AB143+AC249*AC143+AD249*AD143+AE249*AE143+AF249*AF143+AG249*AG143+AH249*AH143+AI249*AI143+AJ249*AJ143+AK249*AK143+AL249*AL143+AM249*AM143+AN249*AN143+AO249*AO143+AP249*AP143+AQ249*AQ143+AR249*AR143+AS249*AS143+AT249*AT143+AU249*AU143+AV249*AV143+AW249*AW143+AX249*AX143+AY249*AY143+AZ249*AZ143+BA249*BA143+BB249*BB143+BC249*BC143+BD249*BD143+BE249*BE143+BF249*BF143+BG249*BG143+BH249*BH143+BI249*BI143+BJ249*BJ143+BK249*BK143+BL249*BL143+BM249*BM143+BN249*BN143+BO249*BO143+BP249*BP143+BQ249*BQ143+BR249*BR143+BS249*BS143+BT249*BT143+BU249*BU143+BV249*BV143+BW249*BW143+BX249*BX143+BY249*BY143+BZ249*BZ143+CA249*CA143+CB249*CB143+CC249*CC143+CD249*CD143+CE249*CE143+CF249*CF143+CG249*CG143+CH249*CH143+CI249*CI143+CJ249*CJ143+CK249*CK143+CL249*CL143+CM249*CM143+CN249*CN143</f>
        <v>-1.3877787807814457E-17</v>
      </c>
      <c r="CS143" s="2651">
        <f>E250*E143+F250*F143+G250*G143+H250*H143+I250*I143+J250*J143+K250*K143+L250*L143+M250*M143+N250*N143+O250*O143+P250*P143+Q250*Q143+R250*R143+S250*S143+T250*T143+U250*U143+V250*V143+W250*W143+X250*X143+Y250*Y143+Z250*Z143+AA250*AA143+AB250*AB143+AC250*AC143+AD250*AD143+AE250*AE143+AF250*AF143+AG250*AG143+AH250*AH143+AI250*AI143+AJ250*AJ143+AK250*AK143+AL250*AL143+AM250*AM143+AN250*AN143+AO250*AO143+AP250*AP143+AQ250*AQ143+AR250*AR143+AS250*AS143+AT250*AT143+AU250*AU143+AV250*AV143+AW250*AW143+AX250*AX143+AY250*AY143+AZ250*AZ143+BA250*BA143+BB250*BB143+BC250*BC143+BD250*BD143+BE250*BE143+BF250*BF143+BG250*BG143+BH250*BH143+BI250*BI143+BJ250*BJ143+BK250*BK143+BL250*BL143+BM250*BM143+BN250*BN143+BO250*BO143+BP250*BP143+BQ250*BQ143+BR250*BR143+BS250*BS143+BT250*BT143+BU250*BU143+BV250*BV143+BW250*BW143+BX250*BX143+BY250*BY143+BZ250*BZ143+CA250*CA143+CB250*CB143+CC250*CC143+CD250*CD143+CE250*CE143+CF250*CF143+CG250*CG143+CH250*CH143+CI250*CI143+CJ250*CJ143+CK250*CK143+CL250*CL143+CM250*CM143+CN250*CN143</f>
        <v>0</v>
      </c>
      <c r="CT143" s="2652">
        <f>E251*E143+F251*F143+G251*G143+H251*H143+I251*I143+J251*J143+K251*K143+L251*L143+M251*M143+N251*N143+O251*O143+P251*P143+Q251*Q143+R251*R143+S251*S143+T251*T143+U251*U143+V251*V143+W251*W143+X251*X143+Y251*Y143+Z251*Z143+AA251*AA143+AB251*AB143+AC251*AC143+AD251*AD143+AE251*AE143+AF251*AF143+AG251*AG143+AH251*AH143+AI251*AI143+AJ251*AJ143+AK251*AK143+AL251*AL143+AM251*AM143+AN251*AN143+AO251*AO143+AP251*AP143+AQ251*AQ143+AR251*AR143+AS251*AS143+AT251*AT143+AU251*AU143+AV251*AV143+AW251*AW143+AX251*AX143+AY251*AY143+AZ251*AZ143+BA251*BA143+BB251*BB143+BC251*BC143+BD251*BD143+BE251*BE143+BF251*BF143+BG251*BG143+BH251*BH143+BI251*BI143+BJ251*BJ143+BK251*BK143+BL251*BL143+BM251*BM143+BN251*BN143+BO251*BO143+BP251*BP143+BQ251*BQ143+BR251*BR143+BS251*BS143+BT251*BT143+BU251*BU143+BV251*BV143+BW251*BW143+BX251*BX143+BY251*BY143+BZ251*BZ143+CA251*CA143+CB251*CB143+CC251*CC143+CD251*CD143+CE251*CE143+CF251*CF143+CG251*CG143+CH251*CH143+CI251*CI143+CJ251*CJ143+CK251*CK143+CL251*CL143+CM251*CM143+CN251*CN143</f>
        <v>0</v>
      </c>
      <c r="CU143" s="2652">
        <f>E252*E143+F252*F143+G252*G143+H252*H143+I252*I143+J252*J143+K252*K143+L252*L143+M252*M143+N252*N143+O252*O143+P252*P143+Q252*Q143+R252*R143+S252*S143+T252*T143+U252*U143+V252*V143+W252*W143+X252*X143+Y252*Y143+Z252*Z143+AA252*AA143+AB252*AB143+AC252*AC143+AD252*AD143+AE252*AE143+AF252*AF143+AG252*AG143+AH252*AH143+AI252*AI143+AJ252*AJ143+AK252*AK143+AL252*AL143+AM252*AM143+AN252*AN143+AO252*AO143+AP252*AP143+AQ252*AQ143+AR252*AR143+AS252*AS143+AT252*AT143+AU252*AU143+AV252*AV143+AW252*AW143+AX252*AX143+AY252*AY143+AZ252*AZ143+BA252*BA143+BB252*BB143+BC252*BC143+BD252*BD143+BE252*BE143+BF252*BF143+BG252*BG143+BH252*BH143+BI252*BI143+BJ252*BJ143+BK252*BK143+BL252*BL143+BM252*BM143+BN252*BN143+BO252*BO143+BP252*BP143+BQ252*BQ143+BR252*BR143+BS252*BS143+BT252*BT143+BU252*BU143+BV252*BV143+BW252*BW143+BX252*BX143+BY252*BY143+BZ252*BZ143+CA252*CA143+CB252*CB143+CC252*CC143+CD252*CD143+CE252*CE143+CF252*CF143+CG252*CG143+CH252*CH143+CI252*CI143+CJ252*CJ143+CK252*CK143+CL252*CL143+CM252*CM143+CN252*CN143</f>
        <v>0</v>
      </c>
      <c r="CV143" s="2652">
        <f>E253*E143+F253*F143+G253*G143+H253*H143+I253*I143+J253*J143+K253*K143+L253*L143+M253*M143+N253*N143+O253*O143+P253*P143+Q253*Q143+R253*R143+S253*S143+T253*T143+U253*U143+V253*V143+W253*W143+X253*X143+Y253*Y143+Z253*Z143+AA253*AA143+AB253*AB143+AC253*AC143+AD253*AD143+AE253*AE143+AF253*AF143+AG253*AG143+AH253*AH143+AI253*AI143+AJ253*AJ143+AK253*AK143+AL253*AL143+AM253*AM143+AN253*AN143+AO253*AO143+AP253*AP143+AQ253*AQ143+AR253*AR143+AS253*AS143+AT253*AT143+AU253*AU143+AV253*AV143+AW253*AW143+AX253*AX143+AY253*AY143+AZ253*AZ143+BA253*BA143+BB253*BB143+BC253*BC143+BD253*BD143+BE253*BE143+BF253*BF143+BG253*BG143+BH253*BH143+BI253*BI143+BJ253*BJ143+BK253*BK143+BL253*BL143+BM253*BM143+BN253*BN143+BO253*BO143+BP253*BP143+BQ253*BQ143+BR253*BR143+BS253*BS143+BT253*BT143+BU253*BU143+BV253*BV143+BW253*BW143+BX253*BX143+BY253*BY143+BZ253*BZ143+CA253*CA143+CB253*CB143+CC253*CC143+CD253*CD143+CE253*CE143+CF253*CF143+CG253*CG143+CH253*CH143+CI253*CI143+CJ253*CJ143+CK253*CK143+CL253*CL143+CM253*CM143+CN253*CN143</f>
        <v>0</v>
      </c>
      <c r="CW143" s="2652">
        <f>E254*E143+F254*F143+G254*G143+H254*H143+I254*I143+J254*J143+K254*K143+L254*L143+M254*M143+N254*N143+O254*O143+P254*P143+Q254*Q143+R254*R143+S254*S143+T254*T143+U254*U143+V254*V143+W254*W143+X254*X143+Y254*Y143+Z254*Z143+AA254*AA143+AB254*AB143+AC254*AC143+AD254*AD143+AE254*AE143+AF254*AF143+AG254*AG143+AH254*AH143+AI254*AI143+AJ254*AJ143+AK254*AK143+AL254*AL143+AM254*AM143+AN254*AN143+AO254*AO143+AP254*AP143+AQ254*AQ143+AR254*AR143+AS254*AS143+AT254*AT143+AU254*AU143+AV254*AV143+AW254*AW143+AX254*AX143+AY254*AY143+AZ254*AZ143+BA254*BA143+BB254*BB143+BC254*BC143+BD254*BD143+BE254*BE143+BF254*BF143+BG254*BG143+BH254*BH143+BI254*BI143+BJ254*BJ143+BK254*BK143+BL254*BL143+BM254*BM143+BN254*BN143+BO254*BO143+BP254*BP143+BQ254*BQ143+BR254*BR143+BS254*BS143+BT254*BT143+BU254*BU143+BV254*BV143+BW254*BW143+BX254*BX143+BY254*BY143+BZ254*BZ143+CA254*CA143+CB254*CB143+CC254*CC143+CD254*CD143+CE254*CE143+CF254*CF143+CG254*CG143+CH254*CH143+CI254*CI143+CJ254*CJ143+CK254*CK143+CL254*CL143+CM254*CM143+CN254*CN143</f>
        <v>0</v>
      </c>
      <c r="CX143" s="2652">
        <f>E255*E143+F255*F143+G255*G143+H255*H143+I255*I143+J255*J143+K255*K143+L255*L143+M255*M143+N255*N143+O255*O143+P255*P143+Q255*Q143+R255*R143+S255*S143+T255*T143+U255*U143+V255*V143+W255*W143+X255*X143+Y255*Y143+Z255*Z143+AA255*AA143+AB255*AB143+AC255*AC143+AD255*AD143+AE255*AE143+AF255*AF143+AG255*AG143+AH255*AH143+AI255*AI143+AJ255*AJ143+AK255*AK143+AL255*AL143+AM255*AM143+AN255*AN143+AO255*AO143+AP255*AP143+AQ255*AQ143+AR255*AR143+AS255*AS143+AT255*AT143+AU255*AU143+AV255*AV143+AW255*AW143+AX255*AX143+AY255*AY143+AZ255*AZ143+BA255*BA143+BB255*BB143+BC255*BC143+BD255*BD143+BE255*BE143+BF255*BF143+BG255*BG143+BH255*BH143+BI255*BI143+BJ255*BJ143+BK255*BK143+BL255*BL143+BM255*BM143+BN255*BN143+BO255*BO143+BP255*BP143+BQ255*BQ143+BR255*BR143+BS255*BS143+BT255*BT143+BU255*BU143+BV255*BV143+BW255*BW143+BX255*BX143+BY255*BY143+BZ255*BZ143+CA255*CA143+CB255*CB143+CC255*CC143+CD255*CD143+CE255*CE143+CF255*CF143+CG255*CG143+CH255*CH143+CI255*CI143+CJ255*CJ143+CK255*CK143+CL255*CL143+CM255*CM143+CN255*CN143</f>
        <v>0</v>
      </c>
      <c r="CY143" s="2652">
        <f>E256*E143+F256*F143+G256*G143+H256*H143+I256*I143+J256*J143+K256*K143+L256*L143+M256*M143+N256*N143+O256*O143+P256*P143+Q256*Q143+R256*R143+S256*S143+T256*T143+U256*U143+V256*V143+W256*W143+X256*X143+Y256*Y143+Z256*Z143+AA256*AA143+AB256*AB143+AC256*AC143+AD256*AD143+AE256*AE143+AF256*AF143+AG256*AG143+AH256*AH143+AI256*AI143+AJ256*AJ143+AK256*AK143+AL256*AL143+AM256*AM143+AN256*AN143+AO256*AO143+AP256*AP143+AQ256*AQ143+AR256*AR143+AS256*AS143+AT256*AT143+AU256*AU143+AV256*AV143+AW256*AW143+AX256*AX143+AY256*AY143+AZ256*AZ143+BA256*BA143+BB256*BB143+BC256*BC143+BD256*BD143+BE256*BE143+BF256*BF143+BG256*BG143+BH256*BH143+BI256*BI143+BJ256*BJ143+BK256*BK143+BL256*BL143+BM256*BM143+BN256*BN143+BO256*BO143+BP256*BP143+BQ256*BQ143+BR256*BR143+BS256*BS143+BT256*BT143+BU256*BU143+BV256*BV143+BW256*BW143+BX256*BX143+BY256*BY143+BZ256*BZ143+CA256*CA143+CB256*CB143+CC256*CC143+CD256*CD143+CE256*CE143+CF256*CF143+CG256*CG143+CH256*CH143+CI256*CI143+CJ256*CJ143+CK256*CK143+CL256*CL143+CM256*CM143+CN256*CN143</f>
        <v>0</v>
      </c>
      <c r="CZ143" s="2652">
        <f>E257*E143+F257*F143+G257*G143+H257*H143+I257*I143+J257*J143+K257*K143+L257*L143+M257*M143+N257*N143+O257*O143+P257*P143+Q257*Q143+R257*R143+S257*S143+T257*T143+U257*U143+V257*V143+W257*W143+X257*X143+Y257*Y143+Z257*Z143+AA257*AA143+AB257*AB143+AC257*AC143+AD257*AD143+AE257*AE143+AF257*AF143+AG257*AG143+AH257*AH143+AI257*AI143+AJ257*AJ143+AK257*AK143+AL257*AL143+AM257*AM143+AN257*AN143+AO257*AO143+AP257*AP143+AQ257*AQ143+AR257*AR143+AS257*AS143+AT257*AT143+AU257*AU143+AV257*AV143+AW257*AW143+AX257*AX143+AY257*AY143+AZ257*AZ143+BA257*BA143+BB257*BB143+BC257*BC143+BD257*BD143+BE257*BE143+BF257*BF143+BG257*BG143+BH257*BH143+BI257*BI143+BJ257*BJ143+BK257*BK143+BL257*BL143+BM257*BM143+BN257*BN143+BO257*BO143+BP257*BP143+BQ257*BQ143+BR257*BR143+BS257*BS143+BT257*BT143+BU257*BU143+BV257*BV143+BW257*BW143+BX257*BX143+BY257*BY143+BZ257*BZ143+CA257*CA143+CB257*CB143+CC257*CC143+CD257*CD143+CE257*CE143+CF257*CF143+CG257*CG143+CH257*CH143+CI257*CI143+CJ257*CJ143+CK257*CK143+CL257*CL143+CM257*CM143+CN257*CN143</f>
        <v>0</v>
      </c>
      <c r="DA143" s="2652">
        <f>E258*E143+F258*F143+G258*G143+H258*H143+I258*I143+J258*J143+K258*K143+L258*L143+M258*M143+N258*N143+O258*O143+P258*P143+Q258*Q143+R258*R143+S258*S143+T258*T143+U258*U143+V258*V143+W258*W143+X258*X143+Y258*Y143+Z258*Z143+AA258*AA143+AB258*AB143+AC258*AC143+AD258*AD143+AE258*AE143+AF258*AF143+AG258*AG143+AH258*AH143+AI258*AI143+AJ258*AJ143+AK258*AK143+AL258*AL143+AM258*AM143+AN258*AN143+AO258*AO143+AP258*AP143+AQ258*AQ143+AR258*AR143+AS258*AS143+AT258*AT143+AU258*AU143+AV258*AV143+AW258*AW143+AX258*AX143+AY258*AY143+AZ258*AZ143+BA258*BA143+BB258*BB143+BC258*BC143+BD258*BD143+BE258*BE143+BF258*BF143+BG258*BG143+BH258*BH143+BI258*BI143+BJ258*BJ143+BK258*BK143+BL258*BL143+BM258*BM143+BN258*BN143+BO258*BO143+BP258*BP143+BQ258*BQ143+BR258*BR143+BS258*BS143+BT258*BT143+BU258*BU143+BV258*BV143+BW258*BW143+BX258*BX143+BY258*BY143+BZ258*BZ143+CA258*CA143+CB258*CB143+CC258*CC143+CD258*CD143+CE258*CE143+CF258*CF143+CG258*CG143+CH258*CH143+CI258*CI143+CJ258*CJ143+CK258*CK143+CL258*CL143+CM258*CM143+CN258*CN143</f>
        <v>0</v>
      </c>
    </row>
    <row r="144" spans="2:105" ht="18" x14ac:dyDescent="0.25">
      <c r="B144" s="784">
        <v>11</v>
      </c>
      <c r="C144" s="785" t="s">
        <v>233</v>
      </c>
      <c r="D144" s="786" t="s">
        <v>2953</v>
      </c>
      <c r="E144" s="2674">
        <f>0</f>
        <v>0</v>
      </c>
      <c r="F144" s="2674">
        <f>0</f>
        <v>0</v>
      </c>
      <c r="G144" s="2674">
        <f>0</f>
        <v>0</v>
      </c>
      <c r="H144" s="2674">
        <f>0</f>
        <v>0</v>
      </c>
      <c r="I144" s="2711">
        <f>f_C</f>
        <v>0.1</v>
      </c>
      <c r="J144" s="2674">
        <f>0</f>
        <v>0</v>
      </c>
      <c r="K144" s="2674">
        <f>(1-f_E)*(1-f_C)</f>
        <v>0.82800000000000007</v>
      </c>
      <c r="L144" s="2674">
        <f>0</f>
        <v>0</v>
      </c>
      <c r="M144" s="2674">
        <f>0</f>
        <v>0</v>
      </c>
      <c r="N144" s="2674">
        <f>0</f>
        <v>0</v>
      </c>
      <c r="O144" s="2674">
        <f>0</f>
        <v>0</v>
      </c>
      <c r="P144" s="2674">
        <f>0</f>
        <v>0</v>
      </c>
      <c r="Q144" s="2674">
        <f>0</f>
        <v>0</v>
      </c>
      <c r="R144" s="2674">
        <f>0</f>
        <v>0</v>
      </c>
      <c r="S144" s="2674">
        <f>f_E*(1-f_C)</f>
        <v>7.2000000000000008E-2</v>
      </c>
      <c r="T144" s="2674">
        <f>-1</f>
        <v>-1</v>
      </c>
      <c r="U144" s="2674">
        <f>0</f>
        <v>0</v>
      </c>
      <c r="V144" s="2674">
        <f>0</f>
        <v>0</v>
      </c>
      <c r="W144" s="2674">
        <f>0</f>
        <v>0</v>
      </c>
      <c r="X144" s="2674">
        <f>0</f>
        <v>0</v>
      </c>
      <c r="Y144" s="2674">
        <f>0</f>
        <v>0</v>
      </c>
      <c r="Z144" s="2674">
        <f>0</f>
        <v>0</v>
      </c>
      <c r="AA144" s="2674">
        <f>0</f>
        <v>0</v>
      </c>
      <c r="AB144" s="2674">
        <f>0</f>
        <v>0</v>
      </c>
      <c r="AC144" s="2738">
        <f>0</f>
        <v>0</v>
      </c>
      <c r="AD144" s="2674">
        <f>i_N_BIO-f_E*(1-f_C)*i_N_XE-f_C*i_N_CB-(1-f_E)*(1-f_C)*i_N_BIO</f>
        <v>6.7199999999999899E-3</v>
      </c>
      <c r="AE144" s="2674">
        <f>0</f>
        <v>0</v>
      </c>
      <c r="AF144" s="2674">
        <f>0</f>
        <v>0</v>
      </c>
      <c r="AG144" s="2674">
        <f>0</f>
        <v>0</v>
      </c>
      <c r="AH144" s="2674">
        <f>0</f>
        <v>0</v>
      </c>
      <c r="AI144" s="2674">
        <f>0</f>
        <v>0</v>
      </c>
      <c r="AJ144" s="2674">
        <f>(1-f_E)*(1-f_C)*i_N_BIO</f>
        <v>5.7960000000000012E-2</v>
      </c>
      <c r="AK144" s="2674">
        <f>0</f>
        <v>0</v>
      </c>
      <c r="AL144" s="2674">
        <f>i_P_BIO-f_E*(1-f_C)*i_P_BIO-f_C*i_P_CB-(1-f_E)*(1-f_C)*i_P_BIO</f>
        <v>1.7999999999999995E-3</v>
      </c>
      <c r="AM144" s="2674">
        <f>0</f>
        <v>0</v>
      </c>
      <c r="AN144" s="2674">
        <f>0</f>
        <v>0</v>
      </c>
      <c r="AO144" s="2674">
        <f>0</f>
        <v>0</v>
      </c>
      <c r="AP144" s="2674">
        <f>(1-f_E)*(1-f_C)*i_P_BIO</f>
        <v>1.6560000000000002E-2</v>
      </c>
      <c r="AQ144" s="2674">
        <f>0</f>
        <v>0</v>
      </c>
      <c r="AR144" s="2674">
        <f>0</f>
        <v>0</v>
      </c>
      <c r="AS144" s="2674">
        <f>0</f>
        <v>0</v>
      </c>
      <c r="AT144" s="2674">
        <f>0</f>
        <v>0</v>
      </c>
      <c r="AU144" s="2674">
        <f>i_CIT_BIO-f_E*(1-f_C)*i_CIT_BIO-(1-f_E)*(1-f_C)*i_CIT_XBe-(1-f_E)*f_C*i_CIT_XBe-f_E*f_C*i_CIT_XBe</f>
        <v>6.1248000000000011E-2</v>
      </c>
      <c r="AV144" s="2674">
        <f>0</f>
        <v>0</v>
      </c>
      <c r="AW144" s="2673">
        <f>0</f>
        <v>0</v>
      </c>
      <c r="AX144" s="2673">
        <f>0</f>
        <v>0</v>
      </c>
      <c r="AY144" s="2673">
        <f>0</f>
        <v>0</v>
      </c>
      <c r="AZ144" s="2673">
        <f>0</f>
        <v>0</v>
      </c>
      <c r="BA144" s="2673">
        <f>0</f>
        <v>0</v>
      </c>
      <c r="BB144" s="2673">
        <f>0</f>
        <v>0</v>
      </c>
      <c r="BC144" s="2673">
        <f>0</f>
        <v>0</v>
      </c>
      <c r="BD144" s="2673">
        <f>0</f>
        <v>0</v>
      </c>
      <c r="BE144" s="2673">
        <f>0</f>
        <v>0</v>
      </c>
      <c r="BF144" s="2673">
        <f>0</f>
        <v>0</v>
      </c>
      <c r="BG144" s="2673">
        <f>0</f>
        <v>0</v>
      </c>
      <c r="BH144" s="2673">
        <f>0</f>
        <v>0</v>
      </c>
      <c r="BI144" s="2673">
        <f>0</f>
        <v>0</v>
      </c>
      <c r="BJ144" s="2763">
        <f>0</f>
        <v>0</v>
      </c>
      <c r="BK144" s="2763">
        <f>0</f>
        <v>0</v>
      </c>
      <c r="BL144" s="2763">
        <f>0</f>
        <v>0</v>
      </c>
      <c r="BM144" s="2763">
        <f>0</f>
        <v>0</v>
      </c>
      <c r="BN144" s="2763">
        <f>0</f>
        <v>0</v>
      </c>
      <c r="BO144" s="2763">
        <f>0</f>
        <v>0</v>
      </c>
      <c r="BP144" s="2763">
        <f>0</f>
        <v>0</v>
      </c>
      <c r="BQ144" s="2673">
        <f>0</f>
        <v>0</v>
      </c>
      <c r="BR144" s="2673">
        <f>0</f>
        <v>0</v>
      </c>
      <c r="BS144" s="2763">
        <f>0</f>
        <v>0</v>
      </c>
      <c r="BT144" s="2673">
        <f>0</f>
        <v>0</v>
      </c>
      <c r="BU144" s="2673">
        <f>0</f>
        <v>0</v>
      </c>
      <c r="BV144" s="2786">
        <f>0</f>
        <v>0</v>
      </c>
      <c r="BW144" s="2786">
        <f>0</f>
        <v>0</v>
      </c>
      <c r="BX144" s="2786">
        <f>0</f>
        <v>0</v>
      </c>
      <c r="BY144" s="2786">
        <f>0</f>
        <v>0</v>
      </c>
      <c r="BZ144" s="2673">
        <f>0</f>
        <v>0</v>
      </c>
      <c r="CA144" s="2673">
        <f>0</f>
        <v>0</v>
      </c>
      <c r="CB144" s="2796">
        <f>0</f>
        <v>0</v>
      </c>
      <c r="CC144" s="2673">
        <f>0</f>
        <v>0</v>
      </c>
      <c r="CD144" s="2673">
        <f>0</f>
        <v>0</v>
      </c>
      <c r="CE144" s="2673">
        <f>0</f>
        <v>0</v>
      </c>
      <c r="CF144" s="2673">
        <f>0</f>
        <v>0</v>
      </c>
      <c r="CG144" s="2673">
        <f>0</f>
        <v>0</v>
      </c>
      <c r="CH144" s="2673">
        <f>0</f>
        <v>0</v>
      </c>
      <c r="CI144" s="2673">
        <f>0</f>
        <v>0</v>
      </c>
      <c r="CJ144" s="2673">
        <f>0</f>
        <v>0</v>
      </c>
      <c r="CK144" s="2673">
        <f>0</f>
        <v>0</v>
      </c>
      <c r="CL144" s="2673">
        <f>0</f>
        <v>0</v>
      </c>
      <c r="CM144" s="2673">
        <f>0</f>
        <v>0</v>
      </c>
      <c r="CN144" s="2673">
        <f>0</f>
        <v>0</v>
      </c>
      <c r="CO144" s="2825">
        <f>b_OHO_T*X_OHO*η_b_ana*M_inhSNO2_KNO2_OHO*M_inhSNO3_KNO3_OHO*M_inhSO2_KO2_OHO</f>
        <v>0.11627906976744184</v>
      </c>
      <c r="CQ144" s="2650">
        <f>E248*E144+F248*F144+G248*G144+H248*H144+I248*I144+J248*J144+K248*K144+L248*L144+M248*M144+N248*N144+O248*O144+P248*P144+Q248*Q144+R248*R144+S248*S144+T248*T144+U248*U144+V248*V144+W248*W144+X248*X144+Y248*Y144+Z248*Z144+AA248*AA144+AB248*AB144+AC248*AC144+AD248*AD144+AE248*AE144+AF248*AF144+AG248*AG144+AH248*AH144+AI248*AI144+AJ248*AJ144+AK248*AK144+AL248*AL144+AM248*AM144+AN248*AN144+AO248*AO144+AP248*AP144+AQ248*AQ144+AR248*AR144+AS248*AS144+AT248*AT144+AU248*AU144+AV248*AV144+AW248*AW144+AX248*AX144+AY248*AY144+AZ248*AZ144+BA248*BA144+BB248*BB144+BC248*BC144+BD248*BD144+BE248*BE144+BF248*BF144+BG248*BG144+BH248*BH144+BI248*BI144+BJ248*BJ144+BK248*BK144+BL248*BL144+BM248*BM144+BN248*BN144+BO248*BO144+BP248*BP144+BQ248*BQ144+BR248*BR144+BS248*BS144+BT248*BT144+BU248*BU144+BV248*BV144+BW248*BW144+BX248*BX144+BY248*BY144+BZ248*BZ144+CA248*CA144+CB248*CB144+CC248*CC144+CD248*CD144+CE248*CE144+CF248*CF144+CG248*CG144+CH248*CH144+CI248*CI144+CJ248*CJ144+CK248*CK144+CL248*CL144+CM248*CM144+CN248*CN144</f>
        <v>0</v>
      </c>
      <c r="CR144" s="2650">
        <f>E249*E144+F249*F144+G249*G144+H249*H144+I249*I144+J249*J144+K249*K144+L249*L144+M249*M144+N249*N144+O249*O144+P249*P144+Q249*Q144+R249*R144+S249*S144+T249*T144+U249*U144+V249*V144+W249*W144+X249*X144+Y249*Y144+Z249*Z144+AA249*AA144+AB249*AB144+AC249*AC144+AD249*AD144+AE249*AE144+AF249*AF144+AG249*AG144+AH249*AH144+AI249*AI144+AJ249*AJ144+AK249*AK144+AL249*AL144+AM249*AM144+AN249*AN144+AO249*AO144+AP249*AP144+AQ249*AQ144+AR249*AR144+AS249*AS144+AT249*AT144+AU249*AU144+AV249*AV144+AW249*AW144+AX249*AX144+AY249*AY144+AZ249*AZ144+BA249*BA144+BB249*BB144+BC249*BC144+BD249*BD144+BE249*BE144+BF249*BF144+BG249*BG144+BH249*BH144+BI249*BI144+BJ249*BJ144+BK249*BK144+BL249*BL144+BM249*BM144+BN249*BN144+BO249*BO144+BP249*BP144+BQ249*BQ144+BR249*BR144+BS249*BS144+BT249*BT144+BU249*BU144+BV249*BV144+BW249*BW144+BX249*BX144+BY249*BY144+BZ249*BZ144+CA249*CA144+CB249*CB144+CC249*CC144+CD249*CD144+CE249*CE144+CF249*CF144+CG249*CG144+CH249*CH144+CI249*CI144+CJ249*CJ144+CK249*CK144+CL249*CL144+CM249*CM144+CN249*CN144</f>
        <v>-1.3877787807814457E-17</v>
      </c>
      <c r="CS144" s="2651">
        <f>E250*E144+F250*F144+G250*G144+H250*H144+I250*I144+J250*J144+K250*K144+L250*L144+M250*M144+N250*N144+O250*O144+P250*P144+Q250*Q144+R250*R144+S250*S144+T250*T144+U250*U144+V250*V144+W250*W144+X250*X144+Y250*Y144+Z250*Z144+AA250*AA144+AB250*AB144+AC250*AC144+AD250*AD144+AE250*AE144+AF250*AF144+AG250*AG144+AH250*AH144+AI250*AI144+AJ250*AJ144+AK250*AK144+AL250*AL144+AM250*AM144+AN250*AN144+AO250*AO144+AP250*AP144+AQ250*AQ144+AR250*AR144+AS250*AS144+AT250*AT144+AU250*AU144+AV250*AV144+AW250*AW144+AX250*AX144+AY250*AY144+AZ250*AZ144+BA250*BA144+BB250*BB144+BC250*BC144+BD250*BD144+BE250*BE144+BF250*BF144+BG250*BG144+BH250*BH144+BI250*BI144+BJ250*BJ144+BK250*BK144+BL250*BL144+BM250*BM144+BN250*BN144+BO250*BO144+BP250*BP144+BQ250*BQ144+BR250*BR144+BS250*BS144+BT250*BT144+BU250*BU144+BV250*BV144+BW250*BW144+BX250*BX144+BY250*BY144+BZ250*BZ144+CA250*CA144+CB250*CB144+CC250*CC144+CD250*CD144+CE250*CE144+CF250*CF144+CG250*CG144+CH250*CH144+CI250*CI144+CJ250*CJ144+CK250*CK144+CL250*CL144+CM250*CM144+CN250*CN144</f>
        <v>0</v>
      </c>
      <c r="CT144" s="2652">
        <f>E251*E144+F251*F144+G251*G144+H251*H144+I251*I144+J251*J144+K251*K144+L251*L144+M251*M144+N251*N144+O251*O144+P251*P144+Q251*Q144+R251*R144+S251*S144+T251*T144+U251*U144+V251*V144+W251*W144+X251*X144+Y251*Y144+Z251*Z144+AA251*AA144+AB251*AB144+AC251*AC144+AD251*AD144+AE251*AE144+AF251*AF144+AG251*AG144+AH251*AH144+AI251*AI144+AJ251*AJ144+AK251*AK144+AL251*AL144+AM251*AM144+AN251*AN144+AO251*AO144+AP251*AP144+AQ251*AQ144+AR251*AR144+AS251*AS144+AT251*AT144+AU251*AU144+AV251*AV144+AW251*AW144+AX251*AX144+AY251*AY144+AZ251*AZ144+BA251*BA144+BB251*BB144+BC251*BC144+BD251*BD144+BE251*BE144+BF251*BF144+BG251*BG144+BH251*BH144+BI251*BI144+BJ251*BJ144+BK251*BK144+BL251*BL144+BM251*BM144+BN251*BN144+BO251*BO144+BP251*BP144+BQ251*BQ144+BR251*BR144+BS251*BS144+BT251*BT144+BU251*BU144+BV251*BV144+BW251*BW144+BX251*BX144+BY251*BY144+BZ251*BZ144+CA251*CA144+CB251*CB144+CC251*CC144+CD251*CD144+CE251*CE144+CF251*CF144+CG251*CG144+CH251*CH144+CI251*CI144+CJ251*CJ144+CK251*CK144+CL251*CL144+CM251*CM144+CN251*CN144</f>
        <v>0</v>
      </c>
      <c r="CU144" s="2652">
        <f>E252*E144+F252*F144+G252*G144+H252*H144+I252*I144+J252*J144+K252*K144+L252*L144+M252*M144+N252*N144+O252*O144+P252*P144+Q252*Q144+R252*R144+S252*S144+T252*T144+U252*U144+V252*V144+W252*W144+X252*X144+Y252*Y144+Z252*Z144+AA252*AA144+AB252*AB144+AC252*AC144+AD252*AD144+AE252*AE144+AF252*AF144+AG252*AG144+AH252*AH144+AI252*AI144+AJ252*AJ144+AK252*AK144+AL252*AL144+AM252*AM144+AN252*AN144+AO252*AO144+AP252*AP144+AQ252*AQ144+AR252*AR144+AS252*AS144+AT252*AT144+AU252*AU144+AV252*AV144+AW252*AW144+AX252*AX144+AY252*AY144+AZ252*AZ144+BA252*BA144+BB252*BB144+BC252*BC144+BD252*BD144+BE252*BE144+BF252*BF144+BG252*BG144+BH252*BH144+BI252*BI144+BJ252*BJ144+BK252*BK144+BL252*BL144+BM252*BM144+BN252*BN144+BO252*BO144+BP252*BP144+BQ252*BQ144+BR252*BR144+BS252*BS144+BT252*BT144+BU252*BU144+BV252*BV144+BW252*BW144+BX252*BX144+BY252*BY144+BZ252*BZ144+CA252*CA144+CB252*CB144+CC252*CC144+CD252*CD144+CE252*CE144+CF252*CF144+CG252*CG144+CH252*CH144+CI252*CI144+CJ252*CJ144+CK252*CK144+CL252*CL144+CM252*CM144+CN252*CN144</f>
        <v>0</v>
      </c>
      <c r="CV144" s="2652">
        <f>E253*E144+F253*F144+G253*G144+H253*H144+I253*I144+J253*J144+K253*K144+L253*L144+M253*M144+N253*N144+O253*O144+P253*P144+Q253*Q144+R253*R144+S253*S144+T253*T144+U253*U144+V253*V144+W253*W144+X253*X144+Y253*Y144+Z253*Z144+AA253*AA144+AB253*AB144+AC253*AC144+AD253*AD144+AE253*AE144+AF253*AF144+AG253*AG144+AH253*AH144+AI253*AI144+AJ253*AJ144+AK253*AK144+AL253*AL144+AM253*AM144+AN253*AN144+AO253*AO144+AP253*AP144+AQ253*AQ144+AR253*AR144+AS253*AS144+AT253*AT144+AU253*AU144+AV253*AV144+AW253*AW144+AX253*AX144+AY253*AY144+AZ253*AZ144+BA253*BA144+BB253*BB144+BC253*BC144+BD253*BD144+BE253*BE144+BF253*BF144+BG253*BG144+BH253*BH144+BI253*BI144+BJ253*BJ144+BK253*BK144+BL253*BL144+BM253*BM144+BN253*BN144+BO253*BO144+BP253*BP144+BQ253*BQ144+BR253*BR144+BS253*BS144+BT253*BT144+BU253*BU144+BV253*BV144+BW253*BW144+BX253*BX144+BY253*BY144+BZ253*BZ144+CA253*CA144+CB253*CB144+CC253*CC144+CD253*CD144+CE253*CE144+CF253*CF144+CG253*CG144+CH253*CH144+CI253*CI144+CJ253*CJ144+CK253*CK144+CL253*CL144+CM253*CM144+CN253*CN144</f>
        <v>0</v>
      </c>
      <c r="CW144" s="2652">
        <f>E254*E144+F254*F144+G254*G144+H254*H144+I254*I144+J254*J144+K254*K144+L254*L144+M254*M144+N254*N144+O254*O144+P254*P144+Q254*Q144+R254*R144+S254*S144+T254*T144+U254*U144+V254*V144+W254*W144+X254*X144+Y254*Y144+Z254*Z144+AA254*AA144+AB254*AB144+AC254*AC144+AD254*AD144+AE254*AE144+AF254*AF144+AG254*AG144+AH254*AH144+AI254*AI144+AJ254*AJ144+AK254*AK144+AL254*AL144+AM254*AM144+AN254*AN144+AO254*AO144+AP254*AP144+AQ254*AQ144+AR254*AR144+AS254*AS144+AT254*AT144+AU254*AU144+AV254*AV144+AW254*AW144+AX254*AX144+AY254*AY144+AZ254*AZ144+BA254*BA144+BB254*BB144+BC254*BC144+BD254*BD144+BE254*BE144+BF254*BF144+BG254*BG144+BH254*BH144+BI254*BI144+BJ254*BJ144+BK254*BK144+BL254*BL144+BM254*BM144+BN254*BN144+BO254*BO144+BP254*BP144+BQ254*BQ144+BR254*BR144+BS254*BS144+BT254*BT144+BU254*BU144+BV254*BV144+BW254*BW144+BX254*BX144+BY254*BY144+BZ254*BZ144+CA254*CA144+CB254*CB144+CC254*CC144+CD254*CD144+CE254*CE144+CF254*CF144+CG254*CG144+CH254*CH144+CI254*CI144+CJ254*CJ144+CK254*CK144+CL254*CL144+CM254*CM144+CN254*CN144</f>
        <v>0</v>
      </c>
      <c r="CX144" s="2652">
        <f>E255*E144+F255*F144+G255*G144+H255*H144+I255*I144+J255*J144+K255*K144+L255*L144+M255*M144+N255*N144+O255*O144+P255*P144+Q255*Q144+R255*R144+S255*S144+T255*T144+U255*U144+V255*V144+W255*W144+X255*X144+Y255*Y144+Z255*Z144+AA255*AA144+AB255*AB144+AC255*AC144+AD255*AD144+AE255*AE144+AF255*AF144+AG255*AG144+AH255*AH144+AI255*AI144+AJ255*AJ144+AK255*AK144+AL255*AL144+AM255*AM144+AN255*AN144+AO255*AO144+AP255*AP144+AQ255*AQ144+AR255*AR144+AS255*AS144+AT255*AT144+AU255*AU144+AV255*AV144+AW255*AW144+AX255*AX144+AY255*AY144+AZ255*AZ144+BA255*BA144+BB255*BB144+BC255*BC144+BD255*BD144+BE255*BE144+BF255*BF144+BG255*BG144+BH255*BH144+BI255*BI144+BJ255*BJ144+BK255*BK144+BL255*BL144+BM255*BM144+BN255*BN144+BO255*BO144+BP255*BP144+BQ255*BQ144+BR255*BR144+BS255*BS144+BT255*BT144+BU255*BU144+BV255*BV144+BW255*BW144+BX255*BX144+BY255*BY144+BZ255*BZ144+CA255*CA144+CB255*CB144+CC255*CC144+CD255*CD144+CE255*CE144+CF255*CF144+CG255*CG144+CH255*CH144+CI255*CI144+CJ255*CJ144+CK255*CK144+CL255*CL144+CM255*CM144+CN255*CN144</f>
        <v>0</v>
      </c>
      <c r="CY144" s="2652">
        <f>E256*E144+F256*F144+G256*G144+H256*H144+I256*I144+J256*J144+K256*K144+L256*L144+M256*M144+N256*N144+O256*O144+P256*P144+Q256*Q144+R256*R144+S256*S144+T256*T144+U256*U144+V256*V144+W256*W144+X256*X144+Y256*Y144+Z256*Z144+AA256*AA144+AB256*AB144+AC256*AC144+AD256*AD144+AE256*AE144+AF256*AF144+AG256*AG144+AH256*AH144+AI256*AI144+AJ256*AJ144+AK256*AK144+AL256*AL144+AM256*AM144+AN256*AN144+AO256*AO144+AP256*AP144+AQ256*AQ144+AR256*AR144+AS256*AS144+AT256*AT144+AU256*AU144+AV256*AV144+AW256*AW144+AX256*AX144+AY256*AY144+AZ256*AZ144+BA256*BA144+BB256*BB144+BC256*BC144+BD256*BD144+BE256*BE144+BF256*BF144+BG256*BG144+BH256*BH144+BI256*BI144+BJ256*BJ144+BK256*BK144+BL256*BL144+BM256*BM144+BN256*BN144+BO256*BO144+BP256*BP144+BQ256*BQ144+BR256*BR144+BS256*BS144+BT256*BT144+BU256*BU144+BV256*BV144+BW256*BW144+BX256*BX144+BY256*BY144+BZ256*BZ144+CA256*CA144+CB256*CB144+CC256*CC144+CD256*CD144+CE256*CE144+CF256*CF144+CG256*CG144+CH256*CH144+CI256*CI144+CJ256*CJ144+CK256*CK144+CL256*CL144+CM256*CM144+CN256*CN144</f>
        <v>0</v>
      </c>
      <c r="CZ144" s="2652">
        <f>E257*E144+F257*F144+G257*G144+H257*H144+I257*I144+J257*J144+K257*K144+L257*L144+M257*M144+N257*N144+O257*O144+P257*P144+Q257*Q144+R257*R144+S257*S144+T257*T144+U257*U144+V257*V144+W257*W144+X257*X144+Y257*Y144+Z257*Z144+AA257*AA144+AB257*AB144+AC257*AC144+AD257*AD144+AE257*AE144+AF257*AF144+AG257*AG144+AH257*AH144+AI257*AI144+AJ257*AJ144+AK257*AK144+AL257*AL144+AM257*AM144+AN257*AN144+AO257*AO144+AP257*AP144+AQ257*AQ144+AR257*AR144+AS257*AS144+AT257*AT144+AU257*AU144+AV257*AV144+AW257*AW144+AX257*AX144+AY257*AY144+AZ257*AZ144+BA257*BA144+BB257*BB144+BC257*BC144+BD257*BD144+BE257*BE144+BF257*BF144+BG257*BG144+BH257*BH144+BI257*BI144+BJ257*BJ144+BK257*BK144+BL257*BL144+BM257*BM144+BN257*BN144+BO257*BO144+BP257*BP144+BQ257*BQ144+BR257*BR144+BS257*BS144+BT257*BT144+BU257*BU144+BV257*BV144+BW257*BW144+BX257*BX144+BY257*BY144+BZ257*BZ144+CA257*CA144+CB257*CB144+CC257*CC144+CD257*CD144+CE257*CE144+CF257*CF144+CG257*CG144+CH257*CH144+CI257*CI144+CJ257*CJ144+CK257*CK144+CL257*CL144+CM257*CM144+CN257*CN144</f>
        <v>0</v>
      </c>
      <c r="DA144" s="2652">
        <f>E258*E144+F258*F144+G258*G144+H258*H144+I258*I144+J258*J144+K258*K144+L258*L144+M258*M144+N258*N144+O258*O144+P258*P144+Q258*Q144+R258*R144+S258*S144+T258*T144+U258*U144+V258*V144+W258*W144+X258*X144+Y258*Y144+Z258*Z144+AA258*AA144+AB258*AB144+AC258*AC144+AD258*AD144+AE258*AE144+AF258*AF144+AG258*AG144+AH258*AH144+AI258*AI144+AJ258*AJ144+AK258*AK144+AL258*AL144+AM258*AM144+AN258*AN144+AO258*AO144+AP258*AP144+AQ258*AQ144+AR258*AR144+AS258*AS144+AT258*AT144+AU258*AU144+AV258*AV144+AW258*AW144+AX258*AX144+AY258*AY144+AZ258*AZ144+BA258*BA144+BB258*BB144+BC258*BC144+BD258*BD144+BE258*BE144+BF258*BF144+BG258*BG144+BH258*BH144+BI258*BI144+BJ258*BJ144+BK258*BK144+BL258*BL144+BM258*BM144+BN258*BN144+BO258*BO144+BP258*BP144+BQ258*BQ144+BR258*BR144+BS258*BS144+BT258*BT144+BU258*BU144+BV258*BV144+BW258*BW144+BX258*BX144+BY258*BY144+BZ258*BZ144+CA258*CA144+CB258*CB144+CC258*CC144+CD258*CD144+CE258*CE144+CF258*CF144+CG258*CG144+CH258*CH144+CI258*CI144+CJ258*CJ144+CK258*CK144+CL258*CL144+CM258*CM144+CN258*CN144</f>
        <v>0</v>
      </c>
    </row>
    <row r="145" spans="2:105" ht="18" x14ac:dyDescent="0.35">
      <c r="B145" s="1081">
        <v>12</v>
      </c>
      <c r="C145" s="1071" t="s">
        <v>234</v>
      </c>
      <c r="D145" s="795" t="s">
        <v>3549</v>
      </c>
      <c r="E145" s="2675">
        <f>0</f>
        <v>0</v>
      </c>
      <c r="F145" s="2675">
        <f>-1</f>
        <v>-1</v>
      </c>
      <c r="G145" s="2676">
        <f>0</f>
        <v>0</v>
      </c>
      <c r="H145" s="2676">
        <f>0</f>
        <v>0</v>
      </c>
      <c r="I145" s="2676">
        <f>0</f>
        <v>0</v>
      </c>
      <c r="J145" s="2676">
        <f>0</f>
        <v>0</v>
      </c>
      <c r="K145" s="2676">
        <f>0</f>
        <v>0</v>
      </c>
      <c r="L145" s="2676">
        <f>0</f>
        <v>0</v>
      </c>
      <c r="M145" s="2676">
        <f>0</f>
        <v>0</v>
      </c>
      <c r="N145" s="2676">
        <f>0</f>
        <v>0</v>
      </c>
      <c r="O145" s="2676">
        <f>1</f>
        <v>1</v>
      </c>
      <c r="P145" s="2676">
        <f>0</f>
        <v>0</v>
      </c>
      <c r="Q145" s="2676">
        <f>0</f>
        <v>0</v>
      </c>
      <c r="R145" s="2676">
        <f>0</f>
        <v>0</v>
      </c>
      <c r="S145" s="2676">
        <f>0</f>
        <v>0</v>
      </c>
      <c r="T145" s="2676">
        <f>0</f>
        <v>0</v>
      </c>
      <c r="U145" s="2676">
        <f>0</f>
        <v>0</v>
      </c>
      <c r="V145" s="2676">
        <f>0</f>
        <v>0</v>
      </c>
      <c r="W145" s="2676">
        <f>0</f>
        <v>0</v>
      </c>
      <c r="X145" s="2676">
        <f>0</f>
        <v>0</v>
      </c>
      <c r="Y145" s="2676">
        <f>0</f>
        <v>0</v>
      </c>
      <c r="Z145" s="2676">
        <f>0</f>
        <v>0</v>
      </c>
      <c r="AA145" s="2676">
        <f>0</f>
        <v>0</v>
      </c>
      <c r="AB145" s="2676">
        <f>0</f>
        <v>0</v>
      </c>
      <c r="AC145" s="2739">
        <f>0</f>
        <v>0</v>
      </c>
      <c r="AD145" s="2676">
        <f>0</f>
        <v>0</v>
      </c>
      <c r="AE145" s="2676">
        <f>0</f>
        <v>0</v>
      </c>
      <c r="AF145" s="2676">
        <f>0</f>
        <v>0</v>
      </c>
      <c r="AG145" s="2676">
        <f>0</f>
        <v>0</v>
      </c>
      <c r="AH145" s="2676">
        <f>0</f>
        <v>0</v>
      </c>
      <c r="AI145" s="2676">
        <f>0</f>
        <v>0</v>
      </c>
      <c r="AJ145" s="2676">
        <f>0</f>
        <v>0</v>
      </c>
      <c r="AK145" s="2676">
        <f>0</f>
        <v>0</v>
      </c>
      <c r="AL145" s="2676">
        <f>0</f>
        <v>0</v>
      </c>
      <c r="AM145" s="2676">
        <f>0</f>
        <v>0</v>
      </c>
      <c r="AN145" s="2676">
        <f>0</f>
        <v>0</v>
      </c>
      <c r="AO145" s="2676">
        <f>0</f>
        <v>0</v>
      </c>
      <c r="AP145" s="2676">
        <f>0</f>
        <v>0</v>
      </c>
      <c r="AQ145" s="2676">
        <f>0</f>
        <v>0</v>
      </c>
      <c r="AR145" s="2676">
        <f>0</f>
        <v>0</v>
      </c>
      <c r="AS145" s="2676">
        <f>0</f>
        <v>0</v>
      </c>
      <c r="AT145" s="2676">
        <f>0</f>
        <v>0</v>
      </c>
      <c r="AU145" s="2676">
        <f>i_CIT_SB_mono-i_CIT_SB_mono</f>
        <v>0</v>
      </c>
      <c r="AV145" s="2676">
        <f>0</f>
        <v>0</v>
      </c>
      <c r="AW145" s="2676">
        <f>0</f>
        <v>0</v>
      </c>
      <c r="AX145" s="2676">
        <f>0</f>
        <v>0</v>
      </c>
      <c r="AY145" s="2676">
        <f>0</f>
        <v>0</v>
      </c>
      <c r="AZ145" s="2676">
        <f>0</f>
        <v>0</v>
      </c>
      <c r="BA145" s="2676">
        <f>0</f>
        <v>0</v>
      </c>
      <c r="BB145" s="2676">
        <f>0</f>
        <v>0</v>
      </c>
      <c r="BC145" s="2676">
        <f>0</f>
        <v>0</v>
      </c>
      <c r="BD145" s="2676">
        <f>0</f>
        <v>0</v>
      </c>
      <c r="BE145" s="2676">
        <f>0</f>
        <v>0</v>
      </c>
      <c r="BF145" s="2676">
        <f>0</f>
        <v>0</v>
      </c>
      <c r="BG145" s="2676">
        <f>0</f>
        <v>0</v>
      </c>
      <c r="BH145" s="2676">
        <f>0</f>
        <v>0</v>
      </c>
      <c r="BI145" s="2676">
        <f>0</f>
        <v>0</v>
      </c>
      <c r="BJ145" s="2764">
        <f>0</f>
        <v>0</v>
      </c>
      <c r="BK145" s="2764">
        <f>0</f>
        <v>0</v>
      </c>
      <c r="BL145" s="2764">
        <f>0</f>
        <v>0</v>
      </c>
      <c r="BM145" s="2764">
        <f>0</f>
        <v>0</v>
      </c>
      <c r="BN145" s="2764">
        <f>0</f>
        <v>0</v>
      </c>
      <c r="BO145" s="2764">
        <f>0</f>
        <v>0</v>
      </c>
      <c r="BP145" s="2764">
        <f>0</f>
        <v>0</v>
      </c>
      <c r="BQ145" s="2676">
        <f>0</f>
        <v>0</v>
      </c>
      <c r="BR145" s="2676">
        <f>0</f>
        <v>0</v>
      </c>
      <c r="BS145" s="2764">
        <f>0</f>
        <v>0</v>
      </c>
      <c r="BT145" s="2676">
        <f>0</f>
        <v>0</v>
      </c>
      <c r="BU145" s="2676">
        <f>0</f>
        <v>0</v>
      </c>
      <c r="BV145" s="2739">
        <f>0</f>
        <v>0</v>
      </c>
      <c r="BW145" s="2739">
        <f>0</f>
        <v>0</v>
      </c>
      <c r="BX145" s="2739">
        <f>0</f>
        <v>0</v>
      </c>
      <c r="BY145" s="2739">
        <f>0</f>
        <v>0</v>
      </c>
      <c r="BZ145" s="2676">
        <f>0</f>
        <v>0</v>
      </c>
      <c r="CA145" s="2676">
        <f>0</f>
        <v>0</v>
      </c>
      <c r="CB145" s="2797">
        <f>0</f>
        <v>0</v>
      </c>
      <c r="CC145" s="2676">
        <f>0</f>
        <v>0</v>
      </c>
      <c r="CD145" s="2676">
        <f>0</f>
        <v>0</v>
      </c>
      <c r="CE145" s="2676">
        <f>0</f>
        <v>0</v>
      </c>
      <c r="CF145" s="2676">
        <f>0</f>
        <v>0</v>
      </c>
      <c r="CG145" s="2676">
        <f>0</f>
        <v>0</v>
      </c>
      <c r="CH145" s="2676">
        <f>0</f>
        <v>0</v>
      </c>
      <c r="CI145" s="2676">
        <f>0</f>
        <v>0</v>
      </c>
      <c r="CJ145" s="2676">
        <f>0</f>
        <v>0</v>
      </c>
      <c r="CK145" s="2676">
        <f>0</f>
        <v>0</v>
      </c>
      <c r="CL145" s="2676">
        <f>0</f>
        <v>0</v>
      </c>
      <c r="CM145" s="2676">
        <f>0</f>
        <v>0</v>
      </c>
      <c r="CN145" s="2676">
        <f>0</f>
        <v>0</v>
      </c>
      <c r="CO145" s="2826">
        <f>q_AHO_STO*X_AHO*S_B_mono/(S_VFA+S_B_mono)*M_satSB_KSB_mono*L_oginhXSTO_XAHO_max*(M_satSO2_KO2_AHO+η_STO_AHO_anox*M_satSNO2_KNO2_AHO*M_inhSO2_KO2_AHO+η_STO_AHO_anox*M_satSNO3_KNO3_AHO*M_inhSNO2_KNO2_AHO*M_inhSO2_KO2_AHO+η_STO_AHO_ana*M_inhSNO2_KNO2_AHO*M_inhSNO3_KNO3_AHO*M_inhSO2_KiO2_AHO)</f>
        <v>0</v>
      </c>
      <c r="CQ145" s="2650">
        <f>E248*E145+F248*F145+G248*G145+H248*H145+I248*I145+J248*J145+K248*K145+L248*L145+M248*M145+N248*N145+O248*O145+P248*P145+Q248*Q145+R248*R145+S248*S145+T248*T145+U248*U145+V248*V145+W248*W145+X248*X145+Y248*Y145+Z248*Z145+AA248*AA145+AB248*AB145+AC248*AC145+AD248*AD145+AE248*AE145+AF248*AF145+AG248*AG145+AH248*AH145+AI248*AI145+AJ248*AJ145+AK248*AK145+AL248*AL145+AM248*AM145+AN248*AN145+AO248*AO145+AP248*AP145+AQ248*AQ145+AR248*AR145+AS248*AS145+AT248*AT145+AU248*AU145+AV248*AV145+AW248*AW145+AX248*AX145+AY248*AY145+AZ248*AZ145+BA248*BA145+BB248*BB145+BC248*BC145+BD248*BD145+BE248*BE145+BF248*BF145+BG248*BG145+BH248*BH145+BI248*BI145+BJ248*BJ145+BK248*BK145+BL248*BL145+BM248*BM145+BN248*BN145+BO248*BO145+BP248*BP145+BQ248*BQ145+BR248*BR145+BS248*BS145+BT248*BT145+BU248*BU145+BV248*BV145+BW248*BW145+BX248*BX145+BY248*BY145+BZ248*BZ145+CA248*CA145+CB248*CB145+CC248*CC145+CD248*CD145+CE248*CE145+CF248*CF145+CG248*CG145+CH248*CH145+CI248*CI145+CJ248*CJ145+CK248*CK145+CL248*CL145+CM248*CM145+CN248*CN145</f>
        <v>0</v>
      </c>
      <c r="CR145" s="2650">
        <f>E249*E145+F249*F145+G249*G145+H249*H145+I249*I145+J249*J145+K249*K145+L249*L145+M249*M145+N249*N145+O249*O145+P249*P145+Q249*Q145+R249*R145+S249*S145+T249*T145+U249*U145+V249*V145+W249*W145+X249*X145+Y249*Y145+Z249*Z145+AA249*AA145+AB249*AB145+AC249*AC145+AD249*AD145+AE249*AE145+AF249*AF145+AG249*AG145+AH249*AH145+AI249*AI145+AJ249*AJ145+AK249*AK145+AL249*AL145+AM249*AM145+AN249*AN145+AO249*AO145+AP249*AP145+AQ249*AQ145+AR249*AR145+AS249*AS145+AT249*AT145+AU249*AU145+AV249*AV145+AW249*AW145+AX249*AX145+AY249*AY145+AZ249*AZ145+BA249*BA145+BB249*BB145+BC249*BC145+BD249*BD145+BE249*BE145+BF249*BF145+BG249*BG145+BH249*BH145+BI249*BI145+BJ249*BJ145+BK249*BK145+BL249*BL145+BM249*BM145+BN249*BN145+BO249*BO145+BP249*BP145+BQ249*BQ145+BR249*BR145+BS249*BS145+BT249*BT145+BU249*BU145+BV249*BV145+BW249*BW145+BX249*BX145+BY249*BY145+BZ249*BZ145+CA249*CA145+CB249*CB145+CC249*CC145+CD249*CD145+CE249*CE145+CF249*CF145+CG249*CG145+CH249*CH145+CI249*CI145+CJ249*CJ145+CK249*CK145+CL249*CL145+CM249*CM145+CN249*CN145</f>
        <v>0</v>
      </c>
      <c r="CS145" s="2651">
        <f>E250*E145+F250*F145+G250*G145+H250*H145+I250*I145+J250*J145+K250*K145+L250*L145+M250*M145+N250*N145+O250*O145+P250*P145+Q250*Q145+R250*R145+S250*S145+T250*T145+U250*U145+V250*V145+W250*W145+X250*X145+Y250*Y145+Z250*Z145+AA250*AA145+AB250*AB145+AC250*AC145+AD250*AD145+AE250*AE145+AF250*AF145+AG250*AG145+AH250*AH145+AI250*AI145+AJ250*AJ145+AK250*AK145+AL250*AL145+AM250*AM145+AN250*AN145+AO250*AO145+AP250*AP145+AQ250*AQ145+AR250*AR145+AS250*AS145+AT250*AT145+AU250*AU145+AV250*AV145+AW250*AW145+AX250*AX145+AY250*AY145+AZ250*AZ145+BA250*BA145+BB250*BB145+BC250*BC145+BD250*BD145+BE250*BE145+BF250*BF145+BG250*BG145+BH250*BH145+BI250*BI145+BJ250*BJ145+BK250*BK145+BL250*BL145+BM250*BM145+BN250*BN145+BO250*BO145+BP250*BP145+BQ250*BQ145+BR250*BR145+BS250*BS145+BT250*BT145+BU250*BU145+BV250*BV145+BW250*BW145+BX250*BX145+BY250*BY145+BZ250*BZ145+CA250*CA145+CB250*CB145+CC250*CC145+CD250*CD145+CE250*CE145+CF250*CF145+CG250*CG145+CH250*CH145+CI250*CI145+CJ250*CJ145+CK250*CK145+CL250*CL145+CM250*CM145+CN250*CN145</f>
        <v>0</v>
      </c>
      <c r="CT145" s="2652">
        <f>E251*E145+F251*F145+G251*G145+H251*H145+I251*I145+J251*J145+K251*K145+L251*L145+M251*M145+N251*N145+O251*O145+P251*P145+Q251*Q145+R251*R145+S251*S145+T251*T145+U251*U145+V251*V145+W251*W145+X251*X145+Y251*Y145+Z251*Z145+AA251*AA145+AB251*AB145+AC251*AC145+AD251*AD145+AE251*AE145+AF251*AF145+AG251*AG145+AH251*AH145+AI251*AI145+AJ251*AJ145+AK251*AK145+AL251*AL145+AM251*AM145+AN251*AN145+AO251*AO145+AP251*AP145+AQ251*AQ145+AR251*AR145+AS251*AS145+AT251*AT145+AU251*AU145+AV251*AV145+AW251*AW145+AX251*AX145+AY251*AY145+AZ251*AZ145+BA251*BA145+BB251*BB145+BC251*BC145+BD251*BD145+BE251*BE145+BF251*BF145+BG251*BG145+BH251*BH145+BI251*BI145+BJ251*BJ145+BK251*BK145+BL251*BL145+BM251*BM145+BN251*BN145+BO251*BO145+BP251*BP145+BQ251*BQ145+BR251*BR145+BS251*BS145+BT251*BT145+BU251*BU145+BV251*BV145+BW251*BW145+BX251*BX145+BY251*BY145+BZ251*BZ145+CA251*CA145+CB251*CB145+CC251*CC145+CD251*CD145+CE251*CE145+CF251*CF145+CG251*CG145+CH251*CH145+CI251*CI145+CJ251*CJ145+CK251*CK145+CL251*CL145+CM251*CM145+CN251*CN145</f>
        <v>0</v>
      </c>
      <c r="CU145" s="2652">
        <f>E252*E145+F252*F145+G252*G145+H252*H145+I252*I145+J252*J145+K252*K145+L252*L145+M252*M145+N252*N145+O252*O145+P252*P145+Q252*Q145+R252*R145+S252*S145+T252*T145+U252*U145+V252*V145+W252*W145+X252*X145+Y252*Y145+Z252*Z145+AA252*AA145+AB252*AB145+AC252*AC145+AD252*AD145+AE252*AE145+AF252*AF145+AG252*AG145+AH252*AH145+AI252*AI145+AJ252*AJ145+AK252*AK145+AL252*AL145+AM252*AM145+AN252*AN145+AO252*AO145+AP252*AP145+AQ252*AQ145+AR252*AR145+AS252*AS145+AT252*AT145+AU252*AU145+AV252*AV145+AW252*AW145+AX252*AX145+AY252*AY145+AZ252*AZ145+BA252*BA145+BB252*BB145+BC252*BC145+BD252*BD145+BE252*BE145+BF252*BF145+BG252*BG145+BH252*BH145+BI252*BI145+BJ252*BJ145+BK252*BK145+BL252*BL145+BM252*BM145+BN252*BN145+BO252*BO145+BP252*BP145+BQ252*BQ145+BR252*BR145+BS252*BS145+BT252*BT145+BU252*BU145+BV252*BV145+BW252*BW145+BX252*BX145+BY252*BY145+BZ252*BZ145+CA252*CA145+CB252*CB145+CC252*CC145+CD252*CD145+CE252*CE145+CF252*CF145+CG252*CG145+CH252*CH145+CI252*CI145+CJ252*CJ145+CK252*CK145+CL252*CL145+CM252*CM145+CN252*CN145</f>
        <v>0</v>
      </c>
      <c r="CV145" s="2652">
        <f>E253*E145+F253*F145+G253*G145+H253*H145+I253*I145+J253*J145+K253*K145+L253*L145+M253*M145+N253*N145+O253*O145+P253*P145+Q253*Q145+R253*R145+S253*S145+T253*T145+U253*U145+V253*V145+W253*W145+X253*X145+Y253*Y145+Z253*Z145+AA253*AA145+AB253*AB145+AC253*AC145+AD253*AD145+AE253*AE145+AF253*AF145+AG253*AG145+AH253*AH145+AI253*AI145+AJ253*AJ145+AK253*AK145+AL253*AL145+AM253*AM145+AN253*AN145+AO253*AO145+AP253*AP145+AQ253*AQ145+AR253*AR145+AS253*AS145+AT253*AT145+AU253*AU145+AV253*AV145+AW253*AW145+AX253*AX145+AY253*AY145+AZ253*AZ145+BA253*BA145+BB253*BB145+BC253*BC145+BD253*BD145+BE253*BE145+BF253*BF145+BG253*BG145+BH253*BH145+BI253*BI145+BJ253*BJ145+BK253*BK145+BL253*BL145+BM253*BM145+BN253*BN145+BO253*BO145+BP253*BP145+BQ253*BQ145+BR253*BR145+BS253*BS145+BT253*BT145+BU253*BU145+BV253*BV145+BW253*BW145+BX253*BX145+BY253*BY145+BZ253*BZ145+CA253*CA145+CB253*CB145+CC253*CC145+CD253*CD145+CE253*CE145+CF253*CF145+CG253*CG145+CH253*CH145+CI253*CI145+CJ253*CJ145+CK253*CK145+CL253*CL145+CM253*CM145+CN253*CN145</f>
        <v>0</v>
      </c>
      <c r="CW145" s="2652">
        <f>E254*E145+F254*F145+G254*G145+H254*H145+I254*I145+J254*J145+K254*K145+L254*L145+M254*M145+N254*N145+O254*O145+P254*P145+Q254*Q145+R254*R145+S254*S145+T254*T145+U254*U145+V254*V145+W254*W145+X254*X145+Y254*Y145+Z254*Z145+AA254*AA145+AB254*AB145+AC254*AC145+AD254*AD145+AE254*AE145+AF254*AF145+AG254*AG145+AH254*AH145+AI254*AI145+AJ254*AJ145+AK254*AK145+AL254*AL145+AM254*AM145+AN254*AN145+AO254*AO145+AP254*AP145+AQ254*AQ145+AR254*AR145+AS254*AS145+AT254*AT145+AU254*AU145+AV254*AV145+AW254*AW145+AX254*AX145+AY254*AY145+AZ254*AZ145+BA254*BA145+BB254*BB145+BC254*BC145+BD254*BD145+BE254*BE145+BF254*BF145+BG254*BG145+BH254*BH145+BI254*BI145+BJ254*BJ145+BK254*BK145+BL254*BL145+BM254*BM145+BN254*BN145+BO254*BO145+BP254*BP145+BQ254*BQ145+BR254*BR145+BS254*BS145+BT254*BT145+BU254*BU145+BV254*BV145+BW254*BW145+BX254*BX145+BY254*BY145+BZ254*BZ145+CA254*CA145+CB254*CB145+CC254*CC145+CD254*CD145+CE254*CE145+CF254*CF145+CG254*CG145+CH254*CH145+CI254*CI145+CJ254*CJ145+CK254*CK145+CL254*CL145+CM254*CM145+CN254*CN145</f>
        <v>0</v>
      </c>
      <c r="CX145" s="2652">
        <f>E255*E145+F255*F145+G255*G145+H255*H145+I255*I145+J255*J145+K255*K145+L255*L145+M255*M145+N255*N145+O255*O145+P255*P145+Q255*Q145+R255*R145+S255*S145+T255*T145+U255*U145+V255*V145+W255*W145+X255*X145+Y255*Y145+Z255*Z145+AA255*AA145+AB255*AB145+AC255*AC145+AD255*AD145+AE255*AE145+AF255*AF145+AG255*AG145+AH255*AH145+AI255*AI145+AJ255*AJ145+AK255*AK145+AL255*AL145+AM255*AM145+AN255*AN145+AO255*AO145+AP255*AP145+AQ255*AQ145+AR255*AR145+AS255*AS145+AT255*AT145+AU255*AU145+AV255*AV145+AW255*AW145+AX255*AX145+AY255*AY145+AZ255*AZ145+BA255*BA145+BB255*BB145+BC255*BC145+BD255*BD145+BE255*BE145+BF255*BF145+BG255*BG145+BH255*BH145+BI255*BI145+BJ255*BJ145+BK255*BK145+BL255*BL145+BM255*BM145+BN255*BN145+BO255*BO145+BP255*BP145+BQ255*BQ145+BR255*BR145+BS255*BS145+BT255*BT145+BU255*BU145+BV255*BV145+BW255*BW145+BX255*BX145+BY255*BY145+BZ255*BZ145+CA255*CA145+CB255*CB145+CC255*CC145+CD255*CD145+CE255*CE145+CF255*CF145+CG255*CG145+CH255*CH145+CI255*CI145+CJ255*CJ145+CK255*CK145+CL255*CL145+CM255*CM145+CN255*CN145</f>
        <v>0</v>
      </c>
      <c r="CY145" s="2652">
        <f>E256*E145+F256*F145+G256*G145+H256*H145+I256*I145+J256*J145+K256*K145+L256*L145+M256*M145+N256*N145+O256*O145+P256*P145+Q256*Q145+R256*R145+S256*S145+T256*T145+U256*U145+V256*V145+W256*W145+X256*X145+Y256*Y145+Z256*Z145+AA256*AA145+AB256*AB145+AC256*AC145+AD256*AD145+AE256*AE145+AF256*AF145+AG256*AG145+AH256*AH145+AI256*AI145+AJ256*AJ145+AK256*AK145+AL256*AL145+AM256*AM145+AN256*AN145+AO256*AO145+AP256*AP145+AQ256*AQ145+AR256*AR145+AS256*AS145+AT256*AT145+AU256*AU145+AV256*AV145+AW256*AW145+AX256*AX145+AY256*AY145+AZ256*AZ145+BA256*BA145+BB256*BB145+BC256*BC145+BD256*BD145+BE256*BE145+BF256*BF145+BG256*BG145+BH256*BH145+BI256*BI145+BJ256*BJ145+BK256*BK145+BL256*BL145+BM256*BM145+BN256*BN145+BO256*BO145+BP256*BP145+BQ256*BQ145+BR256*BR145+BS256*BS145+BT256*BT145+BU256*BU145+BV256*BV145+BW256*BW145+BX256*BX145+BY256*BY145+BZ256*BZ145+CA256*CA145+CB256*CB145+CC256*CC145+CD256*CD145+CE256*CE145+CF256*CF145+CG256*CG145+CH256*CH145+CI256*CI145+CJ256*CJ145+CK256*CK145+CL256*CL145+CM256*CM145+CN256*CN145</f>
        <v>0</v>
      </c>
      <c r="CZ145" s="2652">
        <f>E257*E145+F257*F145+G257*G145+H257*H145+I257*I145+J257*J145+K257*K145+L257*L145+M257*M145+N257*N145+O257*O145+P257*P145+Q257*Q145+R257*R145+S257*S145+T257*T145+U257*U145+V257*V145+W257*W145+X257*X145+Y257*Y145+Z257*Z145+AA257*AA145+AB257*AB145+AC257*AC145+AD257*AD145+AE257*AE145+AF257*AF145+AG257*AG145+AH257*AH145+AI257*AI145+AJ257*AJ145+AK257*AK145+AL257*AL145+AM257*AM145+AN257*AN145+AO257*AO145+AP257*AP145+AQ257*AQ145+AR257*AR145+AS257*AS145+AT257*AT145+AU257*AU145+AV257*AV145+AW257*AW145+AX257*AX145+AY257*AY145+AZ257*AZ145+BA257*BA145+BB257*BB145+BC257*BC145+BD257*BD145+BE257*BE145+BF257*BF145+BG257*BG145+BH257*BH145+BI257*BI145+BJ257*BJ145+BK257*BK145+BL257*BL145+BM257*BM145+BN257*BN145+BO257*BO145+BP257*BP145+BQ257*BQ145+BR257*BR145+BS257*BS145+BT257*BT145+BU257*BU145+BV257*BV145+BW257*BW145+BX257*BX145+BY257*BY145+BZ257*BZ145+CA257*CA145+CB257*CB145+CC257*CC145+CD257*CD145+CE257*CE145+CF257*CF145+CG257*CG145+CH257*CH145+CI257*CI145+CJ257*CJ145+CK257*CK145+CL257*CL145+CM257*CM145+CN257*CN145</f>
        <v>0</v>
      </c>
      <c r="DA145" s="2652">
        <f>E258*E145+F258*F145+G258*G145+H258*H145+I258*I145+J258*J145+K258*K145+L258*L145+M258*M145+N258*N145+O258*O145+P258*P145+Q258*Q145+R258*R145+S258*S145+T258*T145+U258*U145+V258*V145+W258*W145+X258*X145+Y258*Y145+Z258*Z145+AA258*AA145+AB258*AB145+AC258*AC145+AD258*AD145+AE258*AE145+AF258*AF145+AG258*AG145+AH258*AH145+AI258*AI145+AJ258*AJ145+AK258*AK145+AL258*AL145+AM258*AM145+AN258*AN145+AO258*AO145+AP258*AP145+AQ258*AQ145+AR258*AR145+AS258*AS145+AT258*AT145+AU258*AU145+AV258*AV145+AW258*AW145+AX258*AX145+AY258*AY145+AZ258*AZ145+BA258*BA145+BB258*BB145+BC258*BC145+BD258*BD145+BE258*BE145+BF258*BF145+BG258*BG145+BH258*BH145+BI258*BI145+BJ258*BJ145+BK258*BK145+BL258*BL145+BM258*BM145+BN258*BN145+BO258*BO145+BP258*BP145+BQ258*BQ145+BR258*BR145+BS258*BS145+BT258*BT145+BU258*BU145+BV258*BV145+BW258*BW145+BX258*BX145+BY258*BY145+BZ258*BZ145+CA258*CA145+CB258*CB145+CC258*CC145+CD258*CD145+CE258*CE145+CF258*CF145+CG258*CG145+CH258*CH145+CI258*CI145+CJ258*CJ145+CK258*CK145+CL258*CL145+CM258*CM145+CN258*CN145</f>
        <v>0</v>
      </c>
    </row>
    <row r="146" spans="2:105" ht="18" x14ac:dyDescent="0.35">
      <c r="B146" s="1081">
        <v>13</v>
      </c>
      <c r="C146" s="1071" t="s">
        <v>235</v>
      </c>
      <c r="D146" s="795" t="s">
        <v>3550</v>
      </c>
      <c r="E146" s="2675">
        <f>-1</f>
        <v>-1</v>
      </c>
      <c r="F146" s="2675">
        <f>0</f>
        <v>0</v>
      </c>
      <c r="G146" s="2676">
        <f>0</f>
        <v>0</v>
      </c>
      <c r="H146" s="2676">
        <f>0</f>
        <v>0</v>
      </c>
      <c r="I146" s="2676">
        <f>0</f>
        <v>0</v>
      </c>
      <c r="J146" s="2676">
        <f>0</f>
        <v>0</v>
      </c>
      <c r="K146" s="2676">
        <f>0</f>
        <v>0</v>
      </c>
      <c r="L146" s="2676">
        <f>0</f>
        <v>0</v>
      </c>
      <c r="M146" s="2676">
        <f>0</f>
        <v>0</v>
      </c>
      <c r="N146" s="2676">
        <f>0</f>
        <v>0</v>
      </c>
      <c r="O146" s="2676">
        <f>1</f>
        <v>1</v>
      </c>
      <c r="P146" s="2676">
        <f>0</f>
        <v>0</v>
      </c>
      <c r="Q146" s="2676">
        <f>0</f>
        <v>0</v>
      </c>
      <c r="R146" s="2676">
        <f>0</f>
        <v>0</v>
      </c>
      <c r="S146" s="2676">
        <f>0</f>
        <v>0</v>
      </c>
      <c r="T146" s="2676">
        <f>0</f>
        <v>0</v>
      </c>
      <c r="U146" s="2676">
        <f>0</f>
        <v>0</v>
      </c>
      <c r="V146" s="2676">
        <f>0</f>
        <v>0</v>
      </c>
      <c r="W146" s="2676">
        <f>0</f>
        <v>0</v>
      </c>
      <c r="X146" s="2676">
        <f>0</f>
        <v>0</v>
      </c>
      <c r="Y146" s="2676">
        <f>0</f>
        <v>0</v>
      </c>
      <c r="Z146" s="2676">
        <f>0</f>
        <v>0</v>
      </c>
      <c r="AA146" s="2676">
        <f>0</f>
        <v>0</v>
      </c>
      <c r="AB146" s="2676">
        <f>0</f>
        <v>0</v>
      </c>
      <c r="AC146" s="2739">
        <f>0</f>
        <v>0</v>
      </c>
      <c r="AD146" s="2676">
        <f>0</f>
        <v>0</v>
      </c>
      <c r="AE146" s="2676">
        <f>0</f>
        <v>0</v>
      </c>
      <c r="AF146" s="2676">
        <f>0</f>
        <v>0</v>
      </c>
      <c r="AG146" s="2676">
        <f>0</f>
        <v>0</v>
      </c>
      <c r="AH146" s="2676">
        <f>0</f>
        <v>0</v>
      </c>
      <c r="AI146" s="2676">
        <f>0</f>
        <v>0</v>
      </c>
      <c r="AJ146" s="2676">
        <f>0</f>
        <v>0</v>
      </c>
      <c r="AK146" s="2676">
        <f>0</f>
        <v>0</v>
      </c>
      <c r="AL146" s="2676">
        <f>0</f>
        <v>0</v>
      </c>
      <c r="AM146" s="2676">
        <f>0</f>
        <v>0</v>
      </c>
      <c r="AN146" s="2676">
        <f>0</f>
        <v>0</v>
      </c>
      <c r="AO146" s="2676">
        <f>0</f>
        <v>0</v>
      </c>
      <c r="AP146" s="2676">
        <f>0</f>
        <v>0</v>
      </c>
      <c r="AQ146" s="2676">
        <f>0</f>
        <v>0</v>
      </c>
      <c r="AR146" s="2676">
        <f>0</f>
        <v>0</v>
      </c>
      <c r="AS146" s="2676">
        <f>0</f>
        <v>0</v>
      </c>
      <c r="AT146" s="2676">
        <f>0</f>
        <v>0</v>
      </c>
      <c r="AU146" s="2676">
        <f>i_CIT_SB_mono-i_CIT_VFA</f>
        <v>0</v>
      </c>
      <c r="AV146" s="2676">
        <f>0</f>
        <v>0</v>
      </c>
      <c r="AW146" s="2676">
        <f>0</f>
        <v>0</v>
      </c>
      <c r="AX146" s="2676">
        <f>0</f>
        <v>0</v>
      </c>
      <c r="AY146" s="2676">
        <f>0</f>
        <v>0</v>
      </c>
      <c r="AZ146" s="2676">
        <f>0</f>
        <v>0</v>
      </c>
      <c r="BA146" s="2676">
        <f>0</f>
        <v>0</v>
      </c>
      <c r="BB146" s="2676">
        <f>0</f>
        <v>0</v>
      </c>
      <c r="BC146" s="2676">
        <f>0</f>
        <v>0</v>
      </c>
      <c r="BD146" s="2676">
        <f>0</f>
        <v>0</v>
      </c>
      <c r="BE146" s="2676">
        <f>0</f>
        <v>0</v>
      </c>
      <c r="BF146" s="2676">
        <f>0</f>
        <v>0</v>
      </c>
      <c r="BG146" s="2676">
        <f>0</f>
        <v>0</v>
      </c>
      <c r="BH146" s="2676">
        <f>0</f>
        <v>0</v>
      </c>
      <c r="BI146" s="2676">
        <f>0</f>
        <v>0</v>
      </c>
      <c r="BJ146" s="2764">
        <f>0</f>
        <v>0</v>
      </c>
      <c r="BK146" s="2764">
        <f>0</f>
        <v>0</v>
      </c>
      <c r="BL146" s="2764">
        <f>0</f>
        <v>0</v>
      </c>
      <c r="BM146" s="2764">
        <f>0</f>
        <v>0</v>
      </c>
      <c r="BN146" s="2764">
        <f>0</f>
        <v>0</v>
      </c>
      <c r="BO146" s="2764">
        <f>0</f>
        <v>0</v>
      </c>
      <c r="BP146" s="2764">
        <f>0</f>
        <v>0</v>
      </c>
      <c r="BQ146" s="2676">
        <f>0</f>
        <v>0</v>
      </c>
      <c r="BR146" s="2676">
        <f>0</f>
        <v>0</v>
      </c>
      <c r="BS146" s="2764">
        <f>0</f>
        <v>0</v>
      </c>
      <c r="BT146" s="2676">
        <f>0</f>
        <v>0</v>
      </c>
      <c r="BU146" s="2676">
        <f>0</f>
        <v>0</v>
      </c>
      <c r="BV146" s="2739">
        <f>0</f>
        <v>0</v>
      </c>
      <c r="BW146" s="2739">
        <f>0</f>
        <v>0</v>
      </c>
      <c r="BX146" s="2739">
        <f>0</f>
        <v>0</v>
      </c>
      <c r="BY146" s="2739">
        <f>0</f>
        <v>0</v>
      </c>
      <c r="BZ146" s="2676">
        <f>0</f>
        <v>0</v>
      </c>
      <c r="CA146" s="2676">
        <f>0</f>
        <v>0</v>
      </c>
      <c r="CB146" s="2797">
        <f>0</f>
        <v>0</v>
      </c>
      <c r="CC146" s="2676">
        <f>0</f>
        <v>0</v>
      </c>
      <c r="CD146" s="2676">
        <f>0</f>
        <v>0</v>
      </c>
      <c r="CE146" s="2676">
        <f>0</f>
        <v>0</v>
      </c>
      <c r="CF146" s="2676">
        <f>0</f>
        <v>0</v>
      </c>
      <c r="CG146" s="2676">
        <f>0</f>
        <v>0</v>
      </c>
      <c r="CH146" s="2676">
        <f>0</f>
        <v>0</v>
      </c>
      <c r="CI146" s="2676">
        <f>0</f>
        <v>0</v>
      </c>
      <c r="CJ146" s="2676">
        <f>0</f>
        <v>0</v>
      </c>
      <c r="CK146" s="2676">
        <f>0</f>
        <v>0</v>
      </c>
      <c r="CL146" s="2676">
        <f>0</f>
        <v>0</v>
      </c>
      <c r="CM146" s="2676">
        <f>0</f>
        <v>0</v>
      </c>
      <c r="CN146" s="2676">
        <f>0</f>
        <v>0</v>
      </c>
      <c r="CO146" s="2826">
        <f>q_AHO_STO*X_AHO*S_VFA/(S_VFA+S_B_mono)*M_satSVFA_KVFA*L_oginhXSTO_XAHO_max*(M_satSO2_KO2_AHO+η_STO_AHO_anox*M_satSNO2_KNO2_AHO*M_inhSO2_KO2_AHO+η_STO_AHO_anox*M_satSNO3_KNO3_AHO*M_inhSNO2_KNO2_AHO*M_inhSO2_KO2_AHO+η_STO_AHO_ana*M_inhSNO2_KNO2_AHO*M_inhSNO3_KNO3_AHO*M_inhSO2_KiO2_AHO)</f>
        <v>0</v>
      </c>
      <c r="CQ146" s="2650">
        <f>E248*E146+F248*F146+G248*G146+H248*H146+I248*I146+J248*J146+K248*K146+L248*L146+M248*M146+N248*N146+O248*O146+P248*P146+Q248*Q146+R248*R146+S248*S146+T248*T146+U248*U146+V248*V146+W248*W146+X248*X146+Y248*Y146+Z248*Z146+AA248*AA146+AB248*AB146+AC248*AC146+AD248*AD146+AE248*AE146+AF248*AF146+AG248*AG146+AH248*AH146+AI248*AI146+AJ248*AJ146+AK248*AK146+AL248*AL146+AM248*AM146+AN248*AN146+AO248*AO146+AP248*AP146+AQ248*AQ146+AR248*AR146+AS248*AS146+AT248*AT146+AU248*AU146+AV248*AV146+AW248*AW146+AX248*AX146+AY248*AY146+AZ248*AZ146+BA248*BA146+BB248*BB146+BC248*BC146+BD248*BD146+BE248*BE146+BF248*BF146+BG248*BG146+BH248*BH146+BI248*BI146+BJ248*BJ146+BK248*BK146+BL248*BL146+BM248*BM146+BN248*BN146+BO248*BO146+BP248*BP146+BQ248*BQ146+BR248*BR146+BS248*BS146+BT248*BT146+BU248*BU146+BV248*BV146+BW248*BW146+BX248*BX146+BY248*BY146+BZ248*BZ146+CA248*CA146+CB248*CB146+CC248*CC146+CD248*CD146+CE248*CE146+CF248*CF146+CG248*CG146+CH248*CH146+CI248*CI146+CJ248*CJ146+CK248*CK146+CL248*CL146+CM248*CM146+CN248*CN146</f>
        <v>0</v>
      </c>
      <c r="CR146" s="2650">
        <f>E249*E146+F249*F146+G249*G146+H249*H146+I249*I146+J249*J146+K249*K146+L249*L146+M249*M146+N249*N146+O249*O146+P249*P146+Q249*Q146+R249*R146+S249*S146+T249*T146+U249*U146+V249*V146+W249*W146+X249*X146+Y249*Y146+Z249*Z146+AA249*AA146+AB249*AB146+AC249*AC146+AD249*AD146+AE249*AE146+AF249*AF146+AG249*AG146+AH249*AH146+AI249*AI146+AJ249*AJ146+AK249*AK146+AL249*AL146+AM249*AM146+AN249*AN146+AO249*AO146+AP249*AP146+AQ249*AQ146+AR249*AR146+AS249*AS146+AT249*AT146+AU249*AU146+AV249*AV146+AW249*AW146+AX249*AX146+AY249*AY146+AZ249*AZ146+BA249*BA146+BB249*BB146+BC249*BC146+BD249*BD146+BE249*BE146+BF249*BF146+BG249*BG146+BH249*BH146+BI249*BI146+BJ249*BJ146+BK249*BK146+BL249*BL146+BM249*BM146+BN249*BN146+BO249*BO146+BP249*BP146+BQ249*BQ146+BR249*BR146+BS249*BS146+BT249*BT146+BU249*BU146+BV249*BV146+BW249*BW146+BX249*BX146+BY249*BY146+BZ249*BZ146+CA249*CA146+CB249*CB146+CC249*CC146+CD249*CD146+CE249*CE146+CF249*CF146+CG249*CG146+CH249*CH146+CI249*CI146+CJ249*CJ146+CK249*CK146+CL249*CL146+CM249*CM146+CN249*CN146</f>
        <v>0</v>
      </c>
      <c r="CS146" s="2651">
        <f>E250*E146+F250*F146+G250*G146+H250*H146+I250*I146+J250*J146+K250*K146+L250*L146+M250*M146+N250*N146+O250*O146+P250*P146+Q250*Q146+R250*R146+S250*S146+T250*T146+U250*U146+V250*V146+W250*W146+X250*X146+Y250*Y146+Z250*Z146+AA250*AA146+AB250*AB146+AC250*AC146+AD250*AD146+AE250*AE146+AF250*AF146+AG250*AG146+AH250*AH146+AI250*AI146+AJ250*AJ146+AK250*AK146+AL250*AL146+AM250*AM146+AN250*AN146+AO250*AO146+AP250*AP146+AQ250*AQ146+AR250*AR146+AS250*AS146+AT250*AT146+AU250*AU146+AV250*AV146+AW250*AW146+AX250*AX146+AY250*AY146+AZ250*AZ146+BA250*BA146+BB250*BB146+BC250*BC146+BD250*BD146+BE250*BE146+BF250*BF146+BG250*BG146+BH250*BH146+BI250*BI146+BJ250*BJ146+BK250*BK146+BL250*BL146+BM250*BM146+BN250*BN146+BO250*BO146+BP250*BP146+BQ250*BQ146+BR250*BR146+BS250*BS146+BT250*BT146+BU250*BU146+BV250*BV146+BW250*BW146+BX250*BX146+BY250*BY146+BZ250*BZ146+CA250*CA146+CB250*CB146+CC250*CC146+CD250*CD146+CE250*CE146+CF250*CF146+CG250*CG146+CH250*CH146+CI250*CI146+CJ250*CJ146+CK250*CK146+CL250*CL146+CM250*CM146+CN250*CN146</f>
        <v>0</v>
      </c>
      <c r="CT146" s="2652">
        <f>E251*E146+F251*F146+G251*G146+H251*H146+I251*I146+J251*J146+K251*K146+L251*L146+M251*M146+N251*N146+O251*O146+P251*P146+Q251*Q146+R251*R146+S251*S146+T251*T146+U251*U146+V251*V146+W251*W146+X251*X146+Y251*Y146+Z251*Z146+AA251*AA146+AB251*AB146+AC251*AC146+AD251*AD146+AE251*AE146+AF251*AF146+AG251*AG146+AH251*AH146+AI251*AI146+AJ251*AJ146+AK251*AK146+AL251*AL146+AM251*AM146+AN251*AN146+AO251*AO146+AP251*AP146+AQ251*AQ146+AR251*AR146+AS251*AS146+AT251*AT146+AU251*AU146+AV251*AV146+AW251*AW146+AX251*AX146+AY251*AY146+AZ251*AZ146+BA251*BA146+BB251*BB146+BC251*BC146+BD251*BD146+BE251*BE146+BF251*BF146+BG251*BG146+BH251*BH146+BI251*BI146+BJ251*BJ146+BK251*BK146+BL251*BL146+BM251*BM146+BN251*BN146+BO251*BO146+BP251*BP146+BQ251*BQ146+BR251*BR146+BS251*BS146+BT251*BT146+BU251*BU146+BV251*BV146+BW251*BW146+BX251*BX146+BY251*BY146+BZ251*BZ146+CA251*CA146+CB251*CB146+CC251*CC146+CD251*CD146+CE251*CE146+CF251*CF146+CG251*CG146+CH251*CH146+CI251*CI146+CJ251*CJ146+CK251*CK146+CL251*CL146+CM251*CM146+CN251*CN146</f>
        <v>0</v>
      </c>
      <c r="CU146" s="2652">
        <f>E252*E146+F252*F146+G252*G146+H252*H146+I252*I146+J252*J146+K252*K146+L252*L146+M252*M146+N252*N146+O252*O146+P252*P146+Q252*Q146+R252*R146+S252*S146+T252*T146+U252*U146+V252*V146+W252*W146+X252*X146+Y252*Y146+Z252*Z146+AA252*AA146+AB252*AB146+AC252*AC146+AD252*AD146+AE252*AE146+AF252*AF146+AG252*AG146+AH252*AH146+AI252*AI146+AJ252*AJ146+AK252*AK146+AL252*AL146+AM252*AM146+AN252*AN146+AO252*AO146+AP252*AP146+AQ252*AQ146+AR252*AR146+AS252*AS146+AT252*AT146+AU252*AU146+AV252*AV146+AW252*AW146+AX252*AX146+AY252*AY146+AZ252*AZ146+BA252*BA146+BB252*BB146+BC252*BC146+BD252*BD146+BE252*BE146+BF252*BF146+BG252*BG146+BH252*BH146+BI252*BI146+BJ252*BJ146+BK252*BK146+BL252*BL146+BM252*BM146+BN252*BN146+BO252*BO146+BP252*BP146+BQ252*BQ146+BR252*BR146+BS252*BS146+BT252*BT146+BU252*BU146+BV252*BV146+BW252*BW146+BX252*BX146+BY252*BY146+BZ252*BZ146+CA252*CA146+CB252*CB146+CC252*CC146+CD252*CD146+CE252*CE146+CF252*CF146+CG252*CG146+CH252*CH146+CI252*CI146+CJ252*CJ146+CK252*CK146+CL252*CL146+CM252*CM146+CN252*CN146</f>
        <v>0</v>
      </c>
      <c r="CV146" s="2652">
        <f>E253*E146+F253*F146+G253*G146+H253*H146+I253*I146+J253*J146+K253*K146+L253*L146+M253*M146+N253*N146+O253*O146+P253*P146+Q253*Q146+R253*R146+S253*S146+T253*T146+U253*U146+V253*V146+W253*W146+X253*X146+Y253*Y146+Z253*Z146+AA253*AA146+AB253*AB146+AC253*AC146+AD253*AD146+AE253*AE146+AF253*AF146+AG253*AG146+AH253*AH146+AI253*AI146+AJ253*AJ146+AK253*AK146+AL253*AL146+AM253*AM146+AN253*AN146+AO253*AO146+AP253*AP146+AQ253*AQ146+AR253*AR146+AS253*AS146+AT253*AT146+AU253*AU146+AV253*AV146+AW253*AW146+AX253*AX146+AY253*AY146+AZ253*AZ146+BA253*BA146+BB253*BB146+BC253*BC146+BD253*BD146+BE253*BE146+BF253*BF146+BG253*BG146+BH253*BH146+BI253*BI146+BJ253*BJ146+BK253*BK146+BL253*BL146+BM253*BM146+BN253*BN146+BO253*BO146+BP253*BP146+BQ253*BQ146+BR253*BR146+BS253*BS146+BT253*BT146+BU253*BU146+BV253*BV146+BW253*BW146+BX253*BX146+BY253*BY146+BZ253*BZ146+CA253*CA146+CB253*CB146+CC253*CC146+CD253*CD146+CE253*CE146+CF253*CF146+CG253*CG146+CH253*CH146+CI253*CI146+CJ253*CJ146+CK253*CK146+CL253*CL146+CM253*CM146+CN253*CN146</f>
        <v>0</v>
      </c>
      <c r="CW146" s="2652">
        <f>E254*E146+F254*F146+G254*G146+H254*H146+I254*I146+J254*J146+K254*K146+L254*L146+M254*M146+N254*N146+O254*O146+P254*P146+Q254*Q146+R254*R146+S254*S146+T254*T146+U254*U146+V254*V146+W254*W146+X254*X146+Y254*Y146+Z254*Z146+AA254*AA146+AB254*AB146+AC254*AC146+AD254*AD146+AE254*AE146+AF254*AF146+AG254*AG146+AH254*AH146+AI254*AI146+AJ254*AJ146+AK254*AK146+AL254*AL146+AM254*AM146+AN254*AN146+AO254*AO146+AP254*AP146+AQ254*AQ146+AR254*AR146+AS254*AS146+AT254*AT146+AU254*AU146+AV254*AV146+AW254*AW146+AX254*AX146+AY254*AY146+AZ254*AZ146+BA254*BA146+BB254*BB146+BC254*BC146+BD254*BD146+BE254*BE146+BF254*BF146+BG254*BG146+BH254*BH146+BI254*BI146+BJ254*BJ146+BK254*BK146+BL254*BL146+BM254*BM146+BN254*BN146+BO254*BO146+BP254*BP146+BQ254*BQ146+BR254*BR146+BS254*BS146+BT254*BT146+BU254*BU146+BV254*BV146+BW254*BW146+BX254*BX146+BY254*BY146+BZ254*BZ146+CA254*CA146+CB254*CB146+CC254*CC146+CD254*CD146+CE254*CE146+CF254*CF146+CG254*CG146+CH254*CH146+CI254*CI146+CJ254*CJ146+CK254*CK146+CL254*CL146+CM254*CM146+CN254*CN146</f>
        <v>0</v>
      </c>
      <c r="CX146" s="2652">
        <f>E255*E146+F255*F146+G255*G146+H255*H146+I255*I146+J255*J146+K255*K146+L255*L146+M255*M146+N255*N146+O255*O146+P255*P146+Q255*Q146+R255*R146+S255*S146+T255*T146+U255*U146+V255*V146+W255*W146+X255*X146+Y255*Y146+Z255*Z146+AA255*AA146+AB255*AB146+AC255*AC146+AD255*AD146+AE255*AE146+AF255*AF146+AG255*AG146+AH255*AH146+AI255*AI146+AJ255*AJ146+AK255*AK146+AL255*AL146+AM255*AM146+AN255*AN146+AO255*AO146+AP255*AP146+AQ255*AQ146+AR255*AR146+AS255*AS146+AT255*AT146+AU255*AU146+AV255*AV146+AW255*AW146+AX255*AX146+AY255*AY146+AZ255*AZ146+BA255*BA146+BB255*BB146+BC255*BC146+BD255*BD146+BE255*BE146+BF255*BF146+BG255*BG146+BH255*BH146+BI255*BI146+BJ255*BJ146+BK255*BK146+BL255*BL146+BM255*BM146+BN255*BN146+BO255*BO146+BP255*BP146+BQ255*BQ146+BR255*BR146+BS255*BS146+BT255*BT146+BU255*BU146+BV255*BV146+BW255*BW146+BX255*BX146+BY255*BY146+BZ255*BZ146+CA255*CA146+CB255*CB146+CC255*CC146+CD255*CD146+CE255*CE146+CF255*CF146+CG255*CG146+CH255*CH146+CI255*CI146+CJ255*CJ146+CK255*CK146+CL255*CL146+CM255*CM146+CN255*CN146</f>
        <v>0</v>
      </c>
      <c r="CY146" s="2652">
        <f>E256*E146+F256*F146+G256*G146+H256*H146+I256*I146+J256*J146+K256*K146+L256*L146+M256*M146+N256*N146+O256*O146+P256*P146+Q256*Q146+R256*R146+S256*S146+T256*T146+U256*U146+V256*V146+W256*W146+X256*X146+Y256*Y146+Z256*Z146+AA256*AA146+AB256*AB146+AC256*AC146+AD256*AD146+AE256*AE146+AF256*AF146+AG256*AG146+AH256*AH146+AI256*AI146+AJ256*AJ146+AK256*AK146+AL256*AL146+AM256*AM146+AN256*AN146+AO256*AO146+AP256*AP146+AQ256*AQ146+AR256*AR146+AS256*AS146+AT256*AT146+AU256*AU146+AV256*AV146+AW256*AW146+AX256*AX146+AY256*AY146+AZ256*AZ146+BA256*BA146+BB256*BB146+BC256*BC146+BD256*BD146+BE256*BE146+BF256*BF146+BG256*BG146+BH256*BH146+BI256*BI146+BJ256*BJ146+BK256*BK146+BL256*BL146+BM256*BM146+BN256*BN146+BO256*BO146+BP256*BP146+BQ256*BQ146+BR256*BR146+BS256*BS146+BT256*BT146+BU256*BU146+BV256*BV146+BW256*BW146+BX256*BX146+BY256*BY146+BZ256*BZ146+CA256*CA146+CB256*CB146+CC256*CC146+CD256*CD146+CE256*CE146+CF256*CF146+CG256*CG146+CH256*CH146+CI256*CI146+CJ256*CJ146+CK256*CK146+CL256*CL146+CM256*CM146+CN256*CN146</f>
        <v>0</v>
      </c>
      <c r="CZ146" s="2652">
        <f>E257*E146+F257*F146+G257*G146+H257*H146+I257*I146+J257*J146+K257*K146+L257*L146+M257*M146+N257*N146+O257*O146+P257*P146+Q257*Q146+R257*R146+S257*S146+T257*T146+U257*U146+V257*V146+W257*W146+X257*X146+Y257*Y146+Z257*Z146+AA257*AA146+AB257*AB146+AC257*AC146+AD257*AD146+AE257*AE146+AF257*AF146+AG257*AG146+AH257*AH146+AI257*AI146+AJ257*AJ146+AK257*AK146+AL257*AL146+AM257*AM146+AN257*AN146+AO257*AO146+AP257*AP146+AQ257*AQ146+AR257*AR146+AS257*AS146+AT257*AT146+AU257*AU146+AV257*AV146+AW257*AW146+AX257*AX146+AY257*AY146+AZ257*AZ146+BA257*BA146+BB257*BB146+BC257*BC146+BD257*BD146+BE257*BE146+BF257*BF146+BG257*BG146+BH257*BH146+BI257*BI146+BJ257*BJ146+BK257*BK146+BL257*BL146+BM257*BM146+BN257*BN146+BO257*BO146+BP257*BP146+BQ257*BQ146+BR257*BR146+BS257*BS146+BT257*BT146+BU257*BU146+BV257*BV146+BW257*BW146+BX257*BX146+BY257*BY146+BZ257*BZ146+CA257*CA146+CB257*CB146+CC257*CC146+CD257*CD146+CE257*CE146+CF257*CF146+CG257*CG146+CH257*CH146+CI257*CI146+CJ257*CJ146+CK257*CK146+CL257*CL146+CM257*CM146+CN257*CN146</f>
        <v>0</v>
      </c>
      <c r="DA146" s="2652">
        <f>E258*E146+F258*F146+G258*G146+H258*H146+I258*I146+J258*J146+K258*K146+L258*L146+M258*M146+N258*N146+O258*O146+P258*P146+Q258*Q146+R258*R146+S258*S146+T258*T146+U258*U146+V258*V146+W258*W146+X258*X146+Y258*Y146+Z258*Z146+AA258*AA146+AB258*AB146+AC258*AC146+AD258*AD146+AE258*AE146+AF258*AF146+AG258*AG146+AH258*AH146+AI258*AI146+AJ258*AJ146+AK258*AK146+AL258*AL146+AM258*AM146+AN258*AN146+AO258*AO146+AP258*AP146+AQ258*AQ146+AR258*AR146+AS258*AS146+AT258*AT146+AU258*AU146+AV258*AV146+AW258*AW146+AX258*AX146+AY258*AY146+AZ258*AZ146+BA258*BA146+BB258*BB146+BC258*BC146+BD258*BD146+BE258*BE146+BF258*BF146+BG258*BG146+BH258*BH146+BI258*BI146+BJ258*BJ146+BK258*BK146+BL258*BL146+BM258*BM146+BN258*BN146+BO258*BO146+BP258*BP146+BQ258*BQ146+BR258*BR146+BS258*BS146+BT258*BT146+BU258*BU146+BV258*BV146+BW258*BW146+BX258*BX146+BY258*BY146+BZ258*BZ146+CA258*CA146+CB258*CB146+CC258*CC146+CD258*CD146+CE258*CE146+CF258*CF146+CG258*CG146+CH258*CH146+CI258*CI146+CJ258*CJ146+CK258*CK146+CL258*CL146+CM258*CM146+CN258*CN146</f>
        <v>0</v>
      </c>
    </row>
    <row r="147" spans="2:105" ht="18" x14ac:dyDescent="0.35">
      <c r="B147" s="1081">
        <v>14</v>
      </c>
      <c r="C147" s="1071" t="s">
        <v>236</v>
      </c>
      <c r="D147" s="795" t="s">
        <v>3047</v>
      </c>
      <c r="E147" s="2676">
        <f>0</f>
        <v>0</v>
      </c>
      <c r="F147" s="2676">
        <f>0</f>
        <v>0</v>
      </c>
      <c r="G147" s="2676">
        <f>0</f>
        <v>0</v>
      </c>
      <c r="H147" s="2676">
        <f>0</f>
        <v>0</v>
      </c>
      <c r="I147" s="2676">
        <f>0</f>
        <v>0</v>
      </c>
      <c r="J147" s="2676">
        <f>0</f>
        <v>0</v>
      </c>
      <c r="K147" s="2676">
        <f>0</f>
        <v>0</v>
      </c>
      <c r="L147" s="2676">
        <f>0</f>
        <v>0</v>
      </c>
      <c r="M147" s="2676">
        <f>0</f>
        <v>0</v>
      </c>
      <c r="N147" s="2676">
        <f>0</f>
        <v>0</v>
      </c>
      <c r="O147" s="2675">
        <f>-1/Y_AHO_XSTO_ox</f>
        <v>-1.6666666666666667</v>
      </c>
      <c r="P147" s="2676">
        <f>0</f>
        <v>0</v>
      </c>
      <c r="Q147" s="2676">
        <f>0</f>
        <v>0</v>
      </c>
      <c r="R147" s="2676">
        <f>0</f>
        <v>0</v>
      </c>
      <c r="S147" s="2676">
        <f>0</f>
        <v>0</v>
      </c>
      <c r="T147" s="2676">
        <f>0</f>
        <v>0</v>
      </c>
      <c r="U147" s="2676">
        <f>1</f>
        <v>1</v>
      </c>
      <c r="V147" s="2676">
        <f>0</f>
        <v>0</v>
      </c>
      <c r="W147" s="2676">
        <f>0</f>
        <v>0</v>
      </c>
      <c r="X147" s="2676">
        <f>0</f>
        <v>0</v>
      </c>
      <c r="Y147" s="2676">
        <f>0</f>
        <v>0</v>
      </c>
      <c r="Z147" s="2676">
        <f>0</f>
        <v>0</v>
      </c>
      <c r="AA147" s="2676">
        <f>0</f>
        <v>0</v>
      </c>
      <c r="AB147" s="2676">
        <f>0</f>
        <v>0</v>
      </c>
      <c r="AC147" s="2739">
        <f>0</f>
        <v>0</v>
      </c>
      <c r="AD147" s="2675">
        <f>-i_N_AHO</f>
        <v>-0.1</v>
      </c>
      <c r="AE147" s="2676">
        <f>0</f>
        <v>0</v>
      </c>
      <c r="AF147" s="2676">
        <f>0</f>
        <v>0</v>
      </c>
      <c r="AG147" s="2676">
        <f>0</f>
        <v>0</v>
      </c>
      <c r="AH147" s="2676">
        <f>0</f>
        <v>0</v>
      </c>
      <c r="AI147" s="2676">
        <f>0</f>
        <v>0</v>
      </c>
      <c r="AJ147" s="2676">
        <f>0</f>
        <v>0</v>
      </c>
      <c r="AK147" s="2676">
        <f>0</f>
        <v>0</v>
      </c>
      <c r="AL147" s="2675">
        <f>-i_P_AHO</f>
        <v>-3.5000000000000003E-2</v>
      </c>
      <c r="AM147" s="2676">
        <f>0</f>
        <v>0</v>
      </c>
      <c r="AN147" s="2676">
        <f>0</f>
        <v>0</v>
      </c>
      <c r="AO147" s="2676">
        <f>0</f>
        <v>0</v>
      </c>
      <c r="AP147" s="2676">
        <f>0</f>
        <v>0</v>
      </c>
      <c r="AQ147" s="2676">
        <f>0</f>
        <v>0</v>
      </c>
      <c r="AR147" s="2675">
        <f>-(1-Y_AHO_XSTO_ox)/Y_AHO_XSTO_ox</f>
        <v>-0.66666666666666674</v>
      </c>
      <c r="AS147" s="2676">
        <f>0</f>
        <v>0</v>
      </c>
      <c r="AT147" s="2676">
        <f>0</f>
        <v>0</v>
      </c>
      <c r="AU147" s="2676">
        <f>i_CIT_SB_mono/Y_AHO_XSTO_ox-i_CIT_BIO</f>
        <v>0.27300000000000002</v>
      </c>
      <c r="AV147" s="2676">
        <f>i_INORG</f>
        <v>0.11</v>
      </c>
      <c r="AW147" s="2676">
        <f>-i_INORG*(1-i_Ca_INORG*(A_MCa+2*A_MCl)/A_MCa-i_Mg_INORG*(A_MMg+2*A_MCl)/A_MMg)*f_Na</f>
        <v>-2.8804303582798466E-2</v>
      </c>
      <c r="AX147" s="2676">
        <f>-i_INORG*(i_Ca_INORG*(2*A_MCl)/A_MCa+i_Mg_INORG*(2*A_MCl)/A_MMg)-i_INORG*(1-i_Ca_INORG*(A_MCa+2*A_MCl)/A_MCa-i_Mg_INORG*(A_MMg+2*A_MCl)/A_MMg)*(1-f_Na)</f>
        <v>-7.0195696417201539E-2</v>
      </c>
      <c r="AY147" s="2676">
        <f>-i_INORG*i_Ca_INORG</f>
        <v>-5.5000000000000005E-3</v>
      </c>
      <c r="AZ147" s="2676">
        <f>-i_INORG*i_Mg_INORG</f>
        <v>-5.5000000000000005E-3</v>
      </c>
      <c r="BA147" s="2676">
        <f>0</f>
        <v>0</v>
      </c>
      <c r="BB147" s="2676">
        <f>0</f>
        <v>0</v>
      </c>
      <c r="BC147" s="2676">
        <f>0</f>
        <v>0</v>
      </c>
      <c r="BD147" s="2676">
        <f>0</f>
        <v>0</v>
      </c>
      <c r="BE147" s="2676">
        <f>0</f>
        <v>0</v>
      </c>
      <c r="BF147" s="2676">
        <f>0</f>
        <v>0</v>
      </c>
      <c r="BG147" s="2676">
        <f>0</f>
        <v>0</v>
      </c>
      <c r="BH147" s="2676">
        <f>0</f>
        <v>0</v>
      </c>
      <c r="BI147" s="2676">
        <f>0</f>
        <v>0</v>
      </c>
      <c r="BJ147" s="2764">
        <f>0</f>
        <v>0</v>
      </c>
      <c r="BK147" s="2764">
        <f>0</f>
        <v>0</v>
      </c>
      <c r="BL147" s="2764">
        <f>0</f>
        <v>0</v>
      </c>
      <c r="BM147" s="2764">
        <f>0</f>
        <v>0</v>
      </c>
      <c r="BN147" s="2764">
        <f>0</f>
        <v>0</v>
      </c>
      <c r="BO147" s="2764">
        <f>0</f>
        <v>0</v>
      </c>
      <c r="BP147" s="2764">
        <f>0</f>
        <v>0</v>
      </c>
      <c r="BQ147" s="2676">
        <f>0</f>
        <v>0</v>
      </c>
      <c r="BR147" s="2676">
        <f>0</f>
        <v>0</v>
      </c>
      <c r="BS147" s="2764">
        <f>0</f>
        <v>0</v>
      </c>
      <c r="BT147" s="2676">
        <f>0</f>
        <v>0</v>
      </c>
      <c r="BU147" s="2676">
        <f>0</f>
        <v>0</v>
      </c>
      <c r="BV147" s="2739">
        <f>0</f>
        <v>0</v>
      </c>
      <c r="BW147" s="2739">
        <f>0</f>
        <v>0</v>
      </c>
      <c r="BX147" s="2739">
        <f>0</f>
        <v>0</v>
      </c>
      <c r="BY147" s="2739">
        <f>0</f>
        <v>0</v>
      </c>
      <c r="BZ147" s="2676">
        <f>0</f>
        <v>0</v>
      </c>
      <c r="CA147" s="2676">
        <f>0</f>
        <v>0</v>
      </c>
      <c r="CB147" s="2797">
        <f>0</f>
        <v>0</v>
      </c>
      <c r="CC147" s="2676">
        <f>0</f>
        <v>0</v>
      </c>
      <c r="CD147" s="2676">
        <f>0</f>
        <v>0</v>
      </c>
      <c r="CE147" s="2676">
        <f>0</f>
        <v>0</v>
      </c>
      <c r="CF147" s="2676">
        <f>0</f>
        <v>0</v>
      </c>
      <c r="CG147" s="2676">
        <f>0</f>
        <v>0</v>
      </c>
      <c r="CH147" s="2676">
        <f>0</f>
        <v>0</v>
      </c>
      <c r="CI147" s="2676">
        <f>0</f>
        <v>0</v>
      </c>
      <c r="CJ147" s="2676">
        <f>0</f>
        <v>0</v>
      </c>
      <c r="CK147" s="2676">
        <f>0</f>
        <v>0</v>
      </c>
      <c r="CL147" s="2676">
        <f>0</f>
        <v>0</v>
      </c>
      <c r="CM147" s="2676">
        <f>0</f>
        <v>0</v>
      </c>
      <c r="CN147" s="2676">
        <f>0</f>
        <v>0</v>
      </c>
      <c r="CO147" s="2826">
        <f>µ_AHO_T*X_AHO*M_RsatXSTO_XAHO_KSTO*M_satSO2_KO2_AHO*M_satSNHx_KNHx_BIO*M_satSPO4_KPO4_BIO*M_satSCAT_KCAT*M_satSAN_KAN*M_satSCa_KCa*M_satSMg_KMg*B_ellinhpH</f>
        <v>1121.89067041869</v>
      </c>
      <c r="CQ147" s="2650">
        <f>E248*E147+F248*F147+G248*G147+H248*H147+I248*I147+J248*J147+K248*K147+L248*L147+M248*M147+N248*N147+O248*O147+P248*P147+Q248*Q147+R248*R147+S248*S147+T248*T147+U248*U147+V248*V147+W248*W147+X248*X147+Y248*Y147+Z248*Z147+AA248*AA147+AB248*AB147+AC248*AC147+AD248*AD147+AE248*AE147+AF248*AF147+AG248*AG147+AH248*AH147+AI248*AI147+AJ248*AJ147+AK248*AK147+AL248*AL147+AM248*AM147+AN248*AN147+AO248*AO147+AP248*AP147+AQ248*AQ147+AR248*AR147+AS248*AS147+AT248*AT147+AU248*AU147+AV248*AV147+AW248*AW147+AX248*AX147+AY248*AY147+AZ248*AZ147+BA248*BA147+BB248*BB147+BC248*BC147+BD248*BD147+BE248*BE147+BF248*BF147+BG248*BG147+BH248*BH147+BI248*BI147+BJ248*BJ147+BK248*BK147+BL248*BL147+BM248*BM147+BN248*BN147+BO248*BO147+BP248*BP147+BQ248*BQ147+BR248*BR147+BS248*BS147+BT248*BT147+BU248*BU147+BV248*BV147+BW248*BW147+BX248*BX147+BY248*BY147+BZ248*BZ147+CA248*CA147+CB248*CB147+CC248*CC147+CD248*CD147+CE248*CE147+CF248*CF147+CG248*CG147+CH248*CH147+CI248*CI147+CJ248*CJ147+CK248*CK147+CL248*CL147+CM248*CM147+CN248*CN147</f>
        <v>0</v>
      </c>
      <c r="CR147" s="2650">
        <f>E249*E147+F249*F147+G249*G147+H249*H147+I249*I147+J249*J147+K249*K147+L249*L147+M249*M147+N249*N147+O249*O147+P249*P147+Q249*Q147+R249*R147+S249*S147+T249*T147+U249*U147+V249*V147+W249*W147+X249*X147+Y249*Y147+Z249*Z147+AA249*AA147+AB249*AB147+AC249*AC147+AD249*AD147+AE249*AE147+AF249*AF147+AG249*AG147+AH249*AH147+AI249*AI147+AJ249*AJ147+AK249*AK147+AL249*AL147+AM249*AM147+AN249*AN147+AO249*AO147+AP249*AP147+AQ249*AQ147+AR249*AR147+AS249*AS147+AT249*AT147+AU249*AU147+AV249*AV147+AW249*AW147+AX249*AX147+AY249*AY147+AZ249*AZ147+BA249*BA147+BB249*BB147+BC249*BC147+BD249*BD147+BE249*BE147+BF249*BF147+BG249*BG147+BH249*BH147+BI249*BI147+BJ249*BJ147+BK249*BK147+BL249*BL147+BM249*BM147+BN249*BN147+BO249*BO147+BP249*BP147+BQ249*BQ147+BR249*BR147+BS249*BS147+BT249*BT147+BU249*BU147+BV249*BV147+BW249*BW147+BX249*BX147+BY249*BY147+BZ249*BZ147+CA249*CA147+CB249*CB147+CC249*CC147+CD249*CD147+CE249*CE147+CF249*CF147+CG249*CG147+CH249*CH147+CI249*CI147+CJ249*CJ147+CK249*CK147+CL249*CL147+CM249*CM147+CN249*CN147</f>
        <v>0</v>
      </c>
      <c r="CS147" s="2651">
        <f>E250*E147+F250*F147+G250*G147+H250*H147+I250*I147+J250*J147+K250*K147+L250*L147+M250*M147+N250*N147+O250*O147+P250*P147+Q250*Q147+R250*R147+S250*S147+T250*T147+U250*U147+V250*V147+W250*W147+X250*X147+Y250*Y147+Z250*Z147+AA250*AA147+AB250*AB147+AC250*AC147+AD250*AD147+AE250*AE147+AF250*AF147+AG250*AG147+AH250*AH147+AI250*AI147+AJ250*AJ147+AK250*AK147+AL250*AL147+AM250*AM147+AN250*AN147+AO250*AO147+AP250*AP147+AQ250*AQ147+AR250*AR147+AS250*AS147+AT250*AT147+AU250*AU147+AV250*AV147+AW250*AW147+AX250*AX147+AY250*AY147+AZ250*AZ147+BA250*BA147+BB250*BB147+BC250*BC147+BD250*BD147+BE250*BE147+BF250*BF147+BG250*BG147+BH250*BH147+BI250*BI147+BJ250*BJ147+BK250*BK147+BL250*BL147+BM250*BM147+BN250*BN147+BO250*BO147+BP250*BP147+BQ250*BQ147+BR250*BR147+BS250*BS147+BT250*BT147+BU250*BU147+BV250*BV147+BW250*BW147+BX250*BX147+BY250*BY147+BZ250*BZ147+CA250*CA147+CB250*CB147+CC250*CC147+CD250*CD147+CE250*CE147+CF250*CF147+CG250*CG147+CH250*CH147+CI250*CI147+CJ250*CJ147+CK250*CK147+CL250*CL147+CM250*CM147+CN250*CN147</f>
        <v>0</v>
      </c>
      <c r="CT147" s="2652">
        <f>E251*E147+F251*F147+G251*G147+H251*H147+I251*I147+J251*J147+K251*K147+L251*L147+M251*M147+N251*N147+O251*O147+P251*P147+Q251*Q147+R251*R147+S251*S147+T251*T147+U251*U147+V251*V147+W251*W147+X251*X147+Y251*Y147+Z251*Z147+AA251*AA147+AB251*AB147+AC251*AC147+AD251*AD147+AE251*AE147+AF251*AF147+AG251*AG147+AH251*AH147+AI251*AI147+AJ251*AJ147+AK251*AK147+AL251*AL147+AM251*AM147+AN251*AN147+AO251*AO147+AP251*AP147+AQ251*AQ147+AR251*AR147+AS251*AS147+AT251*AT147+AU251*AU147+AV251*AV147+AW251*AW147+AX251*AX147+AY251*AY147+AZ251*AZ147+BA251*BA147+BB251*BB147+BC251*BC147+BD251*BD147+BE251*BE147+BF251*BF147+BG251*BG147+BH251*BH147+BI251*BI147+BJ251*BJ147+BK251*BK147+BL251*BL147+BM251*BM147+BN251*BN147+BO251*BO147+BP251*BP147+BQ251*BQ147+BR251*BR147+BS251*BS147+BT251*BT147+BU251*BU147+BV251*BV147+BW251*BW147+BX251*BX147+BY251*BY147+BZ251*BZ147+CA251*CA147+CB251*CB147+CC251*CC147+CD251*CD147+CE251*CE147+CF251*CF147+CG251*CG147+CH251*CH147+CI251*CI147+CJ251*CJ147+CK251*CK147+CL251*CL147+CM251*CM147+CN251*CN147</f>
        <v>0</v>
      </c>
      <c r="CU147" s="2652">
        <f>E252*E147+F252*F147+G252*G147+H252*H147+I252*I147+J252*J147+K252*K147+L252*L147+M252*M147+N252*N147+O252*O147+P252*P147+Q252*Q147+R252*R147+S252*S147+T252*T147+U252*U147+V252*V147+W252*W147+X252*X147+Y252*Y147+Z252*Z147+AA252*AA147+AB252*AB147+AC252*AC147+AD252*AD147+AE252*AE147+AF252*AF147+AG252*AG147+AH252*AH147+AI252*AI147+AJ252*AJ147+AK252*AK147+AL252*AL147+AM252*AM147+AN252*AN147+AO252*AO147+AP252*AP147+AQ252*AQ147+AR252*AR147+AS252*AS147+AT252*AT147+AU252*AU147+AV252*AV147+AW252*AW147+AX252*AX147+AY252*AY147+AZ252*AZ147+BA252*BA147+BB252*BB147+BC252*BC147+BD252*BD147+BE252*BE147+BF252*BF147+BG252*BG147+BH252*BH147+BI252*BI147+BJ252*BJ147+BK252*BK147+BL252*BL147+BM252*BM147+BN252*BN147+BO252*BO147+BP252*BP147+BQ252*BQ147+BR252*BR147+BS252*BS147+BT252*BT147+BU252*BU147+BV252*BV147+BW252*BW147+BX252*BX147+BY252*BY147+BZ252*BZ147+CA252*CA147+CB252*CB147+CC252*CC147+CD252*CD147+CE252*CE147+CF252*CF147+CG252*CG147+CH252*CH147+CI252*CI147+CJ252*CJ147+CK252*CK147+CL252*CL147+CM252*CM147+CN252*CN147</f>
        <v>0</v>
      </c>
      <c r="CV147" s="2652">
        <f>E253*E147+F253*F147+G253*G147+H253*H147+I253*I147+J253*J147+K253*K147+L253*L147+M253*M147+N253*N147+O253*O147+P253*P147+Q253*Q147+R253*R147+S253*S147+T253*T147+U253*U147+V253*V147+W253*W147+X253*X147+Y253*Y147+Z253*Z147+AA253*AA147+AB253*AB147+AC253*AC147+AD253*AD147+AE253*AE147+AF253*AF147+AG253*AG147+AH253*AH147+AI253*AI147+AJ253*AJ147+AK253*AK147+AL253*AL147+AM253*AM147+AN253*AN147+AO253*AO147+AP253*AP147+AQ253*AQ147+AR253*AR147+AS253*AS147+AT253*AT147+AU253*AU147+AV253*AV147+AW253*AW147+AX253*AX147+AY253*AY147+AZ253*AZ147+BA253*BA147+BB253*BB147+BC253*BC147+BD253*BD147+BE253*BE147+BF253*BF147+BG253*BG147+BH253*BH147+BI253*BI147+BJ253*BJ147+BK253*BK147+BL253*BL147+BM253*BM147+BN253*BN147+BO253*BO147+BP253*BP147+BQ253*BQ147+BR253*BR147+BS253*BS147+BT253*BT147+BU253*BU147+BV253*BV147+BW253*BW147+BX253*BX147+BY253*BY147+BZ253*BZ147+CA253*CA147+CB253*CB147+CC253*CC147+CD253*CD147+CE253*CE147+CF253*CF147+CG253*CG147+CH253*CH147+CI253*CI147+CJ253*CJ147+CK253*CK147+CL253*CL147+CM253*CM147+CN253*CN147</f>
        <v>0</v>
      </c>
      <c r="CW147" s="2652">
        <f>E254*E147+F254*F147+G254*G147+H254*H147+I254*I147+J254*J147+K254*K147+L254*L147+M254*M147+N254*N147+O254*O147+P254*P147+Q254*Q147+R254*R147+S254*S147+T254*T147+U254*U147+V254*V147+W254*W147+X254*X147+Y254*Y147+Z254*Z147+AA254*AA147+AB254*AB147+AC254*AC147+AD254*AD147+AE254*AE147+AF254*AF147+AG254*AG147+AH254*AH147+AI254*AI147+AJ254*AJ147+AK254*AK147+AL254*AL147+AM254*AM147+AN254*AN147+AO254*AO147+AP254*AP147+AQ254*AQ147+AR254*AR147+AS254*AS147+AT254*AT147+AU254*AU147+AV254*AV147+AW254*AW147+AX254*AX147+AY254*AY147+AZ254*AZ147+BA254*BA147+BB254*BB147+BC254*BC147+BD254*BD147+BE254*BE147+BF254*BF147+BG254*BG147+BH254*BH147+BI254*BI147+BJ254*BJ147+BK254*BK147+BL254*BL147+BM254*BM147+BN254*BN147+BO254*BO147+BP254*BP147+BQ254*BQ147+BR254*BR147+BS254*BS147+BT254*BT147+BU254*BU147+BV254*BV147+BW254*BW147+BX254*BX147+BY254*BY147+BZ254*BZ147+CA254*CA147+CB254*CB147+CC254*CC147+CD254*CD147+CE254*CE147+CF254*CF147+CG254*CG147+CH254*CH147+CI254*CI147+CJ254*CJ147+CK254*CK147+CL254*CL147+CM254*CM147+CN254*CN147</f>
        <v>0</v>
      </c>
      <c r="CX147" s="2652">
        <f>E255*E147+F255*F147+G255*G147+H255*H147+I255*I147+J255*J147+K255*K147+L255*L147+M255*M147+N255*N147+O255*O147+P255*P147+Q255*Q147+R255*R147+S255*S147+T255*T147+U255*U147+V255*V147+W255*W147+X255*X147+Y255*Y147+Z255*Z147+AA255*AA147+AB255*AB147+AC255*AC147+AD255*AD147+AE255*AE147+AF255*AF147+AG255*AG147+AH255*AH147+AI255*AI147+AJ255*AJ147+AK255*AK147+AL255*AL147+AM255*AM147+AN255*AN147+AO255*AO147+AP255*AP147+AQ255*AQ147+AR255*AR147+AS255*AS147+AT255*AT147+AU255*AU147+AV255*AV147+AW255*AW147+AX255*AX147+AY255*AY147+AZ255*AZ147+BA255*BA147+BB255*BB147+BC255*BC147+BD255*BD147+BE255*BE147+BF255*BF147+BG255*BG147+BH255*BH147+BI255*BI147+BJ255*BJ147+BK255*BK147+BL255*BL147+BM255*BM147+BN255*BN147+BO255*BO147+BP255*BP147+BQ255*BQ147+BR255*BR147+BS255*BS147+BT255*BT147+BU255*BU147+BV255*BV147+BW255*BW147+BX255*BX147+BY255*BY147+BZ255*BZ147+CA255*CA147+CB255*CB147+CC255*CC147+CD255*CD147+CE255*CE147+CF255*CF147+CG255*CG147+CH255*CH147+CI255*CI147+CJ255*CJ147+CK255*CK147+CL255*CL147+CM255*CM147+CN255*CN147</f>
        <v>0</v>
      </c>
      <c r="CY147" s="2652">
        <f>E256*E147+F256*F147+G256*G147+H256*H147+I256*I147+J256*J147+K256*K147+L256*L147+M256*M147+N256*N147+O256*O147+P256*P147+Q256*Q147+R256*R147+S256*S147+T256*T147+U256*U147+V256*V147+W256*W147+X256*X147+Y256*Y147+Z256*Z147+AA256*AA147+AB256*AB147+AC256*AC147+AD256*AD147+AE256*AE147+AF256*AF147+AG256*AG147+AH256*AH147+AI256*AI147+AJ256*AJ147+AK256*AK147+AL256*AL147+AM256*AM147+AN256*AN147+AO256*AO147+AP256*AP147+AQ256*AQ147+AR256*AR147+AS256*AS147+AT256*AT147+AU256*AU147+AV256*AV147+AW256*AW147+AX256*AX147+AY256*AY147+AZ256*AZ147+BA256*BA147+BB256*BB147+BC256*BC147+BD256*BD147+BE256*BE147+BF256*BF147+BG256*BG147+BH256*BH147+BI256*BI147+BJ256*BJ147+BK256*BK147+BL256*BL147+BM256*BM147+BN256*BN147+BO256*BO147+BP256*BP147+BQ256*BQ147+BR256*BR147+BS256*BS147+BT256*BT147+BU256*BU147+BV256*BV147+BW256*BW147+BX256*BX147+BY256*BY147+BZ256*BZ147+CA256*CA147+CB256*CB147+CC256*CC147+CD256*CD147+CE256*CE147+CF256*CF147+CG256*CG147+CH256*CH147+CI256*CI147+CJ256*CJ147+CK256*CK147+CL256*CL147+CM256*CM147+CN256*CN147</f>
        <v>0</v>
      </c>
      <c r="CZ147" s="2652">
        <f>E257*E147+F257*F147+G257*G147+H257*H147+I257*I147+J257*J147+K257*K147+L257*L147+M257*M147+N257*N147+O257*O147+P257*P147+Q257*Q147+R257*R147+S257*S147+T257*T147+U257*U147+V257*V147+W257*W147+X257*X147+Y257*Y147+Z257*Z147+AA257*AA147+AB257*AB147+AC257*AC147+AD257*AD147+AE257*AE147+AF257*AF147+AG257*AG147+AH257*AH147+AI257*AI147+AJ257*AJ147+AK257*AK147+AL257*AL147+AM257*AM147+AN257*AN147+AO257*AO147+AP257*AP147+AQ257*AQ147+AR257*AR147+AS257*AS147+AT257*AT147+AU257*AU147+AV257*AV147+AW257*AW147+AX257*AX147+AY257*AY147+AZ257*AZ147+BA257*BA147+BB257*BB147+BC257*BC147+BD257*BD147+BE257*BE147+BF257*BF147+BG257*BG147+BH257*BH147+BI257*BI147+BJ257*BJ147+BK257*BK147+BL257*BL147+BM257*BM147+BN257*BN147+BO257*BO147+BP257*BP147+BQ257*BQ147+BR257*BR147+BS257*BS147+BT257*BT147+BU257*BU147+BV257*BV147+BW257*BW147+BX257*BX147+BY257*BY147+BZ257*BZ147+CA257*CA147+CB257*CB147+CC257*CC147+CD257*CD147+CE257*CE147+CF257*CF147+CG257*CG147+CH257*CH147+CI257*CI147+CJ257*CJ147+CK257*CK147+CL257*CL147+CM257*CM147+CN257*CN147</f>
        <v>0</v>
      </c>
      <c r="DA147" s="2652">
        <f>E258*E147+F258*F147+G258*G147+H258*H147+I258*I147+J258*J147+K258*K147+L258*L147+M258*M147+N258*N147+O258*O147+P258*P147+Q258*Q147+R258*R147+S258*S147+T258*T147+U258*U147+V258*V147+W258*W147+X258*X147+Y258*Y147+Z258*Z147+AA258*AA147+AB258*AB147+AC258*AC147+AD258*AD147+AE258*AE147+AF258*AF147+AG258*AG147+AH258*AH147+AI258*AI147+AJ258*AJ147+AK258*AK147+AL258*AL147+AM258*AM147+AN258*AN147+AO258*AO147+AP258*AP147+AQ258*AQ147+AR258*AR147+AS258*AS147+AT258*AT147+AU258*AU147+AV258*AV147+AW258*AW147+AX258*AX147+AY258*AY147+AZ258*AZ147+BA258*BA147+BB258*BB147+BC258*BC147+BD258*BD147+BE258*BE147+BF258*BF147+BG258*BG147+BH258*BH147+BI258*BI147+BJ258*BJ147+BK258*BK147+BL258*BL147+BM258*BM147+BN258*BN147+BO258*BO147+BP258*BP147+BQ258*BQ147+BR258*BR147+BS258*BS147+BT258*BT147+BU258*BU147+BV258*BV147+BW258*BW147+BX258*BX147+BY258*BY147+BZ258*BZ147+CA258*CA147+CB258*CB147+CC258*CC147+CD258*CD147+CE258*CE147+CF258*CF147+CG258*CG147+CH258*CH147+CI258*CI147+CJ258*CJ147+CK258*CK147+CL258*CL147+CM258*CM147+CN258*CN147</f>
        <v>0</v>
      </c>
    </row>
    <row r="148" spans="2:105" ht="18" x14ac:dyDescent="0.35">
      <c r="B148" s="1081">
        <v>15</v>
      </c>
      <c r="C148" s="1071" t="s">
        <v>237</v>
      </c>
      <c r="D148" s="795" t="s">
        <v>3049</v>
      </c>
      <c r="E148" s="2676">
        <f>0</f>
        <v>0</v>
      </c>
      <c r="F148" s="2676">
        <f>0</f>
        <v>0</v>
      </c>
      <c r="G148" s="2676">
        <f>0</f>
        <v>0</v>
      </c>
      <c r="H148" s="2676">
        <f>0</f>
        <v>0</v>
      </c>
      <c r="I148" s="2676">
        <f>(1+X_STO/X_AHO)*f_C</f>
        <v>0.1888</v>
      </c>
      <c r="J148" s="2676">
        <f>0</f>
        <v>0</v>
      </c>
      <c r="K148" s="2676">
        <f>(1-f_E+X_STO/X_AHO)*(1-f_C)</f>
        <v>1.6272</v>
      </c>
      <c r="L148" s="2676">
        <f>0</f>
        <v>0</v>
      </c>
      <c r="M148" s="2676">
        <f>0</f>
        <v>0</v>
      </c>
      <c r="N148" s="2676">
        <f>0</f>
        <v>0</v>
      </c>
      <c r="O148" s="2676">
        <f>-X_STO/X_AHO</f>
        <v>-0.88800000000000001</v>
      </c>
      <c r="P148" s="2676">
        <f>0</f>
        <v>0</v>
      </c>
      <c r="Q148" s="2676">
        <f>0</f>
        <v>0</v>
      </c>
      <c r="R148" s="2676">
        <f>f_E*(1-f_C)</f>
        <v>7.2000000000000008E-2</v>
      </c>
      <c r="S148" s="2676">
        <f>0</f>
        <v>0</v>
      </c>
      <c r="T148" s="2676">
        <f>0</f>
        <v>0</v>
      </c>
      <c r="U148" s="2676">
        <f>-1</f>
        <v>-1</v>
      </c>
      <c r="V148" s="2676">
        <f>0</f>
        <v>0</v>
      </c>
      <c r="W148" s="2676">
        <f>0</f>
        <v>0</v>
      </c>
      <c r="X148" s="2676">
        <f>0</f>
        <v>0</v>
      </c>
      <c r="Y148" s="2676">
        <f>0</f>
        <v>0</v>
      </c>
      <c r="Z148" s="2676">
        <f>0</f>
        <v>0</v>
      </c>
      <c r="AA148" s="2676">
        <f>0</f>
        <v>0</v>
      </c>
      <c r="AB148" s="2676">
        <f>0</f>
        <v>0</v>
      </c>
      <c r="AC148" s="2739">
        <f>0</f>
        <v>0</v>
      </c>
      <c r="AD148" s="2676">
        <f>i_N_AHO-f_E*(1-f_C)*i_N_XE-f_C*i_N_CB-(1-f_E)*(1-f_C)*i_N_BIO-f_C*X_STO/X_AHO*i_N_CB</f>
        <v>3.5831999999999989E-2</v>
      </c>
      <c r="AE148" s="2676">
        <f>0</f>
        <v>0</v>
      </c>
      <c r="AF148" s="2676">
        <f>0</f>
        <v>0</v>
      </c>
      <c r="AG148" s="2676">
        <f>0</f>
        <v>0</v>
      </c>
      <c r="AH148" s="2676">
        <f>0</f>
        <v>0</v>
      </c>
      <c r="AI148" s="2676">
        <f>0</f>
        <v>0</v>
      </c>
      <c r="AJ148" s="2676">
        <f>(1-f_E)*(1-f_C)*i_N_BIO</f>
        <v>5.7960000000000012E-2</v>
      </c>
      <c r="AK148" s="2676">
        <f>0</f>
        <v>0</v>
      </c>
      <c r="AL148" s="2676">
        <f>i_P_AHO-f_E*(1-f_C)*i_P_BIO-f_C*i_P_CB-(1-f_E)*(1-f_C)*i_P_BIO-f_C*X_STO/X_AHO*i_P_CB</f>
        <v>1.6622400000000006E-2</v>
      </c>
      <c r="AM148" s="2676">
        <f>0</f>
        <v>0</v>
      </c>
      <c r="AN148" s="2676">
        <f>0</f>
        <v>0</v>
      </c>
      <c r="AO148" s="2676">
        <f>0</f>
        <v>0</v>
      </c>
      <c r="AP148" s="2676">
        <f>(1-f_E)*(1-f_C)*i_P_BIO</f>
        <v>1.6560000000000002E-2</v>
      </c>
      <c r="AQ148" s="2676">
        <f>0</f>
        <v>0</v>
      </c>
      <c r="AR148" s="2676">
        <f>0</f>
        <v>0</v>
      </c>
      <c r="AS148" s="2676">
        <f>0</f>
        <v>0</v>
      </c>
      <c r="AT148" s="2676">
        <f>0</f>
        <v>0</v>
      </c>
      <c r="AU148" s="2676">
        <f>i_CIT_BIO-f_E*(1-f_C)*i_CIT_BIO-(1-f_E)*(1-f_C)*i_CIT_XBe-(1-f_E)*f_C*i_CIT_XBe-f_E*f_C*i_CIT_XBe+(i_CIT_SB_mono-i_CIT_SB_poly)*X_STO/X_AHO</f>
        <v>0.14028000000000002</v>
      </c>
      <c r="AV148" s="2676">
        <f>0</f>
        <v>0</v>
      </c>
      <c r="AW148" s="2676">
        <f>0</f>
        <v>0</v>
      </c>
      <c r="AX148" s="2676">
        <f>0</f>
        <v>0</v>
      </c>
      <c r="AY148" s="2676">
        <f>0</f>
        <v>0</v>
      </c>
      <c r="AZ148" s="2676">
        <f>0</f>
        <v>0</v>
      </c>
      <c r="BA148" s="2676">
        <f>0</f>
        <v>0</v>
      </c>
      <c r="BB148" s="2676">
        <f>0</f>
        <v>0</v>
      </c>
      <c r="BC148" s="2676">
        <f>0</f>
        <v>0</v>
      </c>
      <c r="BD148" s="2676">
        <f>0</f>
        <v>0</v>
      </c>
      <c r="BE148" s="2676">
        <f>0</f>
        <v>0</v>
      </c>
      <c r="BF148" s="2676">
        <f>0</f>
        <v>0</v>
      </c>
      <c r="BG148" s="2676">
        <f>0</f>
        <v>0</v>
      </c>
      <c r="BH148" s="2676">
        <f>0</f>
        <v>0</v>
      </c>
      <c r="BI148" s="2676">
        <f>0</f>
        <v>0</v>
      </c>
      <c r="BJ148" s="2764">
        <f>0</f>
        <v>0</v>
      </c>
      <c r="BK148" s="2764">
        <f>0</f>
        <v>0</v>
      </c>
      <c r="BL148" s="2764">
        <f>0</f>
        <v>0</v>
      </c>
      <c r="BM148" s="2764">
        <f>0</f>
        <v>0</v>
      </c>
      <c r="BN148" s="2764">
        <f>0</f>
        <v>0</v>
      </c>
      <c r="BO148" s="2764">
        <f>0</f>
        <v>0</v>
      </c>
      <c r="BP148" s="2764">
        <f>0</f>
        <v>0</v>
      </c>
      <c r="BQ148" s="2676">
        <f>0</f>
        <v>0</v>
      </c>
      <c r="BR148" s="2676">
        <f>0</f>
        <v>0</v>
      </c>
      <c r="BS148" s="2764">
        <f>0</f>
        <v>0</v>
      </c>
      <c r="BT148" s="2676">
        <f>0</f>
        <v>0</v>
      </c>
      <c r="BU148" s="2676">
        <f>0</f>
        <v>0</v>
      </c>
      <c r="BV148" s="2739">
        <f>0</f>
        <v>0</v>
      </c>
      <c r="BW148" s="2739">
        <f>0</f>
        <v>0</v>
      </c>
      <c r="BX148" s="2739">
        <f>0</f>
        <v>0</v>
      </c>
      <c r="BY148" s="2739">
        <f>0</f>
        <v>0</v>
      </c>
      <c r="BZ148" s="2676">
        <f>0</f>
        <v>0</v>
      </c>
      <c r="CA148" s="2676">
        <f>0</f>
        <v>0</v>
      </c>
      <c r="CB148" s="2797">
        <f>0</f>
        <v>0</v>
      </c>
      <c r="CC148" s="2676">
        <f>0</f>
        <v>0</v>
      </c>
      <c r="CD148" s="2676">
        <f>0</f>
        <v>0</v>
      </c>
      <c r="CE148" s="2676">
        <f>0</f>
        <v>0</v>
      </c>
      <c r="CF148" s="2676">
        <f>0</f>
        <v>0</v>
      </c>
      <c r="CG148" s="2676">
        <f>0</f>
        <v>0</v>
      </c>
      <c r="CH148" s="2676">
        <f>0</f>
        <v>0</v>
      </c>
      <c r="CI148" s="2676">
        <f>0</f>
        <v>0</v>
      </c>
      <c r="CJ148" s="2676">
        <f>0</f>
        <v>0</v>
      </c>
      <c r="CK148" s="2676">
        <f>0</f>
        <v>0</v>
      </c>
      <c r="CL148" s="2676">
        <f>0</f>
        <v>0</v>
      </c>
      <c r="CM148" s="2676">
        <f>0</f>
        <v>0</v>
      </c>
      <c r="CN148" s="2676">
        <f>0</f>
        <v>0</v>
      </c>
      <c r="CO148" s="2826">
        <f>b_AHO_T*X_AHO*(M_satSO2_KO2_AHO+M_satSNO2_KNO2_AHO*M_inhSO2_KO2_AHO+M_satSNO3_KNO3_AHO*M_inhSNO2_KNO2_AHO*M_inhSO2_KO2_AHO)</f>
        <v>149.80392156862746</v>
      </c>
      <c r="CQ148" s="2650">
        <f>E248*E148+F248*F148+G248*G148+H248*H148+I248*I148+J248*J148+K248*K148+L248*L148+M248*M148+N248*N148+O248*O148+P248*P148+Q248*Q148+R248*R148+S248*S148+T248*T148+U248*U148+V248*V148+W248*W148+X248*X148+Y248*Y148+Z248*Z148+AA248*AA148+AB248*AB148+AC248*AC148+AD248*AD148+AE248*AE148+AF248*AF148+AG248*AG148+AH248*AH148+AI248*AI148+AJ248*AJ148+AK248*AK148+AL248*AL148+AM248*AM148+AN248*AN148+AO248*AO148+AP248*AP148+AQ248*AQ148+AR248*AR148+AS248*AS148+AT248*AT148+AU248*AU148+AV248*AV148+AW248*AW148+AX248*AX148+AY248*AY148+AZ248*AZ148+BA248*BA148+BB248*BB148+BC248*BC148+BD248*BD148+BE248*BE148+BF248*BF148+BG248*BG148+BH248*BH148+BI248*BI148+BJ248*BJ148+BK248*BK148+BL248*BL148+BM248*BM148+BN248*BN148+BO248*BO148+BP248*BP148+BQ248*BQ148+BR248*BR148+BS248*BS148+BT248*BT148+BU248*BU148+BV248*BV148+BW248*BW148+BX248*BX148+BY248*BY148+BZ248*BZ148+CA248*CA148+CB248*CB148+CC248*CC148+CD248*CD148+CE248*CE148+CF248*CF148+CG248*CG148+CH248*CH148+CI248*CI148+CJ248*CJ148+CK248*CK148+CL248*CL148+CM248*CM148+CN248*CN148</f>
        <v>0</v>
      </c>
      <c r="CR148" s="2650">
        <f>E249*E148+F249*F148+G249*G148+H249*H148+I249*I148+J249*J148+K249*K148+L249*L148+M249*M148+N249*N148+O249*O148+P249*P148+Q249*Q148+R249*R148+S249*S148+T249*T148+U249*U148+V249*V148+W249*W148+X249*X148+Y249*Y148+Z249*Z148+AA249*AA148+AB249*AB148+AC249*AC148+AD249*AD148+AE249*AE148+AF249*AF148+AG249*AG148+AH249*AH148+AI249*AI148+AJ249*AJ148+AK249*AK148+AL249*AL148+AM249*AM148+AN249*AN148+AO249*AO148+AP249*AP148+AQ249*AQ148+AR249*AR148+AS249*AS148+AT249*AT148+AU249*AU148+AV249*AV148+AW249*AW148+AX249*AX148+AY249*AY148+AZ249*AZ148+BA249*BA148+BB249*BB148+BC249*BC148+BD249*BD148+BE249*BE148+BF249*BF148+BG249*BG148+BH249*BH148+BI249*BI148+BJ249*BJ148+BK249*BK148+BL249*BL148+BM249*BM148+BN249*BN148+BO249*BO148+BP249*BP148+BQ249*BQ148+BR249*BR148+BS249*BS148+BT249*BT148+BU249*BU148+BV249*BV148+BW249*BW148+BX249*BX148+BY249*BY148+BZ249*BZ148+CA249*CA148+CB249*CB148+CC249*CC148+CD249*CD148+CE249*CE148+CF249*CF148+CG249*CG148+CH249*CH148+CI249*CI148+CJ249*CJ148+CK249*CK148+CL249*CL148+CM249*CM148+CN249*CN148</f>
        <v>-2.7755575615628914E-17</v>
      </c>
      <c r="CS148" s="2651">
        <f>E250*E148+F250*F148+G250*G148+H250*H148+I250*I148+J250*J148+K250*K148+L250*L148+M250*M148+N250*N148+O250*O148+P250*P148+Q250*Q148+R250*R148+S250*S148+T250*T148+U250*U148+V250*V148+W250*W148+X250*X148+Y250*Y148+Z250*Z148+AA250*AA148+AB250*AB148+AC250*AC148+AD250*AD148+AE250*AE148+AF250*AF148+AG250*AG148+AH250*AH148+AI250*AI148+AJ250*AJ148+AK250*AK148+AL250*AL148+AM250*AM148+AN250*AN148+AO250*AO148+AP250*AP148+AQ250*AQ148+AR250*AR148+AS250*AS148+AT250*AT148+AU250*AU148+AV250*AV148+AW250*AW148+AX250*AX148+AY250*AY148+AZ250*AZ148+BA250*BA148+BB250*BB148+BC250*BC148+BD250*BD148+BE250*BE148+BF250*BF148+BG250*BG148+BH250*BH148+BI250*BI148+BJ250*BJ148+BK250*BK148+BL250*BL148+BM250*BM148+BN250*BN148+BO250*BO148+BP250*BP148+BQ250*BQ148+BR250*BR148+BS250*BS148+BT250*BT148+BU250*BU148+BV250*BV148+BW250*BW148+BX250*BX148+BY250*BY148+BZ250*BZ148+CA250*CA148+CB250*CB148+CC250*CC148+CD250*CD148+CE250*CE148+CF250*CF148+CG250*CG148+CH250*CH148+CI250*CI148+CJ250*CJ148+CK250*CK148+CL250*CL148+CM250*CM148+CN250*CN148</f>
        <v>0</v>
      </c>
      <c r="CT148" s="2652">
        <f>E251*E148+F251*F148+G251*G148+H251*H148+I251*I148+J251*J148+K251*K148+L251*L148+M251*M148+N251*N148+O251*O148+P251*P148+Q251*Q148+R251*R148+S251*S148+T251*T148+U251*U148+V251*V148+W251*W148+X251*X148+Y251*Y148+Z251*Z148+AA251*AA148+AB251*AB148+AC251*AC148+AD251*AD148+AE251*AE148+AF251*AF148+AG251*AG148+AH251*AH148+AI251*AI148+AJ251*AJ148+AK251*AK148+AL251*AL148+AM251*AM148+AN251*AN148+AO251*AO148+AP251*AP148+AQ251*AQ148+AR251*AR148+AS251*AS148+AT251*AT148+AU251*AU148+AV251*AV148+AW251*AW148+AX251*AX148+AY251*AY148+AZ251*AZ148+BA251*BA148+BB251*BB148+BC251*BC148+BD251*BD148+BE251*BE148+BF251*BF148+BG251*BG148+BH251*BH148+BI251*BI148+BJ251*BJ148+BK251*BK148+BL251*BL148+BM251*BM148+BN251*BN148+BO251*BO148+BP251*BP148+BQ251*BQ148+BR251*BR148+BS251*BS148+BT251*BT148+BU251*BU148+BV251*BV148+BW251*BW148+BX251*BX148+BY251*BY148+BZ251*BZ148+CA251*CA148+CB251*CB148+CC251*CC148+CD251*CD148+CE251*CE148+CF251*CF148+CG251*CG148+CH251*CH148+CI251*CI148+CJ251*CJ148+CK251*CK148+CL251*CL148+CM251*CM148+CN251*CN148</f>
        <v>6.9388939039072284E-18</v>
      </c>
      <c r="CU148" s="2652">
        <f>E252*E148+F252*F148+G252*G148+H252*H148+I252*I148+J252*J148+K252*K148+L252*L148+M252*M148+N252*N148+O252*O148+P252*P148+Q252*Q148+R252*R148+S252*S148+T252*T148+U252*U148+V252*V148+W252*W148+X252*X148+Y252*Y148+Z252*Z148+AA252*AA148+AB252*AB148+AC252*AC148+AD252*AD148+AE252*AE148+AF252*AF148+AG252*AG148+AH252*AH148+AI252*AI148+AJ252*AJ148+AK252*AK148+AL252*AL148+AM252*AM148+AN252*AN148+AO252*AO148+AP252*AP148+AQ252*AQ148+AR252*AR148+AS252*AS148+AT252*AT148+AU252*AU148+AV252*AV148+AW252*AW148+AX252*AX148+AY252*AY148+AZ252*AZ148+BA252*BA148+BB252*BB148+BC252*BC148+BD252*BD148+BE252*BE148+BF252*BF148+BG252*BG148+BH252*BH148+BI252*BI148+BJ252*BJ148+BK252*BK148+BL252*BL148+BM252*BM148+BN252*BN148+BO252*BO148+BP252*BP148+BQ252*BQ148+BR252*BR148+BS252*BS148+BT252*BT148+BU252*BU148+BV252*BV148+BW252*BW148+BX252*BX148+BY252*BY148+BZ252*BZ148+CA252*CA148+CB252*CB148+CC252*CC148+CD252*CD148+CE252*CE148+CF252*CF148+CG252*CG148+CH252*CH148+CI252*CI148+CJ252*CJ148+CK252*CK148+CL252*CL148+CM252*CM148+CN252*CN148</f>
        <v>0</v>
      </c>
      <c r="CV148" s="2652">
        <f>E253*E148+F253*F148+G253*G148+H253*H148+I253*I148+J253*J148+K253*K148+L253*L148+M253*M148+N253*N148+O253*O148+P253*P148+Q253*Q148+R253*R148+S253*S148+T253*T148+U253*U148+V253*V148+W253*W148+X253*X148+Y253*Y148+Z253*Z148+AA253*AA148+AB253*AB148+AC253*AC148+AD253*AD148+AE253*AE148+AF253*AF148+AG253*AG148+AH253*AH148+AI253*AI148+AJ253*AJ148+AK253*AK148+AL253*AL148+AM253*AM148+AN253*AN148+AO253*AO148+AP253*AP148+AQ253*AQ148+AR253*AR148+AS253*AS148+AT253*AT148+AU253*AU148+AV253*AV148+AW253*AW148+AX253*AX148+AY253*AY148+AZ253*AZ148+BA253*BA148+BB253*BB148+BC253*BC148+BD253*BD148+BE253*BE148+BF253*BF148+BG253*BG148+BH253*BH148+BI253*BI148+BJ253*BJ148+BK253*BK148+BL253*BL148+BM253*BM148+BN253*BN148+BO253*BO148+BP253*BP148+BQ253*BQ148+BR253*BR148+BS253*BS148+BT253*BT148+BU253*BU148+BV253*BV148+BW253*BW148+BX253*BX148+BY253*BY148+BZ253*BZ148+CA253*CA148+CB253*CB148+CC253*CC148+CD253*CD148+CE253*CE148+CF253*CF148+CG253*CG148+CH253*CH148+CI253*CI148+CJ253*CJ148+CK253*CK148+CL253*CL148+CM253*CM148+CN253*CN148</f>
        <v>0</v>
      </c>
      <c r="CW148" s="2652">
        <f>E254*E148+F254*F148+G254*G148+H254*H148+I254*I148+J254*J148+K254*K148+L254*L148+M254*M148+N254*N148+O254*O148+P254*P148+Q254*Q148+R254*R148+S254*S148+T254*T148+U254*U148+V254*V148+W254*W148+X254*X148+Y254*Y148+Z254*Z148+AA254*AA148+AB254*AB148+AC254*AC148+AD254*AD148+AE254*AE148+AF254*AF148+AG254*AG148+AH254*AH148+AI254*AI148+AJ254*AJ148+AK254*AK148+AL254*AL148+AM254*AM148+AN254*AN148+AO254*AO148+AP254*AP148+AQ254*AQ148+AR254*AR148+AS254*AS148+AT254*AT148+AU254*AU148+AV254*AV148+AW254*AW148+AX254*AX148+AY254*AY148+AZ254*AZ148+BA254*BA148+BB254*BB148+BC254*BC148+BD254*BD148+BE254*BE148+BF254*BF148+BG254*BG148+BH254*BH148+BI254*BI148+BJ254*BJ148+BK254*BK148+BL254*BL148+BM254*BM148+BN254*BN148+BO254*BO148+BP254*BP148+BQ254*BQ148+BR254*BR148+BS254*BS148+BT254*BT148+BU254*BU148+BV254*BV148+BW254*BW148+BX254*BX148+BY254*BY148+BZ254*BZ148+CA254*CA148+CB254*CB148+CC254*CC148+CD254*CD148+CE254*CE148+CF254*CF148+CG254*CG148+CH254*CH148+CI254*CI148+CJ254*CJ148+CK254*CK148+CL254*CL148+CM254*CM148+CN254*CN148</f>
        <v>0</v>
      </c>
      <c r="CX148" s="2652">
        <f>E255*E148+F255*F148+G255*G148+H255*H148+I255*I148+J255*J148+K255*K148+L255*L148+M255*M148+N255*N148+O255*O148+P255*P148+Q255*Q148+R255*R148+S255*S148+T255*T148+U255*U148+V255*V148+W255*W148+X255*X148+Y255*Y148+Z255*Z148+AA255*AA148+AB255*AB148+AC255*AC148+AD255*AD148+AE255*AE148+AF255*AF148+AG255*AG148+AH255*AH148+AI255*AI148+AJ255*AJ148+AK255*AK148+AL255*AL148+AM255*AM148+AN255*AN148+AO255*AO148+AP255*AP148+AQ255*AQ148+AR255*AR148+AS255*AS148+AT255*AT148+AU255*AU148+AV255*AV148+AW255*AW148+AX255*AX148+AY255*AY148+AZ255*AZ148+BA255*BA148+BB255*BB148+BC255*BC148+BD255*BD148+BE255*BE148+BF255*BF148+BG255*BG148+BH255*BH148+BI255*BI148+BJ255*BJ148+BK255*BK148+BL255*BL148+BM255*BM148+BN255*BN148+BO255*BO148+BP255*BP148+BQ255*BQ148+BR255*BR148+BS255*BS148+BT255*BT148+BU255*BU148+BV255*BV148+BW255*BW148+BX255*BX148+BY255*BY148+BZ255*BZ148+CA255*CA148+CB255*CB148+CC255*CC148+CD255*CD148+CE255*CE148+CF255*CF148+CG255*CG148+CH255*CH148+CI255*CI148+CJ255*CJ148+CK255*CK148+CL255*CL148+CM255*CM148+CN255*CN148</f>
        <v>0</v>
      </c>
      <c r="CY148" s="2652">
        <f>E256*E148+F256*F148+G256*G148+H256*H148+I256*I148+J256*J148+K256*K148+L256*L148+M256*M148+N256*N148+O256*O148+P256*P148+Q256*Q148+R256*R148+S256*S148+T256*T148+U256*U148+V256*V148+W256*W148+X256*X148+Y256*Y148+Z256*Z148+AA256*AA148+AB256*AB148+AC256*AC148+AD256*AD148+AE256*AE148+AF256*AF148+AG256*AG148+AH256*AH148+AI256*AI148+AJ256*AJ148+AK256*AK148+AL256*AL148+AM256*AM148+AN256*AN148+AO256*AO148+AP256*AP148+AQ256*AQ148+AR256*AR148+AS256*AS148+AT256*AT148+AU256*AU148+AV256*AV148+AW256*AW148+AX256*AX148+AY256*AY148+AZ256*AZ148+BA256*BA148+BB256*BB148+BC256*BC148+BD256*BD148+BE256*BE148+BF256*BF148+BG256*BG148+BH256*BH148+BI256*BI148+BJ256*BJ148+BK256*BK148+BL256*BL148+BM256*BM148+BN256*BN148+BO256*BO148+BP256*BP148+BQ256*BQ148+BR256*BR148+BS256*BS148+BT256*BT148+BU256*BU148+BV256*BV148+BW256*BW148+BX256*BX148+BY256*BY148+BZ256*BZ148+CA256*CA148+CB256*CB148+CC256*CC148+CD256*CD148+CE256*CE148+CF256*CF148+CG256*CG148+CH256*CH148+CI256*CI148+CJ256*CJ148+CK256*CK148+CL256*CL148+CM256*CM148+CN256*CN148</f>
        <v>0</v>
      </c>
      <c r="CZ148" s="2652">
        <f>E257*E148+F257*F148+G257*G148+H257*H148+I257*I148+J257*J148+K257*K148+L257*L148+M257*M148+N257*N148+O257*O148+P257*P148+Q257*Q148+R257*R148+S257*S148+T257*T148+U257*U148+V257*V148+W257*W148+X257*X148+Y257*Y148+Z257*Z148+AA257*AA148+AB257*AB148+AC257*AC148+AD257*AD148+AE257*AE148+AF257*AF148+AG257*AG148+AH257*AH148+AI257*AI148+AJ257*AJ148+AK257*AK148+AL257*AL148+AM257*AM148+AN257*AN148+AO257*AO148+AP257*AP148+AQ257*AQ148+AR257*AR148+AS257*AS148+AT257*AT148+AU257*AU148+AV257*AV148+AW257*AW148+AX257*AX148+AY257*AY148+AZ257*AZ148+BA257*BA148+BB257*BB148+BC257*BC148+BD257*BD148+BE257*BE148+BF257*BF148+BG257*BG148+BH257*BH148+BI257*BI148+BJ257*BJ148+BK257*BK148+BL257*BL148+BM257*BM148+BN257*BN148+BO257*BO148+BP257*BP148+BQ257*BQ148+BR257*BR148+BS257*BS148+BT257*BT148+BU257*BU148+BV257*BV148+BW257*BW148+BX257*BX148+BY257*BY148+BZ257*BZ148+CA257*CA148+CB257*CB148+CC257*CC148+CD257*CD148+CE257*CE148+CF257*CF148+CG257*CG148+CH257*CH148+CI257*CI148+CJ257*CJ148+CK257*CK148+CL257*CL148+CM257*CM148+CN257*CN148</f>
        <v>0</v>
      </c>
      <c r="DA148" s="2652">
        <f>E258*E148+F258*F148+G258*G148+H258*H148+I258*I148+J258*J148+K258*K148+L258*L148+M258*M148+N258*N148+O258*O148+P258*P148+Q258*Q148+R258*R148+S258*S148+T258*T148+U258*U148+V258*V148+W258*W148+X258*X148+Y258*Y148+Z258*Z148+AA258*AA148+AB258*AB148+AC258*AC148+AD258*AD148+AE258*AE148+AF258*AF148+AG258*AG148+AH258*AH148+AI258*AI148+AJ258*AJ148+AK258*AK148+AL258*AL148+AM258*AM148+AN258*AN148+AO258*AO148+AP258*AP148+AQ258*AQ148+AR258*AR148+AS258*AS148+AT258*AT148+AU258*AU148+AV258*AV148+AW258*AW148+AX258*AX148+AY258*AY148+AZ258*AZ148+BA258*BA148+BB258*BB148+BC258*BC148+BD258*BD148+BE258*BE148+BF258*BF148+BG258*BG148+BH258*BH148+BI258*BI148+BJ258*BJ148+BK258*BK148+BL258*BL148+BM258*BM148+BN258*BN148+BO258*BO148+BP258*BP148+BQ258*BQ148+BR258*BR148+BS258*BS148+BT258*BT148+BU258*BU148+BV258*BV148+BW258*BW148+BX258*BX148+BY258*BY148+BZ258*BZ148+CA258*CA148+CB258*CB148+CC258*CC148+CD258*CD148+CE258*CE148+CF258*CF148+CG258*CG148+CH258*CH148+CI258*CI148+CJ258*CJ148+CK258*CK148+CL258*CL148+CM258*CM148+CN258*CN148</f>
        <v>0</v>
      </c>
    </row>
    <row r="149" spans="2:105" ht="18" x14ac:dyDescent="0.35">
      <c r="B149" s="1081">
        <v>16</v>
      </c>
      <c r="C149" s="1071" t="s">
        <v>238</v>
      </c>
      <c r="D149" s="795" t="s">
        <v>3173</v>
      </c>
      <c r="E149" s="2676">
        <f>0</f>
        <v>0</v>
      </c>
      <c r="F149" s="2676">
        <f>0</f>
        <v>0</v>
      </c>
      <c r="G149" s="2676">
        <f>0</f>
        <v>0</v>
      </c>
      <c r="H149" s="2676">
        <f>0</f>
        <v>0</v>
      </c>
      <c r="I149" s="2676">
        <f>(1+X_STO/X_AHO)*f_C</f>
        <v>0.1888</v>
      </c>
      <c r="J149" s="2676">
        <f>0</f>
        <v>0</v>
      </c>
      <c r="K149" s="2676">
        <f>(1-f_E+X_STO/X_AHO)*(1-f_C)</f>
        <v>1.6272</v>
      </c>
      <c r="L149" s="2676">
        <f>0</f>
        <v>0</v>
      </c>
      <c r="M149" s="2676">
        <f>0</f>
        <v>0</v>
      </c>
      <c r="N149" s="2676">
        <f>0</f>
        <v>0</v>
      </c>
      <c r="O149" s="2676">
        <f>-X_STO/X_AHO</f>
        <v>-0.88800000000000001</v>
      </c>
      <c r="P149" s="2676">
        <f>0</f>
        <v>0</v>
      </c>
      <c r="Q149" s="2676">
        <f>0</f>
        <v>0</v>
      </c>
      <c r="R149" s="2676">
        <f>0</f>
        <v>0</v>
      </c>
      <c r="S149" s="2676">
        <f>f_E*(1-f_C)</f>
        <v>7.2000000000000008E-2</v>
      </c>
      <c r="T149" s="2676">
        <f>0</f>
        <v>0</v>
      </c>
      <c r="U149" s="2676">
        <f>-1</f>
        <v>-1</v>
      </c>
      <c r="V149" s="2676">
        <f>0</f>
        <v>0</v>
      </c>
      <c r="W149" s="2676">
        <f>0</f>
        <v>0</v>
      </c>
      <c r="X149" s="2676">
        <f>0</f>
        <v>0</v>
      </c>
      <c r="Y149" s="2676">
        <f>0</f>
        <v>0</v>
      </c>
      <c r="Z149" s="2676">
        <f>0</f>
        <v>0</v>
      </c>
      <c r="AA149" s="2676">
        <f>0</f>
        <v>0</v>
      </c>
      <c r="AB149" s="2676">
        <f>0</f>
        <v>0</v>
      </c>
      <c r="AC149" s="2739">
        <f>0</f>
        <v>0</v>
      </c>
      <c r="AD149" s="2676">
        <f>i_N_AHO-f_E*(1-f_C)*i_N_XE-f_C*i_N_CB-(1-f_E)*(1-f_C)*i_N_BIO-f_C*X_STO/X_AHO*i_N_CB</f>
        <v>3.5831999999999989E-2</v>
      </c>
      <c r="AE149" s="2676">
        <f>0</f>
        <v>0</v>
      </c>
      <c r="AF149" s="2676">
        <f>0</f>
        <v>0</v>
      </c>
      <c r="AG149" s="2676">
        <f>0</f>
        <v>0</v>
      </c>
      <c r="AH149" s="2676">
        <f>0</f>
        <v>0</v>
      </c>
      <c r="AI149" s="2676">
        <f>0</f>
        <v>0</v>
      </c>
      <c r="AJ149" s="2676">
        <f>(1-f_E)*(1-f_C)*i_N_BIO</f>
        <v>5.7960000000000012E-2</v>
      </c>
      <c r="AK149" s="2676">
        <f>0</f>
        <v>0</v>
      </c>
      <c r="AL149" s="2676">
        <f>i_P_AHO-f_E*(1-f_C)*i_P_BIO-f_C*i_P_CB-(1-f_E)*(1-f_C)*i_P_BIO-f_C*X_STO/X_AHO*i_P_CB</f>
        <v>1.6622400000000006E-2</v>
      </c>
      <c r="AM149" s="2676">
        <f>0</f>
        <v>0</v>
      </c>
      <c r="AN149" s="2676">
        <f>0</f>
        <v>0</v>
      </c>
      <c r="AO149" s="2676">
        <f>0</f>
        <v>0</v>
      </c>
      <c r="AP149" s="2676">
        <f>(1-f_E)*(1-f_C)*i_P_BIO</f>
        <v>1.6560000000000002E-2</v>
      </c>
      <c r="AQ149" s="2676">
        <f>0</f>
        <v>0</v>
      </c>
      <c r="AR149" s="2676">
        <f>0</f>
        <v>0</v>
      </c>
      <c r="AS149" s="2676">
        <f>0</f>
        <v>0</v>
      </c>
      <c r="AT149" s="2676">
        <f>0</f>
        <v>0</v>
      </c>
      <c r="AU149" s="2676">
        <f>i_CIT_BIO-f_E*(1-f_C)*i_CIT_BIO-(1-f_E)*(1-f_C)*i_CIT_XBe-(1-f_E)*f_C*i_CIT_XBe-f_E*f_C*i_CIT_XBe+(i_CIT_SB_mono-i_CIT_SB_poly)*X_STO/X_AHO</f>
        <v>0.14028000000000002</v>
      </c>
      <c r="AV149" s="2676">
        <f>0</f>
        <v>0</v>
      </c>
      <c r="AW149" s="2676">
        <f>0</f>
        <v>0</v>
      </c>
      <c r="AX149" s="2676">
        <f>0</f>
        <v>0</v>
      </c>
      <c r="AY149" s="2676">
        <f>0</f>
        <v>0</v>
      </c>
      <c r="AZ149" s="2676">
        <f>0</f>
        <v>0</v>
      </c>
      <c r="BA149" s="2676">
        <f>0</f>
        <v>0</v>
      </c>
      <c r="BB149" s="2676">
        <f>0</f>
        <v>0</v>
      </c>
      <c r="BC149" s="2676">
        <f>0</f>
        <v>0</v>
      </c>
      <c r="BD149" s="2676">
        <f>0</f>
        <v>0</v>
      </c>
      <c r="BE149" s="2676">
        <f>0</f>
        <v>0</v>
      </c>
      <c r="BF149" s="2676">
        <f>0</f>
        <v>0</v>
      </c>
      <c r="BG149" s="2676">
        <f>0</f>
        <v>0</v>
      </c>
      <c r="BH149" s="2676">
        <f>0</f>
        <v>0</v>
      </c>
      <c r="BI149" s="2676">
        <f>0</f>
        <v>0</v>
      </c>
      <c r="BJ149" s="2764">
        <f>0</f>
        <v>0</v>
      </c>
      <c r="BK149" s="2764">
        <f>0</f>
        <v>0</v>
      </c>
      <c r="BL149" s="2764">
        <f>0</f>
        <v>0</v>
      </c>
      <c r="BM149" s="2764">
        <f>0</f>
        <v>0</v>
      </c>
      <c r="BN149" s="2764">
        <f>0</f>
        <v>0</v>
      </c>
      <c r="BO149" s="2764">
        <f>0</f>
        <v>0</v>
      </c>
      <c r="BP149" s="2764">
        <f>0</f>
        <v>0</v>
      </c>
      <c r="BQ149" s="2676">
        <f>0</f>
        <v>0</v>
      </c>
      <c r="BR149" s="2676">
        <f>0</f>
        <v>0</v>
      </c>
      <c r="BS149" s="2764">
        <f>0</f>
        <v>0</v>
      </c>
      <c r="BT149" s="2676">
        <f>0</f>
        <v>0</v>
      </c>
      <c r="BU149" s="2676">
        <f>0</f>
        <v>0</v>
      </c>
      <c r="BV149" s="2739">
        <f>0</f>
        <v>0</v>
      </c>
      <c r="BW149" s="2739">
        <f>0</f>
        <v>0</v>
      </c>
      <c r="BX149" s="2739">
        <f>0</f>
        <v>0</v>
      </c>
      <c r="BY149" s="2739">
        <f>0</f>
        <v>0</v>
      </c>
      <c r="BZ149" s="2676">
        <f>0</f>
        <v>0</v>
      </c>
      <c r="CA149" s="2676">
        <f>0</f>
        <v>0</v>
      </c>
      <c r="CB149" s="2797">
        <f>0</f>
        <v>0</v>
      </c>
      <c r="CC149" s="2676">
        <f>0</f>
        <v>0</v>
      </c>
      <c r="CD149" s="2676">
        <f>0</f>
        <v>0</v>
      </c>
      <c r="CE149" s="2676">
        <f>0</f>
        <v>0</v>
      </c>
      <c r="CF149" s="2676">
        <f>0</f>
        <v>0</v>
      </c>
      <c r="CG149" s="2676">
        <f>0</f>
        <v>0</v>
      </c>
      <c r="CH149" s="2676">
        <f>0</f>
        <v>0</v>
      </c>
      <c r="CI149" s="2676">
        <f>0</f>
        <v>0</v>
      </c>
      <c r="CJ149" s="2676">
        <f>0</f>
        <v>0</v>
      </c>
      <c r="CK149" s="2676">
        <f>0</f>
        <v>0</v>
      </c>
      <c r="CL149" s="2676">
        <f>0</f>
        <v>0</v>
      </c>
      <c r="CM149" s="2676">
        <f>0</f>
        <v>0</v>
      </c>
      <c r="CN149" s="2676">
        <f>0</f>
        <v>0</v>
      </c>
      <c r="CO149" s="2826">
        <f>b_AHO_T*X_AHO*M_inhSNO2_KNO2_AHO*M_inhSNO3_KNO3_AHO*M_inhSO2_KO2_AHO</f>
        <v>0.19607843137254907</v>
      </c>
      <c r="CQ149" s="2650">
        <f>E248*E149+F248*F149+G248*G149+H248*H149+I248*I149+J248*J149+K248*K149+L248*L149+M248*M149+N248*N149+O248*O149+P248*P149+Q248*Q149+R248*R149+S248*S149+T248*T149+U248*U149+V248*V149+W248*W149+X248*X149+Y248*Y149+Z248*Z149+AA248*AA149+AB248*AB149+AC248*AC149+AD248*AD149+AE248*AE149+AF248*AF149+AG248*AG149+AH248*AH149+AI248*AI149+AJ248*AJ149+AK248*AK149+AL248*AL149+AM248*AM149+AN248*AN149+AO248*AO149+AP248*AP149+AQ248*AQ149+AR248*AR149+AS248*AS149+AT248*AT149+AU248*AU149+AV248*AV149+AW248*AW149+AX248*AX149+AY248*AY149+AZ248*AZ149+BA248*BA149+BB248*BB149+BC248*BC149+BD248*BD149+BE248*BE149+BF248*BF149+BG248*BG149+BH248*BH149+BI248*BI149+BJ248*BJ149+BK248*BK149+BL248*BL149+BM248*BM149+BN248*BN149+BO248*BO149+BP248*BP149+BQ248*BQ149+BR248*BR149+BS248*BS149+BT248*BT149+BU248*BU149+BV248*BV149+BW248*BW149+BX248*BX149+BY248*BY149+BZ248*BZ149+CA248*CA149+CB248*CB149+CC248*CC149+CD248*CD149+CE248*CE149+CF248*CF149+CG248*CG149+CH248*CH149+CI248*CI149+CJ248*CJ149+CK248*CK149+CL248*CL149+CM248*CM149+CN248*CN149</f>
        <v>0</v>
      </c>
      <c r="CR149" s="2650">
        <f>E249*E149+F249*F149+G249*G149+H249*H149+I249*I149+J249*J149+K249*K149+L249*L149+M249*M149+N249*N149+O249*O149+P249*P149+Q249*Q149+R249*R149+S249*S149+T249*T149+U249*U149+V249*V149+W249*W149+X249*X149+Y249*Y149+Z249*Z149+AA249*AA149+AB249*AB149+AC249*AC149+AD249*AD149+AE249*AE149+AF249*AF149+AG249*AG149+AH249*AH149+AI249*AI149+AJ249*AJ149+AK249*AK149+AL249*AL149+AM249*AM149+AN249*AN149+AO249*AO149+AP249*AP149+AQ249*AQ149+AR249*AR149+AS249*AS149+AT249*AT149+AU249*AU149+AV249*AV149+AW249*AW149+AX249*AX149+AY249*AY149+AZ249*AZ149+BA249*BA149+BB249*BB149+BC249*BC149+BD249*BD149+BE249*BE149+BF249*BF149+BG249*BG149+BH249*BH149+BI249*BI149+BJ249*BJ149+BK249*BK149+BL249*BL149+BM249*BM149+BN249*BN149+BO249*BO149+BP249*BP149+BQ249*BQ149+BR249*BR149+BS249*BS149+BT249*BT149+BU249*BU149+BV249*BV149+BW249*BW149+BX249*BX149+BY249*BY149+BZ249*BZ149+CA249*CA149+CB249*CB149+CC249*CC149+CD249*CD149+CE249*CE149+CF249*CF149+CG249*CG149+CH249*CH149+CI249*CI149+CJ249*CJ149+CK249*CK149+CL249*CL149+CM249*CM149+CN249*CN149</f>
        <v>-2.7755575615628914E-17</v>
      </c>
      <c r="CS149" s="2651">
        <f>E250*E149+F250*F149+G250*G149+H250*H149+I250*I149+J250*J149+K250*K149+L250*L149+M250*M149+N250*N149+O250*O149+P250*P149+Q250*Q149+R250*R149+S250*S149+T250*T149+U250*U149+V250*V149+W250*W149+X250*X149+Y250*Y149+Z250*Z149+AA250*AA149+AB250*AB149+AC250*AC149+AD250*AD149+AE250*AE149+AF250*AF149+AG250*AG149+AH250*AH149+AI250*AI149+AJ250*AJ149+AK250*AK149+AL250*AL149+AM250*AM149+AN250*AN149+AO250*AO149+AP250*AP149+AQ250*AQ149+AR250*AR149+AS250*AS149+AT250*AT149+AU250*AU149+AV250*AV149+AW250*AW149+AX250*AX149+AY250*AY149+AZ250*AZ149+BA250*BA149+BB250*BB149+BC250*BC149+BD250*BD149+BE250*BE149+BF250*BF149+BG250*BG149+BH250*BH149+BI250*BI149+BJ250*BJ149+BK250*BK149+BL250*BL149+BM250*BM149+BN250*BN149+BO250*BO149+BP250*BP149+BQ250*BQ149+BR250*BR149+BS250*BS149+BT250*BT149+BU250*BU149+BV250*BV149+BW250*BW149+BX250*BX149+BY250*BY149+BZ250*BZ149+CA250*CA149+CB250*CB149+CC250*CC149+CD250*CD149+CE250*CE149+CF250*CF149+CG250*CG149+CH250*CH149+CI250*CI149+CJ250*CJ149+CK250*CK149+CL250*CL149+CM250*CM149+CN250*CN149</f>
        <v>0</v>
      </c>
      <c r="CT149" s="2652">
        <f>E251*E149+F251*F149+G251*G149+H251*H149+I251*I149+J251*J149+K251*K149+L251*L149+M251*M149+N251*N149+O251*O149+P251*P149+Q251*Q149+R251*R149+S251*S149+T251*T149+U251*U149+V251*V149+W251*W149+X251*X149+Y251*Y149+Z251*Z149+AA251*AA149+AB251*AB149+AC251*AC149+AD251*AD149+AE251*AE149+AF251*AF149+AG251*AG149+AH251*AH149+AI251*AI149+AJ251*AJ149+AK251*AK149+AL251*AL149+AM251*AM149+AN251*AN149+AO251*AO149+AP251*AP149+AQ251*AQ149+AR251*AR149+AS251*AS149+AT251*AT149+AU251*AU149+AV251*AV149+AW251*AW149+AX251*AX149+AY251*AY149+AZ251*AZ149+BA251*BA149+BB251*BB149+BC251*BC149+BD251*BD149+BE251*BE149+BF251*BF149+BG251*BG149+BH251*BH149+BI251*BI149+BJ251*BJ149+BK251*BK149+BL251*BL149+BM251*BM149+BN251*BN149+BO251*BO149+BP251*BP149+BQ251*BQ149+BR251*BR149+BS251*BS149+BT251*BT149+BU251*BU149+BV251*BV149+BW251*BW149+BX251*BX149+BY251*BY149+BZ251*BZ149+CA251*CA149+CB251*CB149+CC251*CC149+CD251*CD149+CE251*CE149+CF251*CF149+CG251*CG149+CH251*CH149+CI251*CI149+CJ251*CJ149+CK251*CK149+CL251*CL149+CM251*CM149+CN251*CN149</f>
        <v>6.9388939039072284E-18</v>
      </c>
      <c r="CU149" s="2652">
        <f>E252*E149+F252*F149+G252*G149+H252*H149+I252*I149+J252*J149+K252*K149+L252*L149+M252*M149+N252*N149+O252*O149+P252*P149+Q252*Q149+R252*R149+S252*S149+T252*T149+U252*U149+V252*V149+W252*W149+X252*X149+Y252*Y149+Z252*Z149+AA252*AA149+AB252*AB149+AC252*AC149+AD252*AD149+AE252*AE149+AF252*AF149+AG252*AG149+AH252*AH149+AI252*AI149+AJ252*AJ149+AK252*AK149+AL252*AL149+AM252*AM149+AN252*AN149+AO252*AO149+AP252*AP149+AQ252*AQ149+AR252*AR149+AS252*AS149+AT252*AT149+AU252*AU149+AV252*AV149+AW252*AW149+AX252*AX149+AY252*AY149+AZ252*AZ149+BA252*BA149+BB252*BB149+BC252*BC149+BD252*BD149+BE252*BE149+BF252*BF149+BG252*BG149+BH252*BH149+BI252*BI149+BJ252*BJ149+BK252*BK149+BL252*BL149+BM252*BM149+BN252*BN149+BO252*BO149+BP252*BP149+BQ252*BQ149+BR252*BR149+BS252*BS149+BT252*BT149+BU252*BU149+BV252*BV149+BW252*BW149+BX252*BX149+BY252*BY149+BZ252*BZ149+CA252*CA149+CB252*CB149+CC252*CC149+CD252*CD149+CE252*CE149+CF252*CF149+CG252*CG149+CH252*CH149+CI252*CI149+CJ252*CJ149+CK252*CK149+CL252*CL149+CM252*CM149+CN252*CN149</f>
        <v>0</v>
      </c>
      <c r="CV149" s="2652">
        <f>E253*E149+F253*F149+G253*G149+H253*H149+I253*I149+J253*J149+K253*K149+L253*L149+M253*M149+N253*N149+O253*O149+P253*P149+Q253*Q149+R253*R149+S253*S149+T253*T149+U253*U149+V253*V149+W253*W149+X253*X149+Y253*Y149+Z253*Z149+AA253*AA149+AB253*AB149+AC253*AC149+AD253*AD149+AE253*AE149+AF253*AF149+AG253*AG149+AH253*AH149+AI253*AI149+AJ253*AJ149+AK253*AK149+AL253*AL149+AM253*AM149+AN253*AN149+AO253*AO149+AP253*AP149+AQ253*AQ149+AR253*AR149+AS253*AS149+AT253*AT149+AU253*AU149+AV253*AV149+AW253*AW149+AX253*AX149+AY253*AY149+AZ253*AZ149+BA253*BA149+BB253*BB149+BC253*BC149+BD253*BD149+BE253*BE149+BF253*BF149+BG253*BG149+BH253*BH149+BI253*BI149+BJ253*BJ149+BK253*BK149+BL253*BL149+BM253*BM149+BN253*BN149+BO253*BO149+BP253*BP149+BQ253*BQ149+BR253*BR149+BS253*BS149+BT253*BT149+BU253*BU149+BV253*BV149+BW253*BW149+BX253*BX149+BY253*BY149+BZ253*BZ149+CA253*CA149+CB253*CB149+CC253*CC149+CD253*CD149+CE253*CE149+CF253*CF149+CG253*CG149+CH253*CH149+CI253*CI149+CJ253*CJ149+CK253*CK149+CL253*CL149+CM253*CM149+CN253*CN149</f>
        <v>0</v>
      </c>
      <c r="CW149" s="2652">
        <f>E254*E149+F254*F149+G254*G149+H254*H149+I254*I149+J254*J149+K254*K149+L254*L149+M254*M149+N254*N149+O254*O149+P254*P149+Q254*Q149+R254*R149+S254*S149+T254*T149+U254*U149+V254*V149+W254*W149+X254*X149+Y254*Y149+Z254*Z149+AA254*AA149+AB254*AB149+AC254*AC149+AD254*AD149+AE254*AE149+AF254*AF149+AG254*AG149+AH254*AH149+AI254*AI149+AJ254*AJ149+AK254*AK149+AL254*AL149+AM254*AM149+AN254*AN149+AO254*AO149+AP254*AP149+AQ254*AQ149+AR254*AR149+AS254*AS149+AT254*AT149+AU254*AU149+AV254*AV149+AW254*AW149+AX254*AX149+AY254*AY149+AZ254*AZ149+BA254*BA149+BB254*BB149+BC254*BC149+BD254*BD149+BE254*BE149+BF254*BF149+BG254*BG149+BH254*BH149+BI254*BI149+BJ254*BJ149+BK254*BK149+BL254*BL149+BM254*BM149+BN254*BN149+BO254*BO149+BP254*BP149+BQ254*BQ149+BR254*BR149+BS254*BS149+BT254*BT149+BU254*BU149+BV254*BV149+BW254*BW149+BX254*BX149+BY254*BY149+BZ254*BZ149+CA254*CA149+CB254*CB149+CC254*CC149+CD254*CD149+CE254*CE149+CF254*CF149+CG254*CG149+CH254*CH149+CI254*CI149+CJ254*CJ149+CK254*CK149+CL254*CL149+CM254*CM149+CN254*CN149</f>
        <v>0</v>
      </c>
      <c r="CX149" s="2652">
        <f>E255*E149+F255*F149+G255*G149+H255*H149+I255*I149+J255*J149+K255*K149+L255*L149+M255*M149+N255*N149+O255*O149+P255*P149+Q255*Q149+R255*R149+S255*S149+T255*T149+U255*U149+V255*V149+W255*W149+X255*X149+Y255*Y149+Z255*Z149+AA255*AA149+AB255*AB149+AC255*AC149+AD255*AD149+AE255*AE149+AF255*AF149+AG255*AG149+AH255*AH149+AI255*AI149+AJ255*AJ149+AK255*AK149+AL255*AL149+AM255*AM149+AN255*AN149+AO255*AO149+AP255*AP149+AQ255*AQ149+AR255*AR149+AS255*AS149+AT255*AT149+AU255*AU149+AV255*AV149+AW255*AW149+AX255*AX149+AY255*AY149+AZ255*AZ149+BA255*BA149+BB255*BB149+BC255*BC149+BD255*BD149+BE255*BE149+BF255*BF149+BG255*BG149+BH255*BH149+BI255*BI149+BJ255*BJ149+BK255*BK149+BL255*BL149+BM255*BM149+BN255*BN149+BO255*BO149+BP255*BP149+BQ255*BQ149+BR255*BR149+BS255*BS149+BT255*BT149+BU255*BU149+BV255*BV149+BW255*BW149+BX255*BX149+BY255*BY149+BZ255*BZ149+CA255*CA149+CB255*CB149+CC255*CC149+CD255*CD149+CE255*CE149+CF255*CF149+CG255*CG149+CH255*CH149+CI255*CI149+CJ255*CJ149+CK255*CK149+CL255*CL149+CM255*CM149+CN255*CN149</f>
        <v>0</v>
      </c>
      <c r="CY149" s="2652">
        <f>E256*E149+F256*F149+G256*G149+H256*H149+I256*I149+J256*J149+K256*K149+L256*L149+M256*M149+N256*N149+O256*O149+P256*P149+Q256*Q149+R256*R149+S256*S149+T256*T149+U256*U149+V256*V149+W256*W149+X256*X149+Y256*Y149+Z256*Z149+AA256*AA149+AB256*AB149+AC256*AC149+AD256*AD149+AE256*AE149+AF256*AF149+AG256*AG149+AH256*AH149+AI256*AI149+AJ256*AJ149+AK256*AK149+AL256*AL149+AM256*AM149+AN256*AN149+AO256*AO149+AP256*AP149+AQ256*AQ149+AR256*AR149+AS256*AS149+AT256*AT149+AU256*AU149+AV256*AV149+AW256*AW149+AX256*AX149+AY256*AY149+AZ256*AZ149+BA256*BA149+BB256*BB149+BC256*BC149+BD256*BD149+BE256*BE149+BF256*BF149+BG256*BG149+BH256*BH149+BI256*BI149+BJ256*BJ149+BK256*BK149+BL256*BL149+BM256*BM149+BN256*BN149+BO256*BO149+BP256*BP149+BQ256*BQ149+BR256*BR149+BS256*BS149+BT256*BT149+BU256*BU149+BV256*BV149+BW256*BW149+BX256*BX149+BY256*BY149+BZ256*BZ149+CA256*CA149+CB256*CB149+CC256*CC149+CD256*CD149+CE256*CE149+CF256*CF149+CG256*CG149+CH256*CH149+CI256*CI149+CJ256*CJ149+CK256*CK149+CL256*CL149+CM256*CM149+CN256*CN149</f>
        <v>0</v>
      </c>
      <c r="CZ149" s="2652">
        <f>E257*E149+F257*F149+G257*G149+H257*H149+I257*I149+J257*J149+K257*K149+L257*L149+M257*M149+N257*N149+O257*O149+P257*P149+Q257*Q149+R257*R149+S257*S149+T257*T149+U257*U149+V257*V149+W257*W149+X257*X149+Y257*Y149+Z257*Z149+AA257*AA149+AB257*AB149+AC257*AC149+AD257*AD149+AE257*AE149+AF257*AF149+AG257*AG149+AH257*AH149+AI257*AI149+AJ257*AJ149+AK257*AK149+AL257*AL149+AM257*AM149+AN257*AN149+AO257*AO149+AP257*AP149+AQ257*AQ149+AR257*AR149+AS257*AS149+AT257*AT149+AU257*AU149+AV257*AV149+AW257*AW149+AX257*AX149+AY257*AY149+AZ257*AZ149+BA257*BA149+BB257*BB149+BC257*BC149+BD257*BD149+BE257*BE149+BF257*BF149+BG257*BG149+BH257*BH149+BI257*BI149+BJ257*BJ149+BK257*BK149+BL257*BL149+BM257*BM149+BN257*BN149+BO257*BO149+BP257*BP149+BQ257*BQ149+BR257*BR149+BS257*BS149+BT257*BT149+BU257*BU149+BV257*BV149+BW257*BW149+BX257*BX149+BY257*BY149+BZ257*BZ149+CA257*CA149+CB257*CB149+CC257*CC149+CD257*CD149+CE257*CE149+CF257*CF149+CG257*CG149+CH257*CH149+CI257*CI149+CJ257*CJ149+CK257*CK149+CL257*CL149+CM257*CM149+CN257*CN149</f>
        <v>0</v>
      </c>
      <c r="DA149" s="2652">
        <f>E258*E149+F258*F149+G258*G149+H258*H149+I258*I149+J258*J149+K258*K149+L258*L149+M258*M149+N258*N149+O258*O149+P258*P149+Q258*Q149+R258*R149+S258*S149+T258*T149+U258*U149+V258*V149+W258*W149+X258*X149+Y258*Y149+Z258*Z149+AA258*AA149+AB258*AB149+AC258*AC149+AD258*AD149+AE258*AE149+AF258*AF149+AG258*AG149+AH258*AH149+AI258*AI149+AJ258*AJ149+AK258*AK149+AL258*AL149+AM258*AM149+AN258*AN149+AO258*AO149+AP258*AP149+AQ258*AQ149+AR258*AR149+AS258*AS149+AT258*AT149+AU258*AU149+AV258*AV149+AW258*AW149+AX258*AX149+AY258*AY149+AZ258*AZ149+BA258*BA149+BB258*BB149+BC258*BC149+BD258*BD149+BE258*BE149+BF258*BF149+BG258*BG149+BH258*BH149+BI258*BI149+BJ258*BJ149+BK258*BK149+BL258*BL149+BM258*BM149+BN258*BN149+BO258*BO149+BP258*BP149+BQ258*BQ149+BR258*BR149+BS258*BS149+BT258*BT149+BU258*BU149+BV258*BV149+BW258*BW149+BX258*BX149+BY258*BY149+BZ258*BZ149+CA258*CA149+CB258*CB149+CC258*CC149+CD258*CD149+CE258*CE149+CF258*CF149+CG258*CG149+CH258*CH149+CI258*CI149+CJ258*CJ149+CK258*CK149+CL258*CL149+CM258*CM149+CN258*CN149</f>
        <v>0</v>
      </c>
    </row>
    <row r="150" spans="2:105" ht="18" x14ac:dyDescent="0.35">
      <c r="B150" s="1082">
        <v>17</v>
      </c>
      <c r="C150" s="1072" t="s">
        <v>239</v>
      </c>
      <c r="D150" s="797" t="s">
        <v>2202</v>
      </c>
      <c r="E150" s="2677">
        <f>0</f>
        <v>0</v>
      </c>
      <c r="F150" s="2677">
        <f>0</f>
        <v>0</v>
      </c>
      <c r="G150" s="2677">
        <f>0</f>
        <v>0</v>
      </c>
      <c r="H150" s="2710">
        <f>-1/Y_MEOLO</f>
        <v>-2.5</v>
      </c>
      <c r="I150" s="2677">
        <f>0</f>
        <v>0</v>
      </c>
      <c r="J150" s="2677">
        <f>0</f>
        <v>0</v>
      </c>
      <c r="K150" s="2677">
        <f>0</f>
        <v>0</v>
      </c>
      <c r="L150" s="2677">
        <f>0</f>
        <v>0</v>
      </c>
      <c r="M150" s="2677">
        <f>0</f>
        <v>0</v>
      </c>
      <c r="N150" s="2677">
        <f>0</f>
        <v>0</v>
      </c>
      <c r="O150" s="2677">
        <f>0</f>
        <v>0</v>
      </c>
      <c r="P150" s="2677">
        <f>0</f>
        <v>0</v>
      </c>
      <c r="Q150" s="2677">
        <f>0</f>
        <v>0</v>
      </c>
      <c r="R150" s="2677">
        <f>0</f>
        <v>0</v>
      </c>
      <c r="S150" s="2677">
        <f>0</f>
        <v>0</v>
      </c>
      <c r="T150" s="2677">
        <f>0</f>
        <v>0</v>
      </c>
      <c r="U150" s="2677">
        <f>0</f>
        <v>0</v>
      </c>
      <c r="V150" s="2677">
        <f>0</f>
        <v>0</v>
      </c>
      <c r="W150" s="2677">
        <f>1</f>
        <v>1</v>
      </c>
      <c r="X150" s="2677">
        <f>0</f>
        <v>0</v>
      </c>
      <c r="Y150" s="2677">
        <f>0</f>
        <v>0</v>
      </c>
      <c r="Z150" s="2677">
        <f>0</f>
        <v>0</v>
      </c>
      <c r="AA150" s="2677">
        <f>0</f>
        <v>0</v>
      </c>
      <c r="AB150" s="2677">
        <f>0</f>
        <v>0</v>
      </c>
      <c r="AC150" s="2740">
        <f>0</f>
        <v>0</v>
      </c>
      <c r="AD150" s="2677">
        <f>-i_N_BIO</f>
        <v>-7.0000000000000007E-2</v>
      </c>
      <c r="AE150" s="2710">
        <f>-(1-Y_MEOLO)/(E_EQN2_NO2*Y_MEOLO)</f>
        <v>-0.87545157943422891</v>
      </c>
      <c r="AF150" s="2710">
        <f>0</f>
        <v>0</v>
      </c>
      <c r="AG150" s="2710">
        <f>(1-Y_MEOLO)/(E_EQN2_NO2*Y_MEOLO)</f>
        <v>0.87545157943422891</v>
      </c>
      <c r="AH150" s="2677">
        <f>0</f>
        <v>0</v>
      </c>
      <c r="AI150" s="2677">
        <f>0</f>
        <v>0</v>
      </c>
      <c r="AJ150" s="2677">
        <f>0</f>
        <v>0</v>
      </c>
      <c r="AK150" s="2677">
        <f>0</f>
        <v>0</v>
      </c>
      <c r="AL150" s="2710">
        <f>-i_P_BIO</f>
        <v>-0.02</v>
      </c>
      <c r="AM150" s="2677">
        <f>0</f>
        <v>0</v>
      </c>
      <c r="AN150" s="2677">
        <f>0</f>
        <v>0</v>
      </c>
      <c r="AO150" s="2677">
        <f>0</f>
        <v>0</v>
      </c>
      <c r="AP150" s="2677">
        <f>0</f>
        <v>0</v>
      </c>
      <c r="AQ150" s="2677">
        <f>0</f>
        <v>0</v>
      </c>
      <c r="AR150" s="2677">
        <f>0</f>
        <v>0</v>
      </c>
      <c r="AS150" s="2677">
        <f>0</f>
        <v>0</v>
      </c>
      <c r="AT150" s="2677">
        <f>0</f>
        <v>0</v>
      </c>
      <c r="AU150" s="2710">
        <f>i_CIT_MEOL/Y_MEOLO-i_CIT_BIO</f>
        <v>0.27300000000000002</v>
      </c>
      <c r="AV150" s="2710">
        <f>i_INORG</f>
        <v>0.11</v>
      </c>
      <c r="AW150" s="2710">
        <f>-i_INORG*(1-i_Ca_INORG*(A_MCa+2*A_MCl)/A_MCa-i_Mg_INORG*(A_MMg+2*A_MCl)/A_MMg)*f_Na</f>
        <v>-2.8804303582798466E-2</v>
      </c>
      <c r="AX150" s="2710">
        <f>-i_INORG*(i_Ca_INORG*(2*A_MCl)/A_MCa+i_Mg_INORG*(2*A_MCl)/A_MMg)-i_INORG*(1-i_Ca_INORG*(A_MCa+2*A_MCl)/A_MCa-i_Mg_INORG*(A_MMg+2*A_MCl)/A_MMg)*(1-f_Na)</f>
        <v>-7.0195696417201539E-2</v>
      </c>
      <c r="AY150" s="2710">
        <f>-i_INORG*i_Ca_INORG</f>
        <v>-5.5000000000000005E-3</v>
      </c>
      <c r="AZ150" s="2710">
        <f>-i_INORG*i_Mg_INORG</f>
        <v>-5.5000000000000005E-3</v>
      </c>
      <c r="BA150" s="2710">
        <f>0</f>
        <v>0</v>
      </c>
      <c r="BB150" s="2710">
        <f>0</f>
        <v>0</v>
      </c>
      <c r="BC150" s="2710">
        <f>0</f>
        <v>0</v>
      </c>
      <c r="BD150" s="2710">
        <f>0</f>
        <v>0</v>
      </c>
      <c r="BE150" s="2710">
        <f>0</f>
        <v>0</v>
      </c>
      <c r="BF150" s="2710">
        <f>0</f>
        <v>0</v>
      </c>
      <c r="BG150" s="2710">
        <f>0</f>
        <v>0</v>
      </c>
      <c r="BH150" s="2710">
        <f>0</f>
        <v>0</v>
      </c>
      <c r="BI150" s="2710">
        <f>0</f>
        <v>0</v>
      </c>
      <c r="BJ150" s="2765">
        <f>0</f>
        <v>0</v>
      </c>
      <c r="BK150" s="2765">
        <f>0</f>
        <v>0</v>
      </c>
      <c r="BL150" s="2765">
        <f>0</f>
        <v>0</v>
      </c>
      <c r="BM150" s="2765">
        <f>0</f>
        <v>0</v>
      </c>
      <c r="BN150" s="2765">
        <f>0</f>
        <v>0</v>
      </c>
      <c r="BO150" s="2765">
        <f>0</f>
        <v>0</v>
      </c>
      <c r="BP150" s="2765">
        <f>0</f>
        <v>0</v>
      </c>
      <c r="BQ150" s="2710">
        <f>0</f>
        <v>0</v>
      </c>
      <c r="BR150" s="2710">
        <f>0</f>
        <v>0</v>
      </c>
      <c r="BS150" s="2765">
        <f>0</f>
        <v>0</v>
      </c>
      <c r="BT150" s="2710">
        <f>0</f>
        <v>0</v>
      </c>
      <c r="BU150" s="2710">
        <f>0</f>
        <v>0</v>
      </c>
      <c r="BV150" s="2787">
        <f>0</f>
        <v>0</v>
      </c>
      <c r="BW150" s="2787">
        <f>0</f>
        <v>0</v>
      </c>
      <c r="BX150" s="2787">
        <f>0</f>
        <v>0</v>
      </c>
      <c r="BY150" s="2787">
        <f>0</f>
        <v>0</v>
      </c>
      <c r="BZ150" s="2710">
        <f>0</f>
        <v>0</v>
      </c>
      <c r="CA150" s="2710">
        <f>0</f>
        <v>0</v>
      </c>
      <c r="CB150" s="2798">
        <f>0</f>
        <v>0</v>
      </c>
      <c r="CC150" s="2710">
        <f>0</f>
        <v>0</v>
      </c>
      <c r="CD150" s="2710">
        <f>0</f>
        <v>0</v>
      </c>
      <c r="CE150" s="2710">
        <f>0</f>
        <v>0</v>
      </c>
      <c r="CF150" s="2710">
        <f>0</f>
        <v>0</v>
      </c>
      <c r="CG150" s="2710">
        <f>0</f>
        <v>0</v>
      </c>
      <c r="CH150" s="2710">
        <f>0</f>
        <v>0</v>
      </c>
      <c r="CI150" s="2710">
        <f>0</f>
        <v>0</v>
      </c>
      <c r="CJ150" s="2710">
        <f>0</f>
        <v>0</v>
      </c>
      <c r="CK150" s="2710">
        <f>0</f>
        <v>0</v>
      </c>
      <c r="CL150" s="2710">
        <f>0</f>
        <v>0</v>
      </c>
      <c r="CM150" s="2710">
        <f>0</f>
        <v>0</v>
      </c>
      <c r="CN150" s="2710">
        <f>0</f>
        <v>0</v>
      </c>
      <c r="CO150" s="2827">
        <f>µ_MEOLO_T*X_MEOLO*M_satSMEOL_KMEOL*M_satSNO2_KNO2_MEOLO*(L_oginhSNO3_KNO3_MEOLO*L_oginhSMEOL_KMEOL_SNO2+L_ogsatSMEOL_KMEOL_SNO2)*M_inhSO2_KiO2_MEOLO*M_satSNHx_KNHx_BIO*M_satSPO4_KPO4_BIO*M_satSCAT_KCAT*M_satSAN_KAN*M_satSCa_KCa*M_satSMg_KMg*B_ellinhpH</f>
        <v>5.2760095007491639E-189</v>
      </c>
      <c r="CQ150" s="2650">
        <f>E248*E150+F248*F150+G248*G150+H248*H150+I248*I150+J248*J150+K248*K150+L248*L150+M248*M150+N248*N150+O248*O150+P248*P150+Q248*Q150+R248*R150+S248*S150+T248*T150+U248*U150+V248*V150+W248*W150+X248*X150+Y248*Y150+Z248*Z150+AA248*AA150+AB248*AB150+AC248*AC150+AD248*AD150+AE248*AE150+AF248*AF150+AG248*AG150+AH248*AH150+AI248*AI150+AJ248*AJ150+AK248*AK150+AL248*AL150+AM248*AM150+AN248*AN150+AO248*AO150+AP248*AP150+AQ248*AQ150+AR248*AR150+AS248*AS150+AT248*AT150+AU248*AU150+AV248*AV150+AW248*AW150+AX248*AX150+AY248*AY150+AZ248*AZ150+BA248*BA150+BB248*BB150+BC248*BC150+BD248*BD150+BE248*BE150+BF248*BF150+BG248*BG150+BH248*BH150+BI248*BI150+BJ248*BJ150+BK248*BK150+BL248*BL150+BM248*BM150+BN248*BN150+BO248*BO150+BP248*BP150+BQ248*BQ150+BR248*BR150+BS248*BS150+BT248*BT150+BU248*BU150+BV248*BV150+BW248*BW150+BX248*BX150+BY248*BY150+BZ248*BZ150+CA248*CA150+CB248*CB150+CC248*CC150+CD248*CD150+CE248*CE150+CF248*CF150+CG248*CG150+CH248*CH150+CI248*CI150+CJ248*CJ150+CK248*CK150+CL248*CL150+CM248*CM150+CN248*CN150</f>
        <v>0</v>
      </c>
      <c r="CR150" s="2650">
        <f>E249*E150+F249*F150+G249*G150+H249*H150+I249*I150+J249*J150+K249*K150+L249*L150+M249*M150+N249*N150+O249*O150+P249*P150+Q249*Q150+R249*R150+S249*S150+T249*T150+U249*U150+V249*V150+W249*W150+X249*X150+Y249*Y150+Z249*Z150+AA249*AA150+AB249*AB150+AC249*AC150+AD249*AD150+AE249*AE150+AF249*AF150+AG249*AG150+AH249*AH150+AI249*AI150+AJ249*AJ150+AK249*AK150+AL249*AL150+AM249*AM150+AN249*AN150+AO249*AO150+AP249*AP150+AQ249*AQ150+AR249*AR150+AS249*AS150+AT249*AT150+AU249*AU150+AV249*AV150+AW249*AW150+AX249*AX150+AY249*AY150+AZ249*AZ150+BA249*BA150+BB249*BB150+BC249*BC150+BD249*BD150+BE249*BE150+BF249*BF150+BG249*BG150+BH249*BH150+BI249*BI150+BJ249*BJ150+BK249*BK150+BL249*BL150+BM249*BM150+BN249*BN150+BO249*BO150+BP249*BP150+BQ249*BQ150+BR249*BR150+BS249*BS150+BT249*BT150+BU249*BU150+BV249*BV150+BW249*BW150+BX249*BX150+BY249*BY150+BZ249*BZ150+CA249*CA150+CB249*CB150+CC249*CC150+CD249*CD150+CE249*CE150+CF249*CF150+CG249*CG150+CH249*CH150+CI249*CI150+CJ249*CJ150+CK249*CK150+CL249*CL150+CM249*CM150+CN249*CN150</f>
        <v>0</v>
      </c>
      <c r="CS150" s="2651">
        <f>E250*E150+F250*F150+G250*G150+H250*H150+I250*I150+J250*J150+K250*K150+L250*L150+M250*M150+N250*N150+O250*O150+P250*P150+Q250*Q150+R250*R150+S250*S150+T250*T150+U250*U150+V250*V150+W250*W150+X250*X150+Y250*Y150+Z250*Z150+AA250*AA150+AB250*AB150+AC250*AC150+AD250*AD150+AE250*AE150+AF250*AF150+AG250*AG150+AH250*AH150+AI250*AI150+AJ250*AJ150+AK250*AK150+AL250*AL150+AM250*AM150+AN250*AN150+AO250*AO150+AP250*AP150+AQ250*AQ150+AR250*AR150+AS250*AS150+AT250*AT150+AU250*AU150+AV250*AV150+AW250*AW150+AX250*AX150+AY250*AY150+AZ250*AZ150+BA250*BA150+BB250*BB150+BC250*BC150+BD250*BD150+BE250*BE150+BF250*BF150+BG250*BG150+BH250*BH150+BI250*BI150+BJ250*BJ150+BK250*BK150+BL250*BL150+BM250*BM150+BN250*BN150+BO250*BO150+BP250*BP150+BQ250*BQ150+BR250*BR150+BS250*BS150+BT250*BT150+BU250*BU150+BV250*BV150+BW250*BW150+BX250*BX150+BY250*BY150+BZ250*BZ150+CA250*CA150+CB250*CB150+CC250*CC150+CD250*CD150+CE250*CE150+CF250*CF150+CG250*CG150+CH250*CH150+CI250*CI150+CJ250*CJ150+CK250*CK150+CL250*CL150+CM250*CM150+CN250*CN150</f>
        <v>0</v>
      </c>
      <c r="CT150" s="2652">
        <f>E251*E150+F251*F150+G251*G150+H251*H150+I251*I150+J251*J150+K251*K150+L251*L150+M251*M150+N251*N150+O251*O150+P251*P150+Q251*Q150+R251*R150+S251*S150+T251*T150+U251*U150+V251*V150+W251*W150+X251*X150+Y251*Y150+Z251*Z150+AA251*AA150+AB251*AB150+AC251*AC150+AD251*AD150+AE251*AE150+AF251*AF150+AG251*AG150+AH251*AH150+AI251*AI150+AJ251*AJ150+AK251*AK150+AL251*AL150+AM251*AM150+AN251*AN150+AO251*AO150+AP251*AP150+AQ251*AQ150+AR251*AR150+AS251*AS150+AT251*AT150+AU251*AU150+AV251*AV150+AW251*AW150+AX251*AX150+AY251*AY150+AZ251*AZ150+BA251*BA150+BB251*BB150+BC251*BC150+BD251*BD150+BE251*BE150+BF251*BF150+BG251*BG150+BH251*BH150+BI251*BI150+BJ251*BJ150+BK251*BK150+BL251*BL150+BM251*BM150+BN251*BN150+BO251*BO150+BP251*BP150+BQ251*BQ150+BR251*BR150+BS251*BS150+BT251*BT150+BU251*BU150+BV251*BV150+BW251*BW150+BX251*BX150+BY251*BY150+BZ251*BZ150+CA251*CA150+CB251*CB150+CC251*CC150+CD251*CD150+CE251*CE150+CF251*CF150+CG251*CG150+CH251*CH150+CI251*CI150+CJ251*CJ150+CK251*CK150+CL251*CL150+CM251*CM150+CN251*CN150</f>
        <v>0</v>
      </c>
      <c r="CU150" s="2652">
        <f>E252*E150+F252*F150+G252*G150+H252*H150+I252*I150+J252*J150+K252*K150+L252*L150+M252*M150+N252*N150+O252*O150+P252*P150+Q252*Q150+R252*R150+S252*S150+T252*T150+U252*U150+V252*V150+W252*W150+X252*X150+Y252*Y150+Z252*Z150+AA252*AA150+AB252*AB150+AC252*AC150+AD252*AD150+AE252*AE150+AF252*AF150+AG252*AG150+AH252*AH150+AI252*AI150+AJ252*AJ150+AK252*AK150+AL252*AL150+AM252*AM150+AN252*AN150+AO252*AO150+AP252*AP150+AQ252*AQ150+AR252*AR150+AS252*AS150+AT252*AT150+AU252*AU150+AV252*AV150+AW252*AW150+AX252*AX150+AY252*AY150+AZ252*AZ150+BA252*BA150+BB252*BB150+BC252*BC150+BD252*BD150+BE252*BE150+BF252*BF150+BG252*BG150+BH252*BH150+BI252*BI150+BJ252*BJ150+BK252*BK150+BL252*BL150+BM252*BM150+BN252*BN150+BO252*BO150+BP252*BP150+BQ252*BQ150+BR252*BR150+BS252*BS150+BT252*BT150+BU252*BU150+BV252*BV150+BW252*BW150+BX252*BX150+BY252*BY150+BZ252*BZ150+CA252*CA150+CB252*CB150+CC252*CC150+CD252*CD150+CE252*CE150+CF252*CF150+CG252*CG150+CH252*CH150+CI252*CI150+CJ252*CJ150+CK252*CK150+CL252*CL150+CM252*CM150+CN252*CN150</f>
        <v>0</v>
      </c>
      <c r="CV150" s="2652">
        <f>E253*E150+F253*F150+G253*G150+H253*H150+I253*I150+J253*J150+K253*K150+L253*L150+M253*M150+N253*N150+O253*O150+P253*P150+Q253*Q150+R253*R150+S253*S150+T253*T150+U253*U150+V253*V150+W253*W150+X253*X150+Y253*Y150+Z253*Z150+AA253*AA150+AB253*AB150+AC253*AC150+AD253*AD150+AE253*AE150+AF253*AF150+AG253*AG150+AH253*AH150+AI253*AI150+AJ253*AJ150+AK253*AK150+AL253*AL150+AM253*AM150+AN253*AN150+AO253*AO150+AP253*AP150+AQ253*AQ150+AR253*AR150+AS253*AS150+AT253*AT150+AU253*AU150+AV253*AV150+AW253*AW150+AX253*AX150+AY253*AY150+AZ253*AZ150+BA253*BA150+BB253*BB150+BC253*BC150+BD253*BD150+BE253*BE150+BF253*BF150+BG253*BG150+BH253*BH150+BI253*BI150+BJ253*BJ150+BK253*BK150+BL253*BL150+BM253*BM150+BN253*BN150+BO253*BO150+BP253*BP150+BQ253*BQ150+BR253*BR150+BS253*BS150+BT253*BT150+BU253*BU150+BV253*BV150+BW253*BW150+BX253*BX150+BY253*BY150+BZ253*BZ150+CA253*CA150+CB253*CB150+CC253*CC150+CD253*CD150+CE253*CE150+CF253*CF150+CG253*CG150+CH253*CH150+CI253*CI150+CJ253*CJ150+CK253*CK150+CL253*CL150+CM253*CM150+CN253*CN150</f>
        <v>0</v>
      </c>
      <c r="CW150" s="2652">
        <f>E254*E150+F254*F150+G254*G150+H254*H150+I254*I150+J254*J150+K254*K150+L254*L150+M254*M150+N254*N150+O254*O150+P254*P150+Q254*Q150+R254*R150+S254*S150+T254*T150+U254*U150+V254*V150+W254*W150+X254*X150+Y254*Y150+Z254*Z150+AA254*AA150+AB254*AB150+AC254*AC150+AD254*AD150+AE254*AE150+AF254*AF150+AG254*AG150+AH254*AH150+AI254*AI150+AJ254*AJ150+AK254*AK150+AL254*AL150+AM254*AM150+AN254*AN150+AO254*AO150+AP254*AP150+AQ254*AQ150+AR254*AR150+AS254*AS150+AT254*AT150+AU254*AU150+AV254*AV150+AW254*AW150+AX254*AX150+AY254*AY150+AZ254*AZ150+BA254*BA150+BB254*BB150+BC254*BC150+BD254*BD150+BE254*BE150+BF254*BF150+BG254*BG150+BH254*BH150+BI254*BI150+BJ254*BJ150+BK254*BK150+BL254*BL150+BM254*BM150+BN254*BN150+BO254*BO150+BP254*BP150+BQ254*BQ150+BR254*BR150+BS254*BS150+BT254*BT150+BU254*BU150+BV254*BV150+BW254*BW150+BX254*BX150+BY254*BY150+BZ254*BZ150+CA254*CA150+CB254*CB150+CC254*CC150+CD254*CD150+CE254*CE150+CF254*CF150+CG254*CG150+CH254*CH150+CI254*CI150+CJ254*CJ150+CK254*CK150+CL254*CL150+CM254*CM150+CN254*CN150</f>
        <v>0</v>
      </c>
      <c r="CX150" s="2652">
        <f>E255*E150+F255*F150+G255*G150+H255*H150+I255*I150+J255*J150+K255*K150+L255*L150+M255*M150+N255*N150+O255*O150+P255*P150+Q255*Q150+R255*R150+S255*S150+T255*T150+U255*U150+V255*V150+W255*W150+X255*X150+Y255*Y150+Z255*Z150+AA255*AA150+AB255*AB150+AC255*AC150+AD255*AD150+AE255*AE150+AF255*AF150+AG255*AG150+AH255*AH150+AI255*AI150+AJ255*AJ150+AK255*AK150+AL255*AL150+AM255*AM150+AN255*AN150+AO255*AO150+AP255*AP150+AQ255*AQ150+AR255*AR150+AS255*AS150+AT255*AT150+AU255*AU150+AV255*AV150+AW255*AW150+AX255*AX150+AY255*AY150+AZ255*AZ150+BA255*BA150+BB255*BB150+BC255*BC150+BD255*BD150+BE255*BE150+BF255*BF150+BG255*BG150+BH255*BH150+BI255*BI150+BJ255*BJ150+BK255*BK150+BL255*BL150+BM255*BM150+BN255*BN150+BO255*BO150+BP255*BP150+BQ255*BQ150+BR255*BR150+BS255*BS150+BT255*BT150+BU255*BU150+BV255*BV150+BW255*BW150+BX255*BX150+BY255*BY150+BZ255*BZ150+CA255*CA150+CB255*CB150+CC255*CC150+CD255*CD150+CE255*CE150+CF255*CF150+CG255*CG150+CH255*CH150+CI255*CI150+CJ255*CJ150+CK255*CK150+CL255*CL150+CM255*CM150+CN255*CN150</f>
        <v>0</v>
      </c>
      <c r="CY150" s="2652">
        <f>E256*E150+F256*F150+G256*G150+H256*H150+I256*I150+J256*J150+K256*K150+L256*L150+M256*M150+N256*N150+O256*O150+P256*P150+Q256*Q150+R256*R150+S256*S150+T256*T150+U256*U150+V256*V150+W256*W150+X256*X150+Y256*Y150+Z256*Z150+AA256*AA150+AB256*AB150+AC256*AC150+AD256*AD150+AE256*AE150+AF256*AF150+AG256*AG150+AH256*AH150+AI256*AI150+AJ256*AJ150+AK256*AK150+AL256*AL150+AM256*AM150+AN256*AN150+AO256*AO150+AP256*AP150+AQ256*AQ150+AR256*AR150+AS256*AS150+AT256*AT150+AU256*AU150+AV256*AV150+AW256*AW150+AX256*AX150+AY256*AY150+AZ256*AZ150+BA256*BA150+BB256*BB150+BC256*BC150+BD256*BD150+BE256*BE150+BF256*BF150+BG256*BG150+BH256*BH150+BI256*BI150+BJ256*BJ150+BK256*BK150+BL256*BL150+BM256*BM150+BN256*BN150+BO256*BO150+BP256*BP150+BQ256*BQ150+BR256*BR150+BS256*BS150+BT256*BT150+BU256*BU150+BV256*BV150+BW256*BW150+BX256*BX150+BY256*BY150+BZ256*BZ150+CA256*CA150+CB256*CB150+CC256*CC150+CD256*CD150+CE256*CE150+CF256*CF150+CG256*CG150+CH256*CH150+CI256*CI150+CJ256*CJ150+CK256*CK150+CL256*CL150+CM256*CM150+CN256*CN150</f>
        <v>0</v>
      </c>
      <c r="CZ150" s="2652">
        <f>E257*E150+F257*F150+G257*G150+H257*H150+I257*I150+J257*J150+K257*K150+L257*L150+M257*M150+N257*N150+O257*O150+P257*P150+Q257*Q150+R257*R150+S257*S150+T257*T150+U257*U150+V257*V150+W257*W150+X257*X150+Y257*Y150+Z257*Z150+AA257*AA150+AB257*AB150+AC257*AC150+AD257*AD150+AE257*AE150+AF257*AF150+AG257*AG150+AH257*AH150+AI257*AI150+AJ257*AJ150+AK257*AK150+AL257*AL150+AM257*AM150+AN257*AN150+AO257*AO150+AP257*AP150+AQ257*AQ150+AR257*AR150+AS257*AS150+AT257*AT150+AU257*AU150+AV257*AV150+AW257*AW150+AX257*AX150+AY257*AY150+AZ257*AZ150+BA257*BA150+BB257*BB150+BC257*BC150+BD257*BD150+BE257*BE150+BF257*BF150+BG257*BG150+BH257*BH150+BI257*BI150+BJ257*BJ150+BK257*BK150+BL257*BL150+BM257*BM150+BN257*BN150+BO257*BO150+BP257*BP150+BQ257*BQ150+BR257*BR150+BS257*BS150+BT257*BT150+BU257*BU150+BV257*BV150+BW257*BW150+BX257*BX150+BY257*BY150+BZ257*BZ150+CA257*CA150+CB257*CB150+CC257*CC150+CD257*CD150+CE257*CE150+CF257*CF150+CG257*CG150+CH257*CH150+CI257*CI150+CJ257*CJ150+CK257*CK150+CL257*CL150+CM257*CM150+CN257*CN150</f>
        <v>0</v>
      </c>
      <c r="DA150" s="2652">
        <f>E258*E150+F258*F150+G258*G150+H258*H150+I258*I150+J258*J150+K258*K150+L258*L150+M258*M150+N258*N150+O258*O150+P258*P150+Q258*Q150+R258*R150+S258*S150+T258*T150+U258*U150+V258*V150+W258*W150+X258*X150+Y258*Y150+Z258*Z150+AA258*AA150+AB258*AB150+AC258*AC150+AD258*AD150+AE258*AE150+AF258*AF150+AG258*AG150+AH258*AH150+AI258*AI150+AJ258*AJ150+AK258*AK150+AL258*AL150+AM258*AM150+AN258*AN150+AO258*AO150+AP258*AP150+AQ258*AQ150+AR258*AR150+AS258*AS150+AT258*AT150+AU258*AU150+AV258*AV150+AW258*AW150+AX258*AX150+AY258*AY150+AZ258*AZ150+BA258*BA150+BB258*BB150+BC258*BC150+BD258*BD150+BE258*BE150+BF258*BF150+BG258*BG150+BH258*BH150+BI258*BI150+BJ258*BJ150+BK258*BK150+BL258*BL150+BM258*BM150+BN258*BN150+BO258*BO150+BP258*BP150+BQ258*BQ150+BR258*BR150+BS258*BS150+BT258*BT150+BU258*BU150+BV258*BV150+BW258*BW150+BX258*BX150+BY258*BY150+BZ258*BZ150+CA258*CA150+CB258*CB150+CC258*CC150+CD258*CD150+CE258*CE150+CF258*CF150+CG258*CG150+CH258*CH150+CI258*CI150+CJ258*CJ150+CK258*CK150+CL258*CL150+CM258*CM150+CN258*CN150</f>
        <v>0</v>
      </c>
    </row>
    <row r="151" spans="2:105" ht="18" x14ac:dyDescent="0.35">
      <c r="B151" s="1082">
        <v>18</v>
      </c>
      <c r="C151" s="1072" t="s">
        <v>240</v>
      </c>
      <c r="D151" s="797" t="s">
        <v>1666</v>
      </c>
      <c r="E151" s="2677">
        <f>0</f>
        <v>0</v>
      </c>
      <c r="F151" s="2677">
        <f>0</f>
        <v>0</v>
      </c>
      <c r="G151" s="2677">
        <f>0</f>
        <v>0</v>
      </c>
      <c r="H151" s="2710">
        <f>-1/Y_MEOLO</f>
        <v>-2.5</v>
      </c>
      <c r="I151" s="2677">
        <f>0</f>
        <v>0</v>
      </c>
      <c r="J151" s="2677">
        <f>0</f>
        <v>0</v>
      </c>
      <c r="K151" s="2677">
        <f>0</f>
        <v>0</v>
      </c>
      <c r="L151" s="2677">
        <f>0</f>
        <v>0</v>
      </c>
      <c r="M151" s="2677">
        <f>0</f>
        <v>0</v>
      </c>
      <c r="N151" s="2677">
        <f>0</f>
        <v>0</v>
      </c>
      <c r="O151" s="2677">
        <f>0</f>
        <v>0</v>
      </c>
      <c r="P151" s="2677">
        <f>0</f>
        <v>0</v>
      </c>
      <c r="Q151" s="2677">
        <f>0</f>
        <v>0</v>
      </c>
      <c r="R151" s="2677">
        <f>0</f>
        <v>0</v>
      </c>
      <c r="S151" s="2677">
        <f>0</f>
        <v>0</v>
      </c>
      <c r="T151" s="2677">
        <f>0</f>
        <v>0</v>
      </c>
      <c r="U151" s="2677">
        <f>0</f>
        <v>0</v>
      </c>
      <c r="V151" s="2677">
        <f>0</f>
        <v>0</v>
      </c>
      <c r="W151" s="2677">
        <f>1</f>
        <v>1</v>
      </c>
      <c r="X151" s="2677">
        <f>0</f>
        <v>0</v>
      </c>
      <c r="Y151" s="2677">
        <f>0</f>
        <v>0</v>
      </c>
      <c r="Z151" s="2677">
        <f>0</f>
        <v>0</v>
      </c>
      <c r="AA151" s="2677">
        <f>0</f>
        <v>0</v>
      </c>
      <c r="AB151" s="2677">
        <f>0</f>
        <v>0</v>
      </c>
      <c r="AC151" s="2740">
        <f>0</f>
        <v>0</v>
      </c>
      <c r="AD151" s="2677">
        <f>-i_N_BIO</f>
        <v>-7.0000000000000007E-2</v>
      </c>
      <c r="AE151" s="2710">
        <f>(1-Y_MEOLO)/(E_EQNO2_NO3*Y_MEOLO)</f>
        <v>1.3131773691513433</v>
      </c>
      <c r="AF151" s="2710">
        <f>-(1-Y_MEOLO)/(E_EQNO2_NO3*Y_MEOLO)</f>
        <v>-1.3131773691513433</v>
      </c>
      <c r="AG151" s="2710">
        <f>0</f>
        <v>0</v>
      </c>
      <c r="AH151" s="2677">
        <f>0</f>
        <v>0</v>
      </c>
      <c r="AI151" s="2677">
        <f>0</f>
        <v>0</v>
      </c>
      <c r="AJ151" s="2677">
        <f>0</f>
        <v>0</v>
      </c>
      <c r="AK151" s="2677">
        <f>0</f>
        <v>0</v>
      </c>
      <c r="AL151" s="2710">
        <f>-i_P_BIO</f>
        <v>-0.02</v>
      </c>
      <c r="AM151" s="2677">
        <f>0</f>
        <v>0</v>
      </c>
      <c r="AN151" s="2677">
        <f>0</f>
        <v>0</v>
      </c>
      <c r="AO151" s="2677">
        <f>0</f>
        <v>0</v>
      </c>
      <c r="AP151" s="2677">
        <f>0</f>
        <v>0</v>
      </c>
      <c r="AQ151" s="2677">
        <f>0</f>
        <v>0</v>
      </c>
      <c r="AR151" s="2677">
        <f>0</f>
        <v>0</v>
      </c>
      <c r="AS151" s="2677">
        <f>0</f>
        <v>0</v>
      </c>
      <c r="AT151" s="2677">
        <f>0</f>
        <v>0</v>
      </c>
      <c r="AU151" s="2710">
        <f>i_CIT_MEOL/Y_MEOLO-i_CIT_BIO</f>
        <v>0.27300000000000002</v>
      </c>
      <c r="AV151" s="2710">
        <f>i_INORG</f>
        <v>0.11</v>
      </c>
      <c r="AW151" s="2710">
        <f>-i_INORG*(1-i_Ca_INORG*(A_MCa+2*A_MCl)/A_MCa-i_Mg_INORG*(A_MMg+2*A_MCl)/A_MMg)*f_Na</f>
        <v>-2.8804303582798466E-2</v>
      </c>
      <c r="AX151" s="2710">
        <f>-i_INORG*(i_Ca_INORG*(2*A_MCl)/A_MCa+i_Mg_INORG*(2*A_MCl)/A_MMg)-i_INORG*(1-i_Ca_INORG*(A_MCa+2*A_MCl)/A_MCa-i_Mg_INORG*(A_MMg+2*A_MCl)/A_MMg)*(1-f_Na)</f>
        <v>-7.0195696417201539E-2</v>
      </c>
      <c r="AY151" s="2710">
        <f>-i_INORG*i_Ca_INORG</f>
        <v>-5.5000000000000005E-3</v>
      </c>
      <c r="AZ151" s="2710">
        <f>-i_INORG*i_Mg_INORG</f>
        <v>-5.5000000000000005E-3</v>
      </c>
      <c r="BA151" s="2710">
        <f>0</f>
        <v>0</v>
      </c>
      <c r="BB151" s="2710">
        <f>0</f>
        <v>0</v>
      </c>
      <c r="BC151" s="2710">
        <f>0</f>
        <v>0</v>
      </c>
      <c r="BD151" s="2710">
        <f>0</f>
        <v>0</v>
      </c>
      <c r="BE151" s="2710">
        <f>0</f>
        <v>0</v>
      </c>
      <c r="BF151" s="2710">
        <f>0</f>
        <v>0</v>
      </c>
      <c r="BG151" s="2710">
        <f>0</f>
        <v>0</v>
      </c>
      <c r="BH151" s="2710">
        <f>0</f>
        <v>0</v>
      </c>
      <c r="BI151" s="2710">
        <f>0</f>
        <v>0</v>
      </c>
      <c r="BJ151" s="2765">
        <f>0</f>
        <v>0</v>
      </c>
      <c r="BK151" s="2765">
        <f>0</f>
        <v>0</v>
      </c>
      <c r="BL151" s="2765">
        <f>0</f>
        <v>0</v>
      </c>
      <c r="BM151" s="2765">
        <f>0</f>
        <v>0</v>
      </c>
      <c r="BN151" s="2765">
        <f>0</f>
        <v>0</v>
      </c>
      <c r="BO151" s="2765">
        <f>0</f>
        <v>0</v>
      </c>
      <c r="BP151" s="2765">
        <f>0</f>
        <v>0</v>
      </c>
      <c r="BQ151" s="2710">
        <f>0</f>
        <v>0</v>
      </c>
      <c r="BR151" s="2710">
        <f>0</f>
        <v>0</v>
      </c>
      <c r="BS151" s="2765">
        <f>0</f>
        <v>0</v>
      </c>
      <c r="BT151" s="2710">
        <f>0</f>
        <v>0</v>
      </c>
      <c r="BU151" s="2710">
        <f>0</f>
        <v>0</v>
      </c>
      <c r="BV151" s="2787">
        <f>0</f>
        <v>0</v>
      </c>
      <c r="BW151" s="2787">
        <f>0</f>
        <v>0</v>
      </c>
      <c r="BX151" s="2787">
        <f>0</f>
        <v>0</v>
      </c>
      <c r="BY151" s="2787">
        <f>0</f>
        <v>0</v>
      </c>
      <c r="BZ151" s="2710">
        <f>0</f>
        <v>0</v>
      </c>
      <c r="CA151" s="2710">
        <f>0</f>
        <v>0</v>
      </c>
      <c r="CB151" s="2798">
        <f>0</f>
        <v>0</v>
      </c>
      <c r="CC151" s="2710">
        <f>0</f>
        <v>0</v>
      </c>
      <c r="CD151" s="2710">
        <f>0</f>
        <v>0</v>
      </c>
      <c r="CE151" s="2710">
        <f>0</f>
        <v>0</v>
      </c>
      <c r="CF151" s="2710">
        <f>0</f>
        <v>0</v>
      </c>
      <c r="CG151" s="2710">
        <f>0</f>
        <v>0</v>
      </c>
      <c r="CH151" s="2710">
        <f>0</f>
        <v>0</v>
      </c>
      <c r="CI151" s="2710">
        <f>0</f>
        <v>0</v>
      </c>
      <c r="CJ151" s="2710">
        <f>0</f>
        <v>0</v>
      </c>
      <c r="CK151" s="2710">
        <f>0</f>
        <v>0</v>
      </c>
      <c r="CL151" s="2710">
        <f>0</f>
        <v>0</v>
      </c>
      <c r="CM151" s="2710">
        <f>0</f>
        <v>0</v>
      </c>
      <c r="CN151" s="2710">
        <f>0</f>
        <v>0</v>
      </c>
      <c r="CO151" s="2827">
        <f>µ_MEOLO_T*X_MEOLO*M_satSMEOL_KMEOL*M_satSNO3_KNO3_MEOLO*L_ogsatSNO3_KNO3_MEOLO*(L_oginhSMEOL_KMEOL_SNO2+M_inhSNO2_KNO2_MEOLO*L_ogsatSMEOL_KMEOL_SNO2)*M_inhSO2_KiO2_MEOLO*M_satSNHx_KNHx_BIO*M_satSPO4_KPO4_BIO*M_satSCAT_KCAT*M_satSAN_KAN*M_satSCa_KCa*M_satSMg_KMg*B_ellinhpH</f>
        <v>6.2005081187889954E-52</v>
      </c>
      <c r="CQ151" s="2650">
        <f>E248*E151+F248*F151+G248*G151+H248*H151+I248*I151+J248*J151+K248*K151+L248*L151+M248*M151+N248*N151+O248*O151+P248*P151+Q248*Q151+R248*R151+S248*S151+T248*T151+U248*U151+V248*V151+W248*W151+X248*X151+Y248*Y151+Z248*Z151+AA248*AA151+AB248*AB151+AC248*AC151+AD248*AD151+AE248*AE151+AF248*AF151+AG248*AG151+AH248*AH151+AI248*AI151+AJ248*AJ151+AK248*AK151+AL248*AL151+AM248*AM151+AN248*AN151+AO248*AO151+AP248*AP151+AQ248*AQ151+AR248*AR151+AS248*AS151+AT248*AT151+AU248*AU151+AV248*AV151+AW248*AW151+AX248*AX151+AY248*AY151+AZ248*AZ151+BA248*BA151+BB248*BB151+BC248*BC151+BD248*BD151+BE248*BE151+BF248*BF151+BG248*BG151+BH248*BH151+BI248*BI151+BJ248*BJ151+BK248*BK151+BL248*BL151+BM248*BM151+BN248*BN151+BO248*BO151+BP248*BP151+BQ248*BQ151+BR248*BR151+BS248*BS151+BT248*BT151+BU248*BU151+BV248*BV151+BW248*BW151+BX248*BX151+BY248*BY151+BZ248*BZ151+CA248*CA151+CB248*CB151+CC248*CC151+CD248*CD151+CE248*CE151+CF248*CF151+CG248*CG151+CH248*CH151+CI248*CI151+CJ248*CJ151+CK248*CK151+CL248*CL151+CM248*CM151+CN248*CN151</f>
        <v>0</v>
      </c>
      <c r="CR151" s="2650">
        <f>E249*E151+F249*F151+G249*G151+H249*H151+I249*I151+J249*J151+K249*K151+L249*L151+M249*M151+N249*N151+O249*O151+P249*P151+Q249*Q151+R249*R151+S249*S151+T249*T151+U249*U151+V249*V151+W249*W151+X249*X151+Y249*Y151+Z249*Z151+AA249*AA151+AB249*AB151+AC249*AC151+AD249*AD151+AE249*AE151+AF249*AF151+AG249*AG151+AH249*AH151+AI249*AI151+AJ249*AJ151+AK249*AK151+AL249*AL151+AM249*AM151+AN249*AN151+AO249*AO151+AP249*AP151+AQ249*AQ151+AR249*AR151+AS249*AS151+AT249*AT151+AU249*AU151+AV249*AV151+AW249*AW151+AX249*AX151+AY249*AY151+AZ249*AZ151+BA249*BA151+BB249*BB151+BC249*BC151+BD249*BD151+BE249*BE151+BF249*BF151+BG249*BG151+BH249*BH151+BI249*BI151+BJ249*BJ151+BK249*BK151+BL249*BL151+BM249*BM151+BN249*BN151+BO249*BO151+BP249*BP151+BQ249*BQ151+BR249*BR151+BS249*BS151+BT249*BT151+BU249*BU151+BV249*BV151+BW249*BW151+BX249*BX151+BY249*BY151+BZ249*BZ151+CA249*CA151+CB249*CB151+CC249*CC151+CD249*CD151+CE249*CE151+CF249*CF151+CG249*CG151+CH249*CH151+CI249*CI151+CJ249*CJ151+CK249*CK151+CL249*CL151+CM249*CM151+CN249*CN151</f>
        <v>0</v>
      </c>
      <c r="CS151" s="2651">
        <f>E250*E151+F250*F151+G250*G151+H250*H151+I250*I151+J250*J151+K250*K151+L250*L151+M250*M151+N250*N151+O250*O151+P250*P151+Q250*Q151+R250*R151+S250*S151+T250*T151+U250*U151+V250*V151+W250*W151+X250*X151+Y250*Y151+Z250*Z151+AA250*AA151+AB250*AB151+AC250*AC151+AD250*AD151+AE250*AE151+AF250*AF151+AG250*AG151+AH250*AH151+AI250*AI151+AJ250*AJ151+AK250*AK151+AL250*AL151+AM250*AM151+AN250*AN151+AO250*AO151+AP250*AP151+AQ250*AQ151+AR250*AR151+AS250*AS151+AT250*AT151+AU250*AU151+AV250*AV151+AW250*AW151+AX250*AX151+AY250*AY151+AZ250*AZ151+BA250*BA151+BB250*BB151+BC250*BC151+BD250*BD151+BE250*BE151+BF250*BF151+BG250*BG151+BH250*BH151+BI250*BI151+BJ250*BJ151+BK250*BK151+BL250*BL151+BM250*BM151+BN250*BN151+BO250*BO151+BP250*BP151+BQ250*BQ151+BR250*BR151+BS250*BS151+BT250*BT151+BU250*BU151+BV250*BV151+BW250*BW151+BX250*BX151+BY250*BY151+BZ250*BZ151+CA250*CA151+CB250*CB151+CC250*CC151+CD250*CD151+CE250*CE151+CF250*CF151+CG250*CG151+CH250*CH151+CI250*CI151+CJ250*CJ151+CK250*CK151+CL250*CL151+CM250*CM151+CN250*CN151</f>
        <v>0</v>
      </c>
      <c r="CT151" s="2652">
        <f>E251*E151+F251*F151+G251*G151+H251*H151+I251*I151+J251*J151+K251*K151+L251*L151+M251*M151+N251*N151+O251*O151+P251*P151+Q251*Q151+R251*R151+S251*S151+T251*T151+U251*U151+V251*V151+W251*W151+X251*X151+Y251*Y151+Z251*Z151+AA251*AA151+AB251*AB151+AC251*AC151+AD251*AD151+AE251*AE151+AF251*AF151+AG251*AG151+AH251*AH151+AI251*AI151+AJ251*AJ151+AK251*AK151+AL251*AL151+AM251*AM151+AN251*AN151+AO251*AO151+AP251*AP151+AQ251*AQ151+AR251*AR151+AS251*AS151+AT251*AT151+AU251*AU151+AV251*AV151+AW251*AW151+AX251*AX151+AY251*AY151+AZ251*AZ151+BA251*BA151+BB251*BB151+BC251*BC151+BD251*BD151+BE251*BE151+BF251*BF151+BG251*BG151+BH251*BH151+BI251*BI151+BJ251*BJ151+BK251*BK151+BL251*BL151+BM251*BM151+BN251*BN151+BO251*BO151+BP251*BP151+BQ251*BQ151+BR251*BR151+BS251*BS151+BT251*BT151+BU251*BU151+BV251*BV151+BW251*BW151+BX251*BX151+BY251*BY151+BZ251*BZ151+CA251*CA151+CB251*CB151+CC251*CC151+CD251*CD151+CE251*CE151+CF251*CF151+CG251*CG151+CH251*CH151+CI251*CI151+CJ251*CJ151+CK251*CK151+CL251*CL151+CM251*CM151+CN251*CN151</f>
        <v>0</v>
      </c>
      <c r="CU151" s="2652">
        <f>E252*E151+F252*F151+G252*G151+H252*H151+I252*I151+J252*J151+K252*K151+L252*L151+M252*M151+N252*N151+O252*O151+P252*P151+Q252*Q151+R252*R151+S252*S151+T252*T151+U252*U151+V252*V151+W252*W151+X252*X151+Y252*Y151+Z252*Z151+AA252*AA151+AB252*AB151+AC252*AC151+AD252*AD151+AE252*AE151+AF252*AF151+AG252*AG151+AH252*AH151+AI252*AI151+AJ252*AJ151+AK252*AK151+AL252*AL151+AM252*AM151+AN252*AN151+AO252*AO151+AP252*AP151+AQ252*AQ151+AR252*AR151+AS252*AS151+AT252*AT151+AU252*AU151+AV252*AV151+AW252*AW151+AX252*AX151+AY252*AY151+AZ252*AZ151+BA252*BA151+BB252*BB151+BC252*BC151+BD252*BD151+BE252*BE151+BF252*BF151+BG252*BG151+BH252*BH151+BI252*BI151+BJ252*BJ151+BK252*BK151+BL252*BL151+BM252*BM151+BN252*BN151+BO252*BO151+BP252*BP151+BQ252*BQ151+BR252*BR151+BS252*BS151+BT252*BT151+BU252*BU151+BV252*BV151+BW252*BW151+BX252*BX151+BY252*BY151+BZ252*BZ151+CA252*CA151+CB252*CB151+CC252*CC151+CD252*CD151+CE252*CE151+CF252*CF151+CG252*CG151+CH252*CH151+CI252*CI151+CJ252*CJ151+CK252*CK151+CL252*CL151+CM252*CM151+CN252*CN151</f>
        <v>0</v>
      </c>
      <c r="CV151" s="2652">
        <f>E253*E151+F253*F151+G253*G151+H253*H151+I253*I151+J253*J151+K253*K151+L253*L151+M253*M151+N253*N151+O253*O151+P253*P151+Q253*Q151+R253*R151+S253*S151+T253*T151+U253*U151+V253*V151+W253*W151+X253*X151+Y253*Y151+Z253*Z151+AA253*AA151+AB253*AB151+AC253*AC151+AD253*AD151+AE253*AE151+AF253*AF151+AG253*AG151+AH253*AH151+AI253*AI151+AJ253*AJ151+AK253*AK151+AL253*AL151+AM253*AM151+AN253*AN151+AO253*AO151+AP253*AP151+AQ253*AQ151+AR253*AR151+AS253*AS151+AT253*AT151+AU253*AU151+AV253*AV151+AW253*AW151+AX253*AX151+AY253*AY151+AZ253*AZ151+BA253*BA151+BB253*BB151+BC253*BC151+BD253*BD151+BE253*BE151+BF253*BF151+BG253*BG151+BH253*BH151+BI253*BI151+BJ253*BJ151+BK253*BK151+BL253*BL151+BM253*BM151+BN253*BN151+BO253*BO151+BP253*BP151+BQ253*BQ151+BR253*BR151+BS253*BS151+BT253*BT151+BU253*BU151+BV253*BV151+BW253*BW151+BX253*BX151+BY253*BY151+BZ253*BZ151+CA253*CA151+CB253*CB151+CC253*CC151+CD253*CD151+CE253*CE151+CF253*CF151+CG253*CG151+CH253*CH151+CI253*CI151+CJ253*CJ151+CK253*CK151+CL253*CL151+CM253*CM151+CN253*CN151</f>
        <v>0</v>
      </c>
      <c r="CW151" s="2652">
        <f>E254*E151+F254*F151+G254*G151+H254*H151+I254*I151+J254*J151+K254*K151+L254*L151+M254*M151+N254*N151+O254*O151+P254*P151+Q254*Q151+R254*R151+S254*S151+T254*T151+U254*U151+V254*V151+W254*W151+X254*X151+Y254*Y151+Z254*Z151+AA254*AA151+AB254*AB151+AC254*AC151+AD254*AD151+AE254*AE151+AF254*AF151+AG254*AG151+AH254*AH151+AI254*AI151+AJ254*AJ151+AK254*AK151+AL254*AL151+AM254*AM151+AN254*AN151+AO254*AO151+AP254*AP151+AQ254*AQ151+AR254*AR151+AS254*AS151+AT254*AT151+AU254*AU151+AV254*AV151+AW254*AW151+AX254*AX151+AY254*AY151+AZ254*AZ151+BA254*BA151+BB254*BB151+BC254*BC151+BD254*BD151+BE254*BE151+BF254*BF151+BG254*BG151+BH254*BH151+BI254*BI151+BJ254*BJ151+BK254*BK151+BL254*BL151+BM254*BM151+BN254*BN151+BO254*BO151+BP254*BP151+BQ254*BQ151+BR254*BR151+BS254*BS151+BT254*BT151+BU254*BU151+BV254*BV151+BW254*BW151+BX254*BX151+BY254*BY151+BZ254*BZ151+CA254*CA151+CB254*CB151+CC254*CC151+CD254*CD151+CE254*CE151+CF254*CF151+CG254*CG151+CH254*CH151+CI254*CI151+CJ254*CJ151+CK254*CK151+CL254*CL151+CM254*CM151+CN254*CN151</f>
        <v>0</v>
      </c>
      <c r="CX151" s="2652">
        <f>E255*E151+F255*F151+G255*G151+H255*H151+I255*I151+J255*J151+K255*K151+L255*L151+M255*M151+N255*N151+O255*O151+P255*P151+Q255*Q151+R255*R151+S255*S151+T255*T151+U255*U151+V255*V151+W255*W151+X255*X151+Y255*Y151+Z255*Z151+AA255*AA151+AB255*AB151+AC255*AC151+AD255*AD151+AE255*AE151+AF255*AF151+AG255*AG151+AH255*AH151+AI255*AI151+AJ255*AJ151+AK255*AK151+AL255*AL151+AM255*AM151+AN255*AN151+AO255*AO151+AP255*AP151+AQ255*AQ151+AR255*AR151+AS255*AS151+AT255*AT151+AU255*AU151+AV255*AV151+AW255*AW151+AX255*AX151+AY255*AY151+AZ255*AZ151+BA255*BA151+BB255*BB151+BC255*BC151+BD255*BD151+BE255*BE151+BF255*BF151+BG255*BG151+BH255*BH151+BI255*BI151+BJ255*BJ151+BK255*BK151+BL255*BL151+BM255*BM151+BN255*BN151+BO255*BO151+BP255*BP151+BQ255*BQ151+BR255*BR151+BS255*BS151+BT255*BT151+BU255*BU151+BV255*BV151+BW255*BW151+BX255*BX151+BY255*BY151+BZ255*BZ151+CA255*CA151+CB255*CB151+CC255*CC151+CD255*CD151+CE255*CE151+CF255*CF151+CG255*CG151+CH255*CH151+CI255*CI151+CJ255*CJ151+CK255*CK151+CL255*CL151+CM255*CM151+CN255*CN151</f>
        <v>0</v>
      </c>
      <c r="CY151" s="2652">
        <f>E256*E151+F256*F151+G256*G151+H256*H151+I256*I151+J256*J151+K256*K151+L256*L151+M256*M151+N256*N151+O256*O151+P256*P151+Q256*Q151+R256*R151+S256*S151+T256*T151+U256*U151+V256*V151+W256*W151+X256*X151+Y256*Y151+Z256*Z151+AA256*AA151+AB256*AB151+AC256*AC151+AD256*AD151+AE256*AE151+AF256*AF151+AG256*AG151+AH256*AH151+AI256*AI151+AJ256*AJ151+AK256*AK151+AL256*AL151+AM256*AM151+AN256*AN151+AO256*AO151+AP256*AP151+AQ256*AQ151+AR256*AR151+AS256*AS151+AT256*AT151+AU256*AU151+AV256*AV151+AW256*AW151+AX256*AX151+AY256*AY151+AZ256*AZ151+BA256*BA151+BB256*BB151+BC256*BC151+BD256*BD151+BE256*BE151+BF256*BF151+BG256*BG151+BH256*BH151+BI256*BI151+BJ256*BJ151+BK256*BK151+BL256*BL151+BM256*BM151+BN256*BN151+BO256*BO151+BP256*BP151+BQ256*BQ151+BR256*BR151+BS256*BS151+BT256*BT151+BU256*BU151+BV256*BV151+BW256*BW151+BX256*BX151+BY256*BY151+BZ256*BZ151+CA256*CA151+CB256*CB151+CC256*CC151+CD256*CD151+CE256*CE151+CF256*CF151+CG256*CG151+CH256*CH151+CI256*CI151+CJ256*CJ151+CK256*CK151+CL256*CL151+CM256*CM151+CN256*CN151</f>
        <v>0</v>
      </c>
      <c r="CZ151" s="2652">
        <f>E257*E151+F257*F151+G257*G151+H257*H151+I257*I151+J257*J151+K257*K151+L257*L151+M257*M151+N257*N151+O257*O151+P257*P151+Q257*Q151+R257*R151+S257*S151+T257*T151+U257*U151+V257*V151+W257*W151+X257*X151+Y257*Y151+Z257*Z151+AA257*AA151+AB257*AB151+AC257*AC151+AD257*AD151+AE257*AE151+AF257*AF151+AG257*AG151+AH257*AH151+AI257*AI151+AJ257*AJ151+AK257*AK151+AL257*AL151+AM257*AM151+AN257*AN151+AO257*AO151+AP257*AP151+AQ257*AQ151+AR257*AR151+AS257*AS151+AT257*AT151+AU257*AU151+AV257*AV151+AW257*AW151+AX257*AX151+AY257*AY151+AZ257*AZ151+BA257*BA151+BB257*BB151+BC257*BC151+BD257*BD151+BE257*BE151+BF257*BF151+BG257*BG151+BH257*BH151+BI257*BI151+BJ257*BJ151+BK257*BK151+BL257*BL151+BM257*BM151+BN257*BN151+BO257*BO151+BP257*BP151+BQ257*BQ151+BR257*BR151+BS257*BS151+BT257*BT151+BU257*BU151+BV257*BV151+BW257*BW151+BX257*BX151+BY257*BY151+BZ257*BZ151+CA257*CA151+CB257*CB151+CC257*CC151+CD257*CD151+CE257*CE151+CF257*CF151+CG257*CG151+CH257*CH151+CI257*CI151+CJ257*CJ151+CK257*CK151+CL257*CL151+CM257*CM151+CN257*CN151</f>
        <v>0</v>
      </c>
      <c r="DA151" s="2652">
        <f>E258*E151+F258*F151+G258*G151+H258*H151+I258*I151+J258*J151+K258*K151+L258*L151+M258*M151+N258*N151+O258*O151+P258*P151+Q258*Q151+R258*R151+S258*S151+T258*T151+U258*U151+V258*V151+W258*W151+X258*X151+Y258*Y151+Z258*Z151+AA258*AA151+AB258*AB151+AC258*AC151+AD258*AD151+AE258*AE151+AF258*AF151+AG258*AG151+AH258*AH151+AI258*AI151+AJ258*AJ151+AK258*AK151+AL258*AL151+AM258*AM151+AN258*AN151+AO258*AO151+AP258*AP151+AQ258*AQ151+AR258*AR151+AS258*AS151+AT258*AT151+AU258*AU151+AV258*AV151+AW258*AW151+AX258*AX151+AY258*AY151+AZ258*AZ151+BA258*BA151+BB258*BB151+BC258*BC151+BD258*BD151+BE258*BE151+BF258*BF151+BG258*BG151+BH258*BH151+BI258*BI151+BJ258*BJ151+BK258*BK151+BL258*BL151+BM258*BM151+BN258*BN151+BO258*BO151+BP258*BP151+BQ258*BQ151+BR258*BR151+BS258*BS151+BT258*BT151+BU258*BU151+BV258*BV151+BW258*BW151+BX258*BX151+BY258*BY151+BZ258*BZ151+CA258*CA151+CB258*CB151+CC258*CC151+CD258*CD151+CE258*CE151+CF258*CF151+CG258*CG151+CH258*CH151+CI258*CI151+CJ258*CJ151+CK258*CK151+CL258*CL151+CM258*CM151+CN258*CN151</f>
        <v>0</v>
      </c>
    </row>
    <row r="152" spans="2:105" ht="18" x14ac:dyDescent="0.25">
      <c r="B152" s="1082">
        <v>19</v>
      </c>
      <c r="C152" s="1072" t="s">
        <v>241</v>
      </c>
      <c r="D152" s="797" t="s">
        <v>289</v>
      </c>
      <c r="E152" s="2677">
        <f>0</f>
        <v>0</v>
      </c>
      <c r="F152" s="2677">
        <f>0</f>
        <v>0</v>
      </c>
      <c r="G152" s="2677">
        <f>0</f>
        <v>0</v>
      </c>
      <c r="H152" s="2677">
        <f>0</f>
        <v>0</v>
      </c>
      <c r="I152" s="2712">
        <f>f_C</f>
        <v>0.1</v>
      </c>
      <c r="J152" s="2677">
        <f>0</f>
        <v>0</v>
      </c>
      <c r="K152" s="2677">
        <f>(1-f_E)*(1-f_C)</f>
        <v>0.82800000000000007</v>
      </c>
      <c r="L152" s="2677">
        <f>0</f>
        <v>0</v>
      </c>
      <c r="M152" s="2677">
        <f>0</f>
        <v>0</v>
      </c>
      <c r="N152" s="2677">
        <f>0</f>
        <v>0</v>
      </c>
      <c r="O152" s="2677">
        <f>0</f>
        <v>0</v>
      </c>
      <c r="P152" s="2677">
        <f>0</f>
        <v>0</v>
      </c>
      <c r="Q152" s="2677">
        <f>0</f>
        <v>0</v>
      </c>
      <c r="R152" s="2677">
        <f>f_E*(1-f_C)</f>
        <v>7.2000000000000008E-2</v>
      </c>
      <c r="S152" s="2677">
        <f>0</f>
        <v>0</v>
      </c>
      <c r="T152" s="2677">
        <f>0</f>
        <v>0</v>
      </c>
      <c r="U152" s="2677">
        <f>0</f>
        <v>0</v>
      </c>
      <c r="V152" s="2677">
        <f>0</f>
        <v>0</v>
      </c>
      <c r="W152" s="2677">
        <f>-1</f>
        <v>-1</v>
      </c>
      <c r="X152" s="2677">
        <f>0</f>
        <v>0</v>
      </c>
      <c r="Y152" s="2677">
        <f>0</f>
        <v>0</v>
      </c>
      <c r="Z152" s="2677">
        <f>0</f>
        <v>0</v>
      </c>
      <c r="AA152" s="2677">
        <f>0</f>
        <v>0</v>
      </c>
      <c r="AB152" s="2677">
        <f>0</f>
        <v>0</v>
      </c>
      <c r="AC152" s="2740">
        <f>0</f>
        <v>0</v>
      </c>
      <c r="AD152" s="2677">
        <f>i_N_BIO-f_E*(1-f_C)*i_N_XE-f_C*i_N_CB-(1-f_E)*(1-f_C)*i_N_BIO</f>
        <v>6.7199999999999899E-3</v>
      </c>
      <c r="AE152" s="2677">
        <f>0</f>
        <v>0</v>
      </c>
      <c r="AF152" s="2677">
        <f>0</f>
        <v>0</v>
      </c>
      <c r="AG152" s="2677">
        <f>0</f>
        <v>0</v>
      </c>
      <c r="AH152" s="2677">
        <f>0</f>
        <v>0</v>
      </c>
      <c r="AI152" s="2677">
        <f>0</f>
        <v>0</v>
      </c>
      <c r="AJ152" s="2677">
        <f>(1-f_E)*(1-f_C)*i_N_BIO</f>
        <v>5.7960000000000012E-2</v>
      </c>
      <c r="AK152" s="2677">
        <f>0</f>
        <v>0</v>
      </c>
      <c r="AL152" s="2677">
        <f>i_P_BIO-f_E*(1-f_C)*i_P_BIO-f_C*i_P_CB-(1-f_E)*(1-f_C)*i_P_BIO</f>
        <v>1.7999999999999995E-3</v>
      </c>
      <c r="AM152" s="2677">
        <f>0</f>
        <v>0</v>
      </c>
      <c r="AN152" s="2677">
        <f>0</f>
        <v>0</v>
      </c>
      <c r="AO152" s="2677">
        <f>0</f>
        <v>0</v>
      </c>
      <c r="AP152" s="2677">
        <f>(1-f_E)*(1-f_C)*i_P_BIO</f>
        <v>1.6560000000000002E-2</v>
      </c>
      <c r="AQ152" s="2677">
        <f>0</f>
        <v>0</v>
      </c>
      <c r="AR152" s="2677">
        <f>0</f>
        <v>0</v>
      </c>
      <c r="AS152" s="2677">
        <f>0</f>
        <v>0</v>
      </c>
      <c r="AT152" s="2677">
        <f>0</f>
        <v>0</v>
      </c>
      <c r="AU152" s="2677">
        <f>i_CIT_BIO-f_E*(1-f_C)*i_CIT_BIO-(1-f_E)*(1-f_C)*i_CIT_XBe-(1-f_E)*f_C*i_CIT_XBe-f_E*f_C*i_CIT_XBe</f>
        <v>6.1248000000000011E-2</v>
      </c>
      <c r="AV152" s="2710">
        <f>0</f>
        <v>0</v>
      </c>
      <c r="AW152" s="2710">
        <f>0</f>
        <v>0</v>
      </c>
      <c r="AX152" s="2710">
        <f>0</f>
        <v>0</v>
      </c>
      <c r="AY152" s="2710">
        <f>0</f>
        <v>0</v>
      </c>
      <c r="AZ152" s="2710">
        <f>0</f>
        <v>0</v>
      </c>
      <c r="BA152" s="2710">
        <f>0</f>
        <v>0</v>
      </c>
      <c r="BB152" s="2710">
        <f>0</f>
        <v>0</v>
      </c>
      <c r="BC152" s="2710">
        <f>0</f>
        <v>0</v>
      </c>
      <c r="BD152" s="2710">
        <f>0</f>
        <v>0</v>
      </c>
      <c r="BE152" s="2710">
        <f>0</f>
        <v>0</v>
      </c>
      <c r="BF152" s="2710">
        <f>0</f>
        <v>0</v>
      </c>
      <c r="BG152" s="2710">
        <f>0</f>
        <v>0</v>
      </c>
      <c r="BH152" s="2710">
        <f>0</f>
        <v>0</v>
      </c>
      <c r="BI152" s="2710">
        <f>0</f>
        <v>0</v>
      </c>
      <c r="BJ152" s="2765">
        <f>0</f>
        <v>0</v>
      </c>
      <c r="BK152" s="2765">
        <f>0</f>
        <v>0</v>
      </c>
      <c r="BL152" s="2765">
        <f>0</f>
        <v>0</v>
      </c>
      <c r="BM152" s="2765">
        <f>0</f>
        <v>0</v>
      </c>
      <c r="BN152" s="2765">
        <f>0</f>
        <v>0</v>
      </c>
      <c r="BO152" s="2765">
        <f>0</f>
        <v>0</v>
      </c>
      <c r="BP152" s="2765">
        <f>0</f>
        <v>0</v>
      </c>
      <c r="BQ152" s="2710">
        <f>0</f>
        <v>0</v>
      </c>
      <c r="BR152" s="2710">
        <f>0</f>
        <v>0</v>
      </c>
      <c r="BS152" s="2765">
        <f>0</f>
        <v>0</v>
      </c>
      <c r="BT152" s="2710">
        <f>0</f>
        <v>0</v>
      </c>
      <c r="BU152" s="2710">
        <f>0</f>
        <v>0</v>
      </c>
      <c r="BV152" s="2787">
        <f>0</f>
        <v>0</v>
      </c>
      <c r="BW152" s="2787">
        <f>0</f>
        <v>0</v>
      </c>
      <c r="BX152" s="2787">
        <f>0</f>
        <v>0</v>
      </c>
      <c r="BY152" s="2787">
        <f>0</f>
        <v>0</v>
      </c>
      <c r="BZ152" s="2710">
        <f>0</f>
        <v>0</v>
      </c>
      <c r="CA152" s="2710">
        <f>0</f>
        <v>0</v>
      </c>
      <c r="CB152" s="2798">
        <f>0</f>
        <v>0</v>
      </c>
      <c r="CC152" s="2710">
        <f>0</f>
        <v>0</v>
      </c>
      <c r="CD152" s="2710">
        <f>0</f>
        <v>0</v>
      </c>
      <c r="CE152" s="2710">
        <f>0</f>
        <v>0</v>
      </c>
      <c r="CF152" s="2710">
        <f>0</f>
        <v>0</v>
      </c>
      <c r="CG152" s="2710">
        <f>0</f>
        <v>0</v>
      </c>
      <c r="CH152" s="2710">
        <f>0</f>
        <v>0</v>
      </c>
      <c r="CI152" s="2710">
        <f>0</f>
        <v>0</v>
      </c>
      <c r="CJ152" s="2710">
        <f>0</f>
        <v>0</v>
      </c>
      <c r="CK152" s="2710">
        <f>0</f>
        <v>0</v>
      </c>
      <c r="CL152" s="2710">
        <f>0</f>
        <v>0</v>
      </c>
      <c r="CM152" s="2710">
        <f>0</f>
        <v>0</v>
      </c>
      <c r="CN152" s="2710">
        <f>0</f>
        <v>0</v>
      </c>
      <c r="CO152" s="2827">
        <f>b_MEOLO_T*X_MEOLO*(M_satSO2_KiO2_MEOLO+η_b_anox*M_satSNO2_KNO2_MEOLO*M_inhSO2_KiO2_MEOLO+m_tox_anox*M_satSNO3_KNO3_MEOLO*M_inhSNO2_KNO2_MEOLO*M_inhSO2_KiO2_MEOLO)</f>
        <v>5.0294816066972559E-2</v>
      </c>
      <c r="CQ152" s="2650">
        <f>E248*E152+F248*F152+G248*G152+H248*H152+I248*I152+J248*J152+K248*K152+L248*L152+M248*M152+N248*N152+O248*O152+P248*P152+Q248*Q152+R248*R152+S248*S152+T248*T152+U248*U152+V248*V152+W248*W152+X248*X152+Y248*Y152+Z248*Z152+AA248*AA152+AB248*AB152+AC248*AC152+AD248*AD152+AE248*AE152+AF248*AF152+AG248*AG152+AH248*AH152+AI248*AI152+AJ248*AJ152+AK248*AK152+AL248*AL152+AM248*AM152+AN248*AN152+AO248*AO152+AP248*AP152+AQ248*AQ152+AR248*AR152+AS248*AS152+AT248*AT152+AU248*AU152+AV248*AV152+AW248*AW152+AX248*AX152+AY248*AY152+AZ248*AZ152+BA248*BA152+BB248*BB152+BC248*BC152+BD248*BD152+BE248*BE152+BF248*BF152+BG248*BG152+BH248*BH152+BI248*BI152+BJ248*BJ152+BK248*BK152+BL248*BL152+BM248*BM152+BN248*BN152+BO248*BO152+BP248*BP152+BQ248*BQ152+BR248*BR152+BS248*BS152+BT248*BT152+BU248*BU152+BV248*BV152+BW248*BW152+BX248*BX152+BY248*BY152+BZ248*BZ152+CA248*CA152+CB248*CB152+CC248*CC152+CD248*CD152+CE248*CE152+CF248*CF152+CG248*CG152+CH248*CH152+CI248*CI152+CJ248*CJ152+CK248*CK152+CL248*CL152+CM248*CM152+CN248*CN152</f>
        <v>0</v>
      </c>
      <c r="CR152" s="2650">
        <f>E249*E152+F249*F152+G249*G152+H249*H152+I249*I152+J249*J152+K249*K152+L249*L152+M249*M152+N249*N152+O249*O152+P249*P152+Q249*Q152+R249*R152+S249*S152+T249*T152+U249*U152+V249*V152+W249*W152+X249*X152+Y249*Y152+Z249*Z152+AA249*AA152+AB249*AB152+AC249*AC152+AD249*AD152+AE249*AE152+AF249*AF152+AG249*AG152+AH249*AH152+AI249*AI152+AJ249*AJ152+AK249*AK152+AL249*AL152+AM249*AM152+AN249*AN152+AO249*AO152+AP249*AP152+AQ249*AQ152+AR249*AR152+AS249*AS152+AT249*AT152+AU249*AU152+AV249*AV152+AW249*AW152+AX249*AX152+AY249*AY152+AZ249*AZ152+BA249*BA152+BB249*BB152+BC249*BC152+BD249*BD152+BE249*BE152+BF249*BF152+BG249*BG152+BH249*BH152+BI249*BI152+BJ249*BJ152+BK249*BK152+BL249*BL152+BM249*BM152+BN249*BN152+BO249*BO152+BP249*BP152+BQ249*BQ152+BR249*BR152+BS249*BS152+BT249*BT152+BU249*BU152+BV249*BV152+BW249*BW152+BX249*BX152+BY249*BY152+BZ249*BZ152+CA249*CA152+CB249*CB152+CC249*CC152+CD249*CD152+CE249*CE152+CF249*CF152+CG249*CG152+CH249*CH152+CI249*CI152+CJ249*CJ152+CK249*CK152+CL249*CL152+CM249*CM152+CN249*CN152</f>
        <v>-1.3877787807814457E-17</v>
      </c>
      <c r="CS152" s="2651">
        <f>E250*E152+F250*F152+G250*G152+H250*H152+I250*I152+J250*J152+K250*K152+L250*L152+M250*M152+N250*N152+O250*O152+P250*P152+Q250*Q152+R250*R152+S250*S152+T250*T152+U250*U152+V250*V152+W250*W152+X250*X152+Y250*Y152+Z250*Z152+AA250*AA152+AB250*AB152+AC250*AC152+AD250*AD152+AE250*AE152+AF250*AF152+AG250*AG152+AH250*AH152+AI250*AI152+AJ250*AJ152+AK250*AK152+AL250*AL152+AM250*AM152+AN250*AN152+AO250*AO152+AP250*AP152+AQ250*AQ152+AR250*AR152+AS250*AS152+AT250*AT152+AU250*AU152+AV250*AV152+AW250*AW152+AX250*AX152+AY250*AY152+AZ250*AZ152+BA250*BA152+BB250*BB152+BC250*BC152+BD250*BD152+BE250*BE152+BF250*BF152+BG250*BG152+BH250*BH152+BI250*BI152+BJ250*BJ152+BK250*BK152+BL250*BL152+BM250*BM152+BN250*BN152+BO250*BO152+BP250*BP152+BQ250*BQ152+BR250*BR152+BS250*BS152+BT250*BT152+BU250*BU152+BV250*BV152+BW250*BW152+BX250*BX152+BY250*BY152+BZ250*BZ152+CA250*CA152+CB250*CB152+CC250*CC152+CD250*CD152+CE250*CE152+CF250*CF152+CG250*CG152+CH250*CH152+CI250*CI152+CJ250*CJ152+CK250*CK152+CL250*CL152+CM250*CM152+CN250*CN152</f>
        <v>0</v>
      </c>
      <c r="CT152" s="2652">
        <f>E251*E152+F251*F152+G251*G152+H251*H152+I251*I152+J251*J152+K251*K152+L251*L152+M251*M152+N251*N152+O251*O152+P251*P152+Q251*Q152+R251*R152+S251*S152+T251*T152+U251*U152+V251*V152+W251*W152+X251*X152+Y251*Y152+Z251*Z152+AA251*AA152+AB251*AB152+AC251*AC152+AD251*AD152+AE251*AE152+AF251*AF152+AG251*AG152+AH251*AH152+AI251*AI152+AJ251*AJ152+AK251*AK152+AL251*AL152+AM251*AM152+AN251*AN152+AO251*AO152+AP251*AP152+AQ251*AQ152+AR251*AR152+AS251*AS152+AT251*AT152+AU251*AU152+AV251*AV152+AW251*AW152+AX251*AX152+AY251*AY152+AZ251*AZ152+BA251*BA152+BB251*BB152+BC251*BC152+BD251*BD152+BE251*BE152+BF251*BF152+BG251*BG152+BH251*BH152+BI251*BI152+BJ251*BJ152+BK251*BK152+BL251*BL152+BM251*BM152+BN251*BN152+BO251*BO152+BP251*BP152+BQ251*BQ152+BR251*BR152+BS251*BS152+BT251*BT152+BU251*BU152+BV251*BV152+BW251*BW152+BX251*BX152+BY251*BY152+BZ251*BZ152+CA251*CA152+CB251*CB152+CC251*CC152+CD251*CD152+CE251*CE152+CF251*CF152+CG251*CG152+CH251*CH152+CI251*CI152+CJ251*CJ152+CK251*CK152+CL251*CL152+CM251*CM152+CN251*CN152</f>
        <v>0</v>
      </c>
      <c r="CU152" s="2652">
        <f>E252*E152+F252*F152+G252*G152+H252*H152+I252*I152+J252*J152+K252*K152+L252*L152+M252*M152+N252*N152+O252*O152+P252*P152+Q252*Q152+R252*R152+S252*S152+T252*T152+U252*U152+V252*V152+W252*W152+X252*X152+Y252*Y152+Z252*Z152+AA252*AA152+AB252*AB152+AC252*AC152+AD252*AD152+AE252*AE152+AF252*AF152+AG252*AG152+AH252*AH152+AI252*AI152+AJ252*AJ152+AK252*AK152+AL252*AL152+AM252*AM152+AN252*AN152+AO252*AO152+AP252*AP152+AQ252*AQ152+AR252*AR152+AS252*AS152+AT252*AT152+AU252*AU152+AV252*AV152+AW252*AW152+AX252*AX152+AY252*AY152+AZ252*AZ152+BA252*BA152+BB252*BB152+BC252*BC152+BD252*BD152+BE252*BE152+BF252*BF152+BG252*BG152+BH252*BH152+BI252*BI152+BJ252*BJ152+BK252*BK152+BL252*BL152+BM252*BM152+BN252*BN152+BO252*BO152+BP252*BP152+BQ252*BQ152+BR252*BR152+BS252*BS152+BT252*BT152+BU252*BU152+BV252*BV152+BW252*BW152+BX252*BX152+BY252*BY152+BZ252*BZ152+CA252*CA152+CB252*CB152+CC252*CC152+CD252*CD152+CE252*CE152+CF252*CF152+CG252*CG152+CH252*CH152+CI252*CI152+CJ252*CJ152+CK252*CK152+CL252*CL152+CM252*CM152+CN252*CN152</f>
        <v>0</v>
      </c>
      <c r="CV152" s="2652">
        <f>E253*E152+F253*F152+G253*G152+H253*H152+I253*I152+J253*J152+K253*K152+L253*L152+M253*M152+N253*N152+O253*O152+P253*P152+Q253*Q152+R253*R152+S253*S152+T253*T152+U253*U152+V253*V152+W253*W152+X253*X152+Y253*Y152+Z253*Z152+AA253*AA152+AB253*AB152+AC253*AC152+AD253*AD152+AE253*AE152+AF253*AF152+AG253*AG152+AH253*AH152+AI253*AI152+AJ253*AJ152+AK253*AK152+AL253*AL152+AM253*AM152+AN253*AN152+AO253*AO152+AP253*AP152+AQ253*AQ152+AR253*AR152+AS253*AS152+AT253*AT152+AU253*AU152+AV253*AV152+AW253*AW152+AX253*AX152+AY253*AY152+AZ253*AZ152+BA253*BA152+BB253*BB152+BC253*BC152+BD253*BD152+BE253*BE152+BF253*BF152+BG253*BG152+BH253*BH152+BI253*BI152+BJ253*BJ152+BK253*BK152+BL253*BL152+BM253*BM152+BN253*BN152+BO253*BO152+BP253*BP152+BQ253*BQ152+BR253*BR152+BS253*BS152+BT253*BT152+BU253*BU152+BV253*BV152+BW253*BW152+BX253*BX152+BY253*BY152+BZ253*BZ152+CA253*CA152+CB253*CB152+CC253*CC152+CD253*CD152+CE253*CE152+CF253*CF152+CG253*CG152+CH253*CH152+CI253*CI152+CJ253*CJ152+CK253*CK152+CL253*CL152+CM253*CM152+CN253*CN152</f>
        <v>0</v>
      </c>
      <c r="CW152" s="2652">
        <f>E254*E152+F254*F152+G254*G152+H254*H152+I254*I152+J254*J152+K254*K152+L254*L152+M254*M152+N254*N152+O254*O152+P254*P152+Q254*Q152+R254*R152+S254*S152+T254*T152+U254*U152+V254*V152+W254*W152+X254*X152+Y254*Y152+Z254*Z152+AA254*AA152+AB254*AB152+AC254*AC152+AD254*AD152+AE254*AE152+AF254*AF152+AG254*AG152+AH254*AH152+AI254*AI152+AJ254*AJ152+AK254*AK152+AL254*AL152+AM254*AM152+AN254*AN152+AO254*AO152+AP254*AP152+AQ254*AQ152+AR254*AR152+AS254*AS152+AT254*AT152+AU254*AU152+AV254*AV152+AW254*AW152+AX254*AX152+AY254*AY152+AZ254*AZ152+BA254*BA152+BB254*BB152+BC254*BC152+BD254*BD152+BE254*BE152+BF254*BF152+BG254*BG152+BH254*BH152+BI254*BI152+BJ254*BJ152+BK254*BK152+BL254*BL152+BM254*BM152+BN254*BN152+BO254*BO152+BP254*BP152+BQ254*BQ152+BR254*BR152+BS254*BS152+BT254*BT152+BU254*BU152+BV254*BV152+BW254*BW152+BX254*BX152+BY254*BY152+BZ254*BZ152+CA254*CA152+CB254*CB152+CC254*CC152+CD254*CD152+CE254*CE152+CF254*CF152+CG254*CG152+CH254*CH152+CI254*CI152+CJ254*CJ152+CK254*CK152+CL254*CL152+CM254*CM152+CN254*CN152</f>
        <v>0</v>
      </c>
      <c r="CX152" s="2652">
        <f>E255*E152+F255*F152+G255*G152+H255*H152+I255*I152+J255*J152+K255*K152+L255*L152+M255*M152+N255*N152+O255*O152+P255*P152+Q255*Q152+R255*R152+S255*S152+T255*T152+U255*U152+V255*V152+W255*W152+X255*X152+Y255*Y152+Z255*Z152+AA255*AA152+AB255*AB152+AC255*AC152+AD255*AD152+AE255*AE152+AF255*AF152+AG255*AG152+AH255*AH152+AI255*AI152+AJ255*AJ152+AK255*AK152+AL255*AL152+AM255*AM152+AN255*AN152+AO255*AO152+AP255*AP152+AQ255*AQ152+AR255*AR152+AS255*AS152+AT255*AT152+AU255*AU152+AV255*AV152+AW255*AW152+AX255*AX152+AY255*AY152+AZ255*AZ152+BA255*BA152+BB255*BB152+BC255*BC152+BD255*BD152+BE255*BE152+BF255*BF152+BG255*BG152+BH255*BH152+BI255*BI152+BJ255*BJ152+BK255*BK152+BL255*BL152+BM255*BM152+BN255*BN152+BO255*BO152+BP255*BP152+BQ255*BQ152+BR255*BR152+BS255*BS152+BT255*BT152+BU255*BU152+BV255*BV152+BW255*BW152+BX255*BX152+BY255*BY152+BZ255*BZ152+CA255*CA152+CB255*CB152+CC255*CC152+CD255*CD152+CE255*CE152+CF255*CF152+CG255*CG152+CH255*CH152+CI255*CI152+CJ255*CJ152+CK255*CK152+CL255*CL152+CM255*CM152+CN255*CN152</f>
        <v>0</v>
      </c>
      <c r="CY152" s="2652">
        <f>E256*E152+F256*F152+G256*G152+H256*H152+I256*I152+J256*J152+K256*K152+L256*L152+M256*M152+N256*N152+O256*O152+P256*P152+Q256*Q152+R256*R152+S256*S152+T256*T152+U256*U152+V256*V152+W256*W152+X256*X152+Y256*Y152+Z256*Z152+AA256*AA152+AB256*AB152+AC256*AC152+AD256*AD152+AE256*AE152+AF256*AF152+AG256*AG152+AH256*AH152+AI256*AI152+AJ256*AJ152+AK256*AK152+AL256*AL152+AM256*AM152+AN256*AN152+AO256*AO152+AP256*AP152+AQ256*AQ152+AR256*AR152+AS256*AS152+AT256*AT152+AU256*AU152+AV256*AV152+AW256*AW152+AX256*AX152+AY256*AY152+AZ256*AZ152+BA256*BA152+BB256*BB152+BC256*BC152+BD256*BD152+BE256*BE152+BF256*BF152+BG256*BG152+BH256*BH152+BI256*BI152+BJ256*BJ152+BK256*BK152+BL256*BL152+BM256*BM152+BN256*BN152+BO256*BO152+BP256*BP152+BQ256*BQ152+BR256*BR152+BS256*BS152+BT256*BT152+BU256*BU152+BV256*BV152+BW256*BW152+BX256*BX152+BY256*BY152+BZ256*BZ152+CA256*CA152+CB256*CB152+CC256*CC152+CD256*CD152+CE256*CE152+CF256*CF152+CG256*CG152+CH256*CH152+CI256*CI152+CJ256*CJ152+CK256*CK152+CL256*CL152+CM256*CM152+CN256*CN152</f>
        <v>0</v>
      </c>
      <c r="CZ152" s="2652">
        <f>E257*E152+F257*F152+G257*G152+H257*H152+I257*I152+J257*J152+K257*K152+L257*L152+M257*M152+N257*N152+O257*O152+P257*P152+Q257*Q152+R257*R152+S257*S152+T257*T152+U257*U152+V257*V152+W257*W152+X257*X152+Y257*Y152+Z257*Z152+AA257*AA152+AB257*AB152+AC257*AC152+AD257*AD152+AE257*AE152+AF257*AF152+AG257*AG152+AH257*AH152+AI257*AI152+AJ257*AJ152+AK257*AK152+AL257*AL152+AM257*AM152+AN257*AN152+AO257*AO152+AP257*AP152+AQ257*AQ152+AR257*AR152+AS257*AS152+AT257*AT152+AU257*AU152+AV257*AV152+AW257*AW152+AX257*AX152+AY257*AY152+AZ257*AZ152+BA257*BA152+BB257*BB152+BC257*BC152+BD257*BD152+BE257*BE152+BF257*BF152+BG257*BG152+BH257*BH152+BI257*BI152+BJ257*BJ152+BK257*BK152+BL257*BL152+BM257*BM152+BN257*BN152+BO257*BO152+BP257*BP152+BQ257*BQ152+BR257*BR152+BS257*BS152+BT257*BT152+BU257*BU152+BV257*BV152+BW257*BW152+BX257*BX152+BY257*BY152+BZ257*BZ152+CA257*CA152+CB257*CB152+CC257*CC152+CD257*CD152+CE257*CE152+CF257*CF152+CG257*CG152+CH257*CH152+CI257*CI152+CJ257*CJ152+CK257*CK152+CL257*CL152+CM257*CM152+CN257*CN152</f>
        <v>0</v>
      </c>
      <c r="DA152" s="2652">
        <f>E258*E152+F258*F152+G258*G152+H258*H152+I258*I152+J258*J152+K258*K152+L258*L152+M258*M152+N258*N152+O258*O152+P258*P152+Q258*Q152+R258*R152+S258*S152+T258*T152+U258*U152+V258*V152+W258*W152+X258*X152+Y258*Y152+Z258*Z152+AA258*AA152+AB258*AB152+AC258*AC152+AD258*AD152+AE258*AE152+AF258*AF152+AG258*AG152+AH258*AH152+AI258*AI152+AJ258*AJ152+AK258*AK152+AL258*AL152+AM258*AM152+AN258*AN152+AO258*AO152+AP258*AP152+AQ258*AQ152+AR258*AR152+AS258*AS152+AT258*AT152+AU258*AU152+AV258*AV152+AW258*AW152+AX258*AX152+AY258*AY152+AZ258*AZ152+BA258*BA152+BB258*BB152+BC258*BC152+BD258*BD152+BE258*BE152+BF258*BF152+BG258*BG152+BH258*BH152+BI258*BI152+BJ258*BJ152+BK258*BK152+BL258*BL152+BM258*BM152+BN258*BN152+BO258*BO152+BP258*BP152+BQ258*BQ152+BR258*BR152+BS258*BS152+BT258*BT152+BU258*BU152+BV258*BV152+BW258*BW152+BX258*BX152+BY258*BY152+BZ258*BZ152+CA258*CA152+CB258*CB152+CC258*CC152+CD258*CD152+CE258*CE152+CF258*CF152+CG258*CG152+CH258*CH152+CI258*CI152+CJ258*CJ152+CK258*CK152+CL258*CL152+CM258*CM152+CN258*CN152</f>
        <v>0</v>
      </c>
    </row>
    <row r="153" spans="2:105" ht="18" x14ac:dyDescent="0.25">
      <c r="B153" s="1082">
        <v>20</v>
      </c>
      <c r="C153" s="1072" t="s">
        <v>242</v>
      </c>
      <c r="D153" s="797" t="s">
        <v>2954</v>
      </c>
      <c r="E153" s="2677">
        <f>0</f>
        <v>0</v>
      </c>
      <c r="F153" s="2677">
        <f>0</f>
        <v>0</v>
      </c>
      <c r="G153" s="2677">
        <f>0</f>
        <v>0</v>
      </c>
      <c r="H153" s="2677">
        <f>0</f>
        <v>0</v>
      </c>
      <c r="I153" s="2712">
        <f>f_C</f>
        <v>0.1</v>
      </c>
      <c r="J153" s="2677">
        <f>0</f>
        <v>0</v>
      </c>
      <c r="K153" s="2677">
        <f>(1-f_E)*(1-f_C)</f>
        <v>0.82800000000000007</v>
      </c>
      <c r="L153" s="2677">
        <f>0</f>
        <v>0</v>
      </c>
      <c r="M153" s="2677">
        <f>0</f>
        <v>0</v>
      </c>
      <c r="N153" s="2677">
        <f>0</f>
        <v>0</v>
      </c>
      <c r="O153" s="2677">
        <f>0</f>
        <v>0</v>
      </c>
      <c r="P153" s="2677">
        <f>0</f>
        <v>0</v>
      </c>
      <c r="Q153" s="2677">
        <f>0</f>
        <v>0</v>
      </c>
      <c r="R153" s="2677">
        <f>0</f>
        <v>0</v>
      </c>
      <c r="S153" s="2677">
        <f>f_E*(1-f_C)</f>
        <v>7.2000000000000008E-2</v>
      </c>
      <c r="T153" s="2677">
        <f>0</f>
        <v>0</v>
      </c>
      <c r="U153" s="2677">
        <f>0</f>
        <v>0</v>
      </c>
      <c r="V153" s="2677">
        <f>0</f>
        <v>0</v>
      </c>
      <c r="W153" s="2677">
        <f>-1</f>
        <v>-1</v>
      </c>
      <c r="X153" s="2677">
        <f>0</f>
        <v>0</v>
      </c>
      <c r="Y153" s="2677">
        <f>0</f>
        <v>0</v>
      </c>
      <c r="Z153" s="2677">
        <f>0</f>
        <v>0</v>
      </c>
      <c r="AA153" s="2677">
        <f>0</f>
        <v>0</v>
      </c>
      <c r="AB153" s="2677">
        <f>0</f>
        <v>0</v>
      </c>
      <c r="AC153" s="2740">
        <f>0</f>
        <v>0</v>
      </c>
      <c r="AD153" s="2677">
        <f>i_N_BIO-f_E*(1-f_C)*i_N_XE-f_C*i_N_CB-(1-f_E)*(1-f_C)*i_N_BIO</f>
        <v>6.7199999999999899E-3</v>
      </c>
      <c r="AE153" s="2677">
        <f>0</f>
        <v>0</v>
      </c>
      <c r="AF153" s="2677">
        <f>0</f>
        <v>0</v>
      </c>
      <c r="AG153" s="2677">
        <f>0</f>
        <v>0</v>
      </c>
      <c r="AH153" s="2677">
        <f>0</f>
        <v>0</v>
      </c>
      <c r="AI153" s="2677">
        <f>0</f>
        <v>0</v>
      </c>
      <c r="AJ153" s="2677">
        <f>(1-f_E)*(1-f_C)*i_N_BIO</f>
        <v>5.7960000000000012E-2</v>
      </c>
      <c r="AK153" s="2677">
        <f>0</f>
        <v>0</v>
      </c>
      <c r="AL153" s="2677">
        <f>i_P_BIO-f_E*(1-f_C)*i_P_BIO-f_C*i_P_CB-(1-f_E)*(1-f_C)*i_P_BIO</f>
        <v>1.7999999999999995E-3</v>
      </c>
      <c r="AM153" s="2677">
        <f>0</f>
        <v>0</v>
      </c>
      <c r="AN153" s="2677">
        <f>0</f>
        <v>0</v>
      </c>
      <c r="AO153" s="2677">
        <f>0</f>
        <v>0</v>
      </c>
      <c r="AP153" s="2677">
        <f>(1-f_E)*(1-f_C)*i_P_BIO</f>
        <v>1.6560000000000002E-2</v>
      </c>
      <c r="AQ153" s="2677">
        <f>0</f>
        <v>0</v>
      </c>
      <c r="AR153" s="2677">
        <f>0</f>
        <v>0</v>
      </c>
      <c r="AS153" s="2677">
        <f>0</f>
        <v>0</v>
      </c>
      <c r="AT153" s="2677">
        <f>0</f>
        <v>0</v>
      </c>
      <c r="AU153" s="2677">
        <f>i_CIT_BIO-f_E*(1-f_C)*i_CIT_BIO-(1-f_E)*(1-f_C)*i_CIT_XBe-(1-f_E)*f_C*i_CIT_XBe-f_E*f_C*i_CIT_XBe</f>
        <v>6.1248000000000011E-2</v>
      </c>
      <c r="AV153" s="2710">
        <f>0</f>
        <v>0</v>
      </c>
      <c r="AW153" s="2710">
        <f>0</f>
        <v>0</v>
      </c>
      <c r="AX153" s="2710">
        <f>0</f>
        <v>0</v>
      </c>
      <c r="AY153" s="2710">
        <f>0</f>
        <v>0</v>
      </c>
      <c r="AZ153" s="2710">
        <f>0</f>
        <v>0</v>
      </c>
      <c r="BA153" s="2710">
        <f>0</f>
        <v>0</v>
      </c>
      <c r="BB153" s="2710">
        <f>0</f>
        <v>0</v>
      </c>
      <c r="BC153" s="2710">
        <f>0</f>
        <v>0</v>
      </c>
      <c r="BD153" s="2710">
        <f>0</f>
        <v>0</v>
      </c>
      <c r="BE153" s="2710">
        <f>0</f>
        <v>0</v>
      </c>
      <c r="BF153" s="2710">
        <f>0</f>
        <v>0</v>
      </c>
      <c r="BG153" s="2710">
        <f>0</f>
        <v>0</v>
      </c>
      <c r="BH153" s="2710">
        <f>0</f>
        <v>0</v>
      </c>
      <c r="BI153" s="2710">
        <f>0</f>
        <v>0</v>
      </c>
      <c r="BJ153" s="2765">
        <f>0</f>
        <v>0</v>
      </c>
      <c r="BK153" s="2765">
        <f>0</f>
        <v>0</v>
      </c>
      <c r="BL153" s="2765">
        <f>0</f>
        <v>0</v>
      </c>
      <c r="BM153" s="2765">
        <f>0</f>
        <v>0</v>
      </c>
      <c r="BN153" s="2765">
        <f>0</f>
        <v>0</v>
      </c>
      <c r="BO153" s="2765">
        <f>0</f>
        <v>0</v>
      </c>
      <c r="BP153" s="2765">
        <f>0</f>
        <v>0</v>
      </c>
      <c r="BQ153" s="2710">
        <f>0</f>
        <v>0</v>
      </c>
      <c r="BR153" s="2710">
        <f>0</f>
        <v>0</v>
      </c>
      <c r="BS153" s="2765">
        <f>0</f>
        <v>0</v>
      </c>
      <c r="BT153" s="2710">
        <f>0</f>
        <v>0</v>
      </c>
      <c r="BU153" s="2710">
        <f>0</f>
        <v>0</v>
      </c>
      <c r="BV153" s="2787">
        <f>0</f>
        <v>0</v>
      </c>
      <c r="BW153" s="2787">
        <f>0</f>
        <v>0</v>
      </c>
      <c r="BX153" s="2787">
        <f>0</f>
        <v>0</v>
      </c>
      <c r="BY153" s="2787">
        <f>0</f>
        <v>0</v>
      </c>
      <c r="BZ153" s="2710">
        <f>0</f>
        <v>0</v>
      </c>
      <c r="CA153" s="2710">
        <f>0</f>
        <v>0</v>
      </c>
      <c r="CB153" s="2798">
        <f>0</f>
        <v>0</v>
      </c>
      <c r="CC153" s="2710">
        <f>0</f>
        <v>0</v>
      </c>
      <c r="CD153" s="2710">
        <f>0</f>
        <v>0</v>
      </c>
      <c r="CE153" s="2710">
        <f>0</f>
        <v>0</v>
      </c>
      <c r="CF153" s="2710">
        <f>0</f>
        <v>0</v>
      </c>
      <c r="CG153" s="2710">
        <f>0</f>
        <v>0</v>
      </c>
      <c r="CH153" s="2710">
        <f>0</f>
        <v>0</v>
      </c>
      <c r="CI153" s="2710">
        <f>0</f>
        <v>0</v>
      </c>
      <c r="CJ153" s="2710">
        <f>0</f>
        <v>0</v>
      </c>
      <c r="CK153" s="2710">
        <f>0</f>
        <v>0</v>
      </c>
      <c r="CL153" s="2710">
        <f>0</f>
        <v>0</v>
      </c>
      <c r="CM153" s="2710">
        <f>0</f>
        <v>0</v>
      </c>
      <c r="CN153" s="2710">
        <f>0</f>
        <v>0</v>
      </c>
      <c r="CO153" s="2827">
        <f>b_MEOLO_T*X_MEOLO*(η_b_ana*M_inhSNO2_KNO2_MEOLO*M_inhSNO3_KNO3_MEOLO*M_inhSO2_KiO2_MEOLO+m_tox_ana)</f>
        <v>5.0309909039684476E-7</v>
      </c>
      <c r="CQ153" s="2650">
        <f>E248*E153+F248*F153+G248*G153+H248*H153+I248*I153+J248*J153+K248*K153+L248*L153+M248*M153+N248*N153+O248*O153+P248*P153+Q248*Q153+R248*R153+S248*S153+T248*T153+U248*U153+V248*V153+W248*W153+X248*X153+Y248*Y153+Z248*Z153+AA248*AA153+AB248*AB153+AC248*AC153+AD248*AD153+AE248*AE153+AF248*AF153+AG248*AG153+AH248*AH153+AI248*AI153+AJ248*AJ153+AK248*AK153+AL248*AL153+AM248*AM153+AN248*AN153+AO248*AO153+AP248*AP153+AQ248*AQ153+AR248*AR153+AS248*AS153+AT248*AT153+AU248*AU153+AV248*AV153+AW248*AW153+AX248*AX153+AY248*AY153+AZ248*AZ153+BA248*BA153+BB248*BB153+BC248*BC153+BD248*BD153+BE248*BE153+BF248*BF153+BG248*BG153+BH248*BH153+BI248*BI153+BJ248*BJ153+BK248*BK153+BL248*BL153+BM248*BM153+BN248*BN153+BO248*BO153+BP248*BP153+BQ248*BQ153+BR248*BR153+BS248*BS153+BT248*BT153+BU248*BU153+BV248*BV153+BW248*BW153+BX248*BX153+BY248*BY153+BZ248*BZ153+CA248*CA153+CB248*CB153+CC248*CC153+CD248*CD153+CE248*CE153+CF248*CF153+CG248*CG153+CH248*CH153+CI248*CI153+CJ248*CJ153+CK248*CK153+CL248*CL153+CM248*CM153+CN248*CN153</f>
        <v>0</v>
      </c>
      <c r="CR153" s="2650">
        <f>E249*E153+F249*F153+G249*G153+H249*H153+I249*I153+J249*J153+K249*K153+L249*L153+M249*M153+N249*N153+O249*O153+P249*P153+Q249*Q153+R249*R153+S249*S153+T249*T153+U249*U153+V249*V153+W249*W153+X249*X153+Y249*Y153+Z249*Z153+AA249*AA153+AB249*AB153+AC249*AC153+AD249*AD153+AE249*AE153+AF249*AF153+AG249*AG153+AH249*AH153+AI249*AI153+AJ249*AJ153+AK249*AK153+AL249*AL153+AM249*AM153+AN249*AN153+AO249*AO153+AP249*AP153+AQ249*AQ153+AR249*AR153+AS249*AS153+AT249*AT153+AU249*AU153+AV249*AV153+AW249*AW153+AX249*AX153+AY249*AY153+AZ249*AZ153+BA249*BA153+BB249*BB153+BC249*BC153+BD249*BD153+BE249*BE153+BF249*BF153+BG249*BG153+BH249*BH153+BI249*BI153+BJ249*BJ153+BK249*BK153+BL249*BL153+BM249*BM153+BN249*BN153+BO249*BO153+BP249*BP153+BQ249*BQ153+BR249*BR153+BS249*BS153+BT249*BT153+BU249*BU153+BV249*BV153+BW249*BW153+BX249*BX153+BY249*BY153+BZ249*BZ153+CA249*CA153+CB249*CB153+CC249*CC153+CD249*CD153+CE249*CE153+CF249*CF153+CG249*CG153+CH249*CH153+CI249*CI153+CJ249*CJ153+CK249*CK153+CL249*CL153+CM249*CM153+CN249*CN153</f>
        <v>-1.3877787807814457E-17</v>
      </c>
      <c r="CS153" s="2651">
        <f>E250*E153+F250*F153+G250*G153+H250*H153+I250*I153+J250*J153+K250*K153+L250*L153+M250*M153+N250*N153+O250*O153+P250*P153+Q250*Q153+R250*R153+S250*S153+T250*T153+U250*U153+V250*V153+W250*W153+X250*X153+Y250*Y153+Z250*Z153+AA250*AA153+AB250*AB153+AC250*AC153+AD250*AD153+AE250*AE153+AF250*AF153+AG250*AG153+AH250*AH153+AI250*AI153+AJ250*AJ153+AK250*AK153+AL250*AL153+AM250*AM153+AN250*AN153+AO250*AO153+AP250*AP153+AQ250*AQ153+AR250*AR153+AS250*AS153+AT250*AT153+AU250*AU153+AV250*AV153+AW250*AW153+AX250*AX153+AY250*AY153+AZ250*AZ153+BA250*BA153+BB250*BB153+BC250*BC153+BD250*BD153+BE250*BE153+BF250*BF153+BG250*BG153+BH250*BH153+BI250*BI153+BJ250*BJ153+BK250*BK153+BL250*BL153+BM250*BM153+BN250*BN153+BO250*BO153+BP250*BP153+BQ250*BQ153+BR250*BR153+BS250*BS153+BT250*BT153+BU250*BU153+BV250*BV153+BW250*BW153+BX250*BX153+BY250*BY153+BZ250*BZ153+CA250*CA153+CB250*CB153+CC250*CC153+CD250*CD153+CE250*CE153+CF250*CF153+CG250*CG153+CH250*CH153+CI250*CI153+CJ250*CJ153+CK250*CK153+CL250*CL153+CM250*CM153+CN250*CN153</f>
        <v>0</v>
      </c>
      <c r="CT153" s="2652">
        <f>E251*E153+F251*F153+G251*G153+H251*H153+I251*I153+J251*J153+K251*K153+L251*L153+M251*M153+N251*N153+O251*O153+P251*P153+Q251*Q153+R251*R153+S251*S153+T251*T153+U251*U153+V251*V153+W251*W153+X251*X153+Y251*Y153+Z251*Z153+AA251*AA153+AB251*AB153+AC251*AC153+AD251*AD153+AE251*AE153+AF251*AF153+AG251*AG153+AH251*AH153+AI251*AI153+AJ251*AJ153+AK251*AK153+AL251*AL153+AM251*AM153+AN251*AN153+AO251*AO153+AP251*AP153+AQ251*AQ153+AR251*AR153+AS251*AS153+AT251*AT153+AU251*AU153+AV251*AV153+AW251*AW153+AX251*AX153+AY251*AY153+AZ251*AZ153+BA251*BA153+BB251*BB153+BC251*BC153+BD251*BD153+BE251*BE153+BF251*BF153+BG251*BG153+BH251*BH153+BI251*BI153+BJ251*BJ153+BK251*BK153+BL251*BL153+BM251*BM153+BN251*BN153+BO251*BO153+BP251*BP153+BQ251*BQ153+BR251*BR153+BS251*BS153+BT251*BT153+BU251*BU153+BV251*BV153+BW251*BW153+BX251*BX153+BY251*BY153+BZ251*BZ153+CA251*CA153+CB251*CB153+CC251*CC153+CD251*CD153+CE251*CE153+CF251*CF153+CG251*CG153+CH251*CH153+CI251*CI153+CJ251*CJ153+CK251*CK153+CL251*CL153+CM251*CM153+CN251*CN153</f>
        <v>0</v>
      </c>
      <c r="CU153" s="2652">
        <f>E252*E153+F252*F153+G252*G153+H252*H153+I252*I153+J252*J153+K252*K153+L252*L153+M252*M153+N252*N153+O252*O153+P252*P153+Q252*Q153+R252*R153+S252*S153+T252*T153+U252*U153+V252*V153+W252*W153+X252*X153+Y252*Y153+Z252*Z153+AA252*AA153+AB252*AB153+AC252*AC153+AD252*AD153+AE252*AE153+AF252*AF153+AG252*AG153+AH252*AH153+AI252*AI153+AJ252*AJ153+AK252*AK153+AL252*AL153+AM252*AM153+AN252*AN153+AO252*AO153+AP252*AP153+AQ252*AQ153+AR252*AR153+AS252*AS153+AT252*AT153+AU252*AU153+AV252*AV153+AW252*AW153+AX252*AX153+AY252*AY153+AZ252*AZ153+BA252*BA153+BB252*BB153+BC252*BC153+BD252*BD153+BE252*BE153+BF252*BF153+BG252*BG153+BH252*BH153+BI252*BI153+BJ252*BJ153+BK252*BK153+BL252*BL153+BM252*BM153+BN252*BN153+BO252*BO153+BP252*BP153+BQ252*BQ153+BR252*BR153+BS252*BS153+BT252*BT153+BU252*BU153+BV252*BV153+BW252*BW153+BX252*BX153+BY252*BY153+BZ252*BZ153+CA252*CA153+CB252*CB153+CC252*CC153+CD252*CD153+CE252*CE153+CF252*CF153+CG252*CG153+CH252*CH153+CI252*CI153+CJ252*CJ153+CK252*CK153+CL252*CL153+CM252*CM153+CN252*CN153</f>
        <v>0</v>
      </c>
      <c r="CV153" s="2652">
        <f>E253*E153+F253*F153+G253*G153+H253*H153+I253*I153+J253*J153+K253*K153+L253*L153+M253*M153+N253*N153+O253*O153+P253*P153+Q253*Q153+R253*R153+S253*S153+T253*T153+U253*U153+V253*V153+W253*W153+X253*X153+Y253*Y153+Z253*Z153+AA253*AA153+AB253*AB153+AC253*AC153+AD253*AD153+AE253*AE153+AF253*AF153+AG253*AG153+AH253*AH153+AI253*AI153+AJ253*AJ153+AK253*AK153+AL253*AL153+AM253*AM153+AN253*AN153+AO253*AO153+AP253*AP153+AQ253*AQ153+AR253*AR153+AS253*AS153+AT253*AT153+AU253*AU153+AV253*AV153+AW253*AW153+AX253*AX153+AY253*AY153+AZ253*AZ153+BA253*BA153+BB253*BB153+BC253*BC153+BD253*BD153+BE253*BE153+BF253*BF153+BG253*BG153+BH253*BH153+BI253*BI153+BJ253*BJ153+BK253*BK153+BL253*BL153+BM253*BM153+BN253*BN153+BO253*BO153+BP253*BP153+BQ253*BQ153+BR253*BR153+BS253*BS153+BT253*BT153+BU253*BU153+BV253*BV153+BW253*BW153+BX253*BX153+BY253*BY153+BZ253*BZ153+CA253*CA153+CB253*CB153+CC253*CC153+CD253*CD153+CE253*CE153+CF253*CF153+CG253*CG153+CH253*CH153+CI253*CI153+CJ253*CJ153+CK253*CK153+CL253*CL153+CM253*CM153+CN253*CN153</f>
        <v>0</v>
      </c>
      <c r="CW153" s="2652">
        <f>E254*E153+F254*F153+G254*G153+H254*H153+I254*I153+J254*J153+K254*K153+L254*L153+M254*M153+N254*N153+O254*O153+P254*P153+Q254*Q153+R254*R153+S254*S153+T254*T153+U254*U153+V254*V153+W254*W153+X254*X153+Y254*Y153+Z254*Z153+AA254*AA153+AB254*AB153+AC254*AC153+AD254*AD153+AE254*AE153+AF254*AF153+AG254*AG153+AH254*AH153+AI254*AI153+AJ254*AJ153+AK254*AK153+AL254*AL153+AM254*AM153+AN254*AN153+AO254*AO153+AP254*AP153+AQ254*AQ153+AR254*AR153+AS254*AS153+AT254*AT153+AU254*AU153+AV254*AV153+AW254*AW153+AX254*AX153+AY254*AY153+AZ254*AZ153+BA254*BA153+BB254*BB153+BC254*BC153+BD254*BD153+BE254*BE153+BF254*BF153+BG254*BG153+BH254*BH153+BI254*BI153+BJ254*BJ153+BK254*BK153+BL254*BL153+BM254*BM153+BN254*BN153+BO254*BO153+BP254*BP153+BQ254*BQ153+BR254*BR153+BS254*BS153+BT254*BT153+BU254*BU153+BV254*BV153+BW254*BW153+BX254*BX153+BY254*BY153+BZ254*BZ153+CA254*CA153+CB254*CB153+CC254*CC153+CD254*CD153+CE254*CE153+CF254*CF153+CG254*CG153+CH254*CH153+CI254*CI153+CJ254*CJ153+CK254*CK153+CL254*CL153+CM254*CM153+CN254*CN153</f>
        <v>0</v>
      </c>
      <c r="CX153" s="2652">
        <f>E255*E153+F255*F153+G255*G153+H255*H153+I255*I153+J255*J153+K255*K153+L255*L153+M255*M153+N255*N153+O255*O153+P255*P153+Q255*Q153+R255*R153+S255*S153+T255*T153+U255*U153+V255*V153+W255*W153+X255*X153+Y255*Y153+Z255*Z153+AA255*AA153+AB255*AB153+AC255*AC153+AD255*AD153+AE255*AE153+AF255*AF153+AG255*AG153+AH255*AH153+AI255*AI153+AJ255*AJ153+AK255*AK153+AL255*AL153+AM255*AM153+AN255*AN153+AO255*AO153+AP255*AP153+AQ255*AQ153+AR255*AR153+AS255*AS153+AT255*AT153+AU255*AU153+AV255*AV153+AW255*AW153+AX255*AX153+AY255*AY153+AZ255*AZ153+BA255*BA153+BB255*BB153+BC255*BC153+BD255*BD153+BE255*BE153+BF255*BF153+BG255*BG153+BH255*BH153+BI255*BI153+BJ255*BJ153+BK255*BK153+BL255*BL153+BM255*BM153+BN255*BN153+BO255*BO153+BP255*BP153+BQ255*BQ153+BR255*BR153+BS255*BS153+BT255*BT153+BU255*BU153+BV255*BV153+BW255*BW153+BX255*BX153+BY255*BY153+BZ255*BZ153+CA255*CA153+CB255*CB153+CC255*CC153+CD255*CD153+CE255*CE153+CF255*CF153+CG255*CG153+CH255*CH153+CI255*CI153+CJ255*CJ153+CK255*CK153+CL255*CL153+CM255*CM153+CN255*CN153</f>
        <v>0</v>
      </c>
      <c r="CY153" s="2652">
        <f>E256*E153+F256*F153+G256*G153+H256*H153+I256*I153+J256*J153+K256*K153+L256*L153+M256*M153+N256*N153+O256*O153+P256*P153+Q256*Q153+R256*R153+S256*S153+T256*T153+U256*U153+V256*V153+W256*W153+X256*X153+Y256*Y153+Z256*Z153+AA256*AA153+AB256*AB153+AC256*AC153+AD256*AD153+AE256*AE153+AF256*AF153+AG256*AG153+AH256*AH153+AI256*AI153+AJ256*AJ153+AK256*AK153+AL256*AL153+AM256*AM153+AN256*AN153+AO256*AO153+AP256*AP153+AQ256*AQ153+AR256*AR153+AS256*AS153+AT256*AT153+AU256*AU153+AV256*AV153+AW256*AW153+AX256*AX153+AY256*AY153+AZ256*AZ153+BA256*BA153+BB256*BB153+BC256*BC153+BD256*BD153+BE256*BE153+BF256*BF153+BG256*BG153+BH256*BH153+BI256*BI153+BJ256*BJ153+BK256*BK153+BL256*BL153+BM256*BM153+BN256*BN153+BO256*BO153+BP256*BP153+BQ256*BQ153+BR256*BR153+BS256*BS153+BT256*BT153+BU256*BU153+BV256*BV153+BW256*BW153+BX256*BX153+BY256*BY153+BZ256*BZ153+CA256*CA153+CB256*CB153+CC256*CC153+CD256*CD153+CE256*CE153+CF256*CF153+CG256*CG153+CH256*CH153+CI256*CI153+CJ256*CJ153+CK256*CK153+CL256*CL153+CM256*CM153+CN256*CN153</f>
        <v>0</v>
      </c>
      <c r="CZ153" s="2652">
        <f>E257*E153+F257*F153+G257*G153+H257*H153+I257*I153+J257*J153+K257*K153+L257*L153+M257*M153+N257*N153+O257*O153+P257*P153+Q257*Q153+R257*R153+S257*S153+T257*T153+U257*U153+V257*V153+W257*W153+X257*X153+Y257*Y153+Z257*Z153+AA257*AA153+AB257*AB153+AC257*AC153+AD257*AD153+AE257*AE153+AF257*AF153+AG257*AG153+AH257*AH153+AI257*AI153+AJ257*AJ153+AK257*AK153+AL257*AL153+AM257*AM153+AN257*AN153+AO257*AO153+AP257*AP153+AQ257*AQ153+AR257*AR153+AS257*AS153+AT257*AT153+AU257*AU153+AV257*AV153+AW257*AW153+AX257*AX153+AY257*AY153+AZ257*AZ153+BA257*BA153+BB257*BB153+BC257*BC153+BD257*BD153+BE257*BE153+BF257*BF153+BG257*BG153+BH257*BH153+BI257*BI153+BJ257*BJ153+BK257*BK153+BL257*BL153+BM257*BM153+BN257*BN153+BO257*BO153+BP257*BP153+BQ257*BQ153+BR257*BR153+BS257*BS153+BT257*BT153+BU257*BU153+BV257*BV153+BW257*BW153+BX257*BX153+BY257*BY153+BZ257*BZ153+CA257*CA153+CB257*CB153+CC257*CC153+CD257*CD153+CE257*CE153+CF257*CF153+CG257*CG153+CH257*CH153+CI257*CI153+CJ257*CJ153+CK257*CK153+CL257*CL153+CM257*CM153+CN257*CN153</f>
        <v>0</v>
      </c>
      <c r="DA153" s="2652">
        <f>E258*E153+F258*F153+G258*G153+H258*H153+I258*I153+J258*J153+K258*K153+L258*L153+M258*M153+N258*N153+O258*O153+P258*P153+Q258*Q153+R258*R153+S258*S153+T258*T153+U258*U153+V258*V153+W258*W153+X258*X153+Y258*Y153+Z258*Z153+AA258*AA153+AB258*AB153+AC258*AC153+AD258*AD153+AE258*AE153+AF258*AF153+AG258*AG153+AH258*AH153+AI258*AI153+AJ258*AJ153+AK258*AK153+AL258*AL153+AM258*AM153+AN258*AN153+AO258*AO153+AP258*AP153+AQ258*AQ153+AR258*AR153+AS258*AS153+AT258*AT153+AU258*AU153+AV258*AV153+AW258*AW153+AX258*AX153+AY258*AY153+AZ258*AZ153+BA258*BA153+BB258*BB153+BC258*BC153+BD258*BD153+BE258*BE153+BF258*BF153+BG258*BG153+BH258*BH153+BI258*BI153+BJ258*BJ153+BK258*BK153+BL258*BL153+BM258*BM153+BN258*BN153+BO258*BO153+BP258*BP153+BQ258*BQ153+BR258*BR153+BS258*BS153+BT258*BT153+BU258*BU153+BV258*BV153+BW258*BW153+BX258*BX153+BY258*BY153+BZ258*BZ153+CA258*CA153+CB258*CB153+CC258*CC153+CD258*CD153+CE258*CE153+CF258*CF153+CG258*CG153+CH258*CH153+CI258*CI153+CJ258*CJ153+CK258*CK153+CL258*CL153+CM258*CM153+CN258*CN153</f>
        <v>0</v>
      </c>
    </row>
    <row r="154" spans="2:105" ht="18" x14ac:dyDescent="0.25">
      <c r="B154" s="1083">
        <v>21</v>
      </c>
      <c r="C154" s="1073" t="s">
        <v>243</v>
      </c>
      <c r="D154" s="2590" t="s">
        <v>5302</v>
      </c>
      <c r="E154" s="2678">
        <f>0</f>
        <v>0</v>
      </c>
      <c r="F154" s="2678">
        <f>0</f>
        <v>0</v>
      </c>
      <c r="G154" s="2678">
        <f>0</f>
        <v>0</v>
      </c>
      <c r="H154" s="2678">
        <f>0</f>
        <v>0</v>
      </c>
      <c r="I154" s="2678">
        <f>0</f>
        <v>0</v>
      </c>
      <c r="J154" s="2678">
        <f>0</f>
        <v>0</v>
      </c>
      <c r="K154" s="2678">
        <f>0</f>
        <v>0</v>
      </c>
      <c r="L154" s="2678">
        <f>0</f>
        <v>0</v>
      </c>
      <c r="M154" s="2678">
        <f>0</f>
        <v>0</v>
      </c>
      <c r="N154" s="2678">
        <f>0</f>
        <v>0</v>
      </c>
      <c r="O154" s="2678">
        <f>0</f>
        <v>0</v>
      </c>
      <c r="P154" s="2681">
        <f>-(X_PHA_PAO/X_STC)/Y_CASTO_STC_ox</f>
        <v>-1.371742112482853</v>
      </c>
      <c r="Q154" s="2681">
        <f>-(X_PHA_GAO/X_STC)/Y_CASTO_STC_ox</f>
        <v>-0.20576131687242796</v>
      </c>
      <c r="R154" s="2678">
        <f>0</f>
        <v>0</v>
      </c>
      <c r="S154" s="2678">
        <f>0</f>
        <v>0</v>
      </c>
      <c r="T154" s="2678">
        <f>0</f>
        <v>0</v>
      </c>
      <c r="U154" s="2678">
        <f>0</f>
        <v>0</v>
      </c>
      <c r="V154" s="2678">
        <f>1</f>
        <v>1</v>
      </c>
      <c r="W154" s="2678">
        <f>0</f>
        <v>0</v>
      </c>
      <c r="X154" s="2678">
        <f>0</f>
        <v>0</v>
      </c>
      <c r="Y154" s="2678">
        <f>0</f>
        <v>0</v>
      </c>
      <c r="Z154" s="2678">
        <f>0</f>
        <v>0</v>
      </c>
      <c r="AA154" s="2678">
        <f>0</f>
        <v>0</v>
      </c>
      <c r="AB154" s="2678">
        <f>0</f>
        <v>0</v>
      </c>
      <c r="AC154" s="2741">
        <f>0</f>
        <v>0</v>
      </c>
      <c r="AD154" s="2678">
        <f>-i_N_BIO</f>
        <v>-7.0000000000000007E-2</v>
      </c>
      <c r="AE154" s="2678">
        <f>0</f>
        <v>0</v>
      </c>
      <c r="AF154" s="2678">
        <f>0</f>
        <v>0</v>
      </c>
      <c r="AG154" s="2678">
        <f>0</f>
        <v>0</v>
      </c>
      <c r="AH154" s="2678">
        <f>0</f>
        <v>0</v>
      </c>
      <c r="AI154" s="2678">
        <f>0</f>
        <v>0</v>
      </c>
      <c r="AJ154" s="2678">
        <f>0</f>
        <v>0</v>
      </c>
      <c r="AK154" s="2678">
        <f>0</f>
        <v>0</v>
      </c>
      <c r="AL154" s="2681">
        <f>-i_P_BIO</f>
        <v>-0.02</v>
      </c>
      <c r="AM154" s="2678">
        <f>0</f>
        <v>0</v>
      </c>
      <c r="AN154" s="2678">
        <f>0</f>
        <v>0</v>
      </c>
      <c r="AO154" s="2678">
        <f>0</f>
        <v>0</v>
      </c>
      <c r="AP154" s="2678">
        <f>0</f>
        <v>0</v>
      </c>
      <c r="AQ154" s="2678">
        <f>0</f>
        <v>0</v>
      </c>
      <c r="AR154" s="2681">
        <f>-(1-Y_CASTO_STC_ox)/Y_CASTO_STC_ox</f>
        <v>-0.57750342935528098</v>
      </c>
      <c r="AS154" s="2681">
        <f>0</f>
        <v>0</v>
      </c>
      <c r="AT154" s="2681">
        <f>0</f>
        <v>0</v>
      </c>
      <c r="AU154" s="2681">
        <f>(i_CIT_STC/Y_CASTO_STC_ox)-i_CIT_BIO</f>
        <v>0.1733086419753086</v>
      </c>
      <c r="AV154" s="2681">
        <f>i_INORG</f>
        <v>0.11</v>
      </c>
      <c r="AW154" s="2681">
        <f>-i_INORG*(1-i_Ca_INORG*(A_MCa+2*A_MCl)/A_MCa-i_Mg_INORG*(A_MMg+2*A_MCl)/A_MMg)*f_Na</f>
        <v>-2.8804303582798466E-2</v>
      </c>
      <c r="AX154" s="2681">
        <f>-i_INORG*(i_Ca_INORG*(2*A_MCl)/A_MCa+i_Mg_INORG*(2*A_MCl)/A_MMg)-i_INORG*(1-i_Ca_INORG*(A_MCa+2*A_MCl)/A_MCa-i_Mg_INORG*(A_MMg+2*A_MCl)/A_MMg)*(1-f_Na)</f>
        <v>-7.0195696417201539E-2</v>
      </c>
      <c r="AY154" s="2681">
        <f>-i_INORG*i_Ca_INORG</f>
        <v>-5.5000000000000005E-3</v>
      </c>
      <c r="AZ154" s="2681">
        <f>-i_INORG*i_Mg_INORG</f>
        <v>-5.5000000000000005E-3</v>
      </c>
      <c r="BA154" s="2681">
        <f>0</f>
        <v>0</v>
      </c>
      <c r="BB154" s="2681">
        <f>0</f>
        <v>0</v>
      </c>
      <c r="BC154" s="2681">
        <f>0</f>
        <v>0</v>
      </c>
      <c r="BD154" s="2681">
        <f>0</f>
        <v>0</v>
      </c>
      <c r="BE154" s="2681">
        <f>0</f>
        <v>0</v>
      </c>
      <c r="BF154" s="2681">
        <f>0</f>
        <v>0</v>
      </c>
      <c r="BG154" s="2681">
        <f>0</f>
        <v>0</v>
      </c>
      <c r="BH154" s="2681">
        <f>0</f>
        <v>0</v>
      </c>
      <c r="BI154" s="2681">
        <f>0</f>
        <v>0</v>
      </c>
      <c r="BJ154" s="2766">
        <f>0</f>
        <v>0</v>
      </c>
      <c r="BK154" s="2766">
        <f>0</f>
        <v>0</v>
      </c>
      <c r="BL154" s="2766">
        <f>0</f>
        <v>0</v>
      </c>
      <c r="BM154" s="2766">
        <f>0</f>
        <v>0</v>
      </c>
      <c r="BN154" s="2766">
        <f>0</f>
        <v>0</v>
      </c>
      <c r="BO154" s="2766">
        <f>0</f>
        <v>0</v>
      </c>
      <c r="BP154" s="2766">
        <f>0</f>
        <v>0</v>
      </c>
      <c r="BQ154" s="2681">
        <f>0</f>
        <v>0</v>
      </c>
      <c r="BR154" s="2681">
        <f>0</f>
        <v>0</v>
      </c>
      <c r="BS154" s="2766">
        <f>0</f>
        <v>0</v>
      </c>
      <c r="BT154" s="2681">
        <f>0</f>
        <v>0</v>
      </c>
      <c r="BU154" s="2681">
        <f>0</f>
        <v>0</v>
      </c>
      <c r="BV154" s="2758">
        <f>0</f>
        <v>0</v>
      </c>
      <c r="BW154" s="2758">
        <f>0</f>
        <v>0</v>
      </c>
      <c r="BX154" s="2758">
        <f>0</f>
        <v>0</v>
      </c>
      <c r="BY154" s="2758">
        <f>0</f>
        <v>0</v>
      </c>
      <c r="BZ154" s="2681">
        <f>0</f>
        <v>0</v>
      </c>
      <c r="CA154" s="2681">
        <f>0</f>
        <v>0</v>
      </c>
      <c r="CB154" s="2728">
        <f>0</f>
        <v>0</v>
      </c>
      <c r="CC154" s="2681">
        <f>0</f>
        <v>0</v>
      </c>
      <c r="CD154" s="2681">
        <f>0</f>
        <v>0</v>
      </c>
      <c r="CE154" s="2681">
        <f>0</f>
        <v>0</v>
      </c>
      <c r="CF154" s="2681">
        <f>0</f>
        <v>0</v>
      </c>
      <c r="CG154" s="2681">
        <f>0</f>
        <v>0</v>
      </c>
      <c r="CH154" s="2681">
        <f>0</f>
        <v>0</v>
      </c>
      <c r="CI154" s="2681">
        <f>0</f>
        <v>0</v>
      </c>
      <c r="CJ154" s="2681">
        <f>0</f>
        <v>0</v>
      </c>
      <c r="CK154" s="2681">
        <f>0</f>
        <v>0</v>
      </c>
      <c r="CL154" s="2681">
        <f>0</f>
        <v>0</v>
      </c>
      <c r="CM154" s="2681">
        <f>0</f>
        <v>0</v>
      </c>
      <c r="CN154" s="2681">
        <f>0</f>
        <v>0</v>
      </c>
      <c r="CO154" s="2828">
        <f>µ_CASTO_T*X_CASTO*M_RsatXSTC_XCASTO_KSTC*M_satSO2_KO2_CASTO*M_satSNHx_KNHx_BIO*M_satSPO4_KPO4_BIO*M_satSCAT_KCAT*M_satSAN_KAN*M_satSCa_KCa_PAO*M_satSMg_KMg_PAO*B_ellinhpH</f>
        <v>151.76849076728641</v>
      </c>
      <c r="CQ154" s="2650">
        <f>E248*E154+F248*F154+G248*G154+H248*H154+I248*I154+J248*J154+K248*K154+L248*L154+M248*M154+N248*N154+O248*O154+P248*P154+Q248*Q154+R248*R154+S248*S154+T248*T154+U248*U154+V248*V154+W248*W154+X248*X154+Y248*Y154+Z248*Z154+AA248*AA154+AB248*AB154+AC248*AC154+AD248*AD154+AE248*AE154+AF248*AF154+AG248*AG154+AH248*AH154+AI248*AI154+AJ248*AJ154+AK248*AK154+AL248*AL154+AM248*AM154+AN248*AN154+AO248*AO154+AP248*AP154+AQ248*AQ154+AR248*AR154+AS248*AS154+AT248*AT154+AU248*AU154+AV248*AV154+AW248*AW154+AX248*AX154+AY248*AY154+AZ248*AZ154+BA248*BA154+BB248*BB154+BC248*BC154+BD248*BD154+BE248*BE154+BF248*BF154+BG248*BG154+BH248*BH154+BI248*BI154+BJ248*BJ154+BK248*BK154+BL248*BL154+BM248*BM154+BN248*BN154+BO248*BO154+BP248*BP154+BQ248*BQ154+BR248*BR154+BS248*BS154+BT248*BT154+BU248*BU154+BV248*BV154+BW248*BW154+BX248*BX154+BY248*BY154+BZ248*BZ154+CA248*CA154+CB248*CB154+CC248*CC154+CD248*CD154+CE248*CE154+CF248*CF154+CG248*CG154+CH248*CH154+CI248*CI154+CJ248*CJ154+CK248*CK154+CL248*CL154+CM248*CM154+CN248*CN154</f>
        <v>0</v>
      </c>
      <c r="CR154" s="2650">
        <f>E249*E154+F249*F154+G249*G154+H249*H154+I249*I154+J249*J154+K249*K154+L249*L154+M249*M154+N249*N154+O249*O154+P249*P154+Q249*Q154+R249*R154+S249*S154+T249*T154+U249*U154+V249*V154+W249*W154+X249*X154+Y249*Y154+Z249*Z154+AA249*AA154+AB249*AB154+AC249*AC154+AD249*AD154+AE249*AE154+AF249*AF154+AG249*AG154+AH249*AH154+AI249*AI154+AJ249*AJ154+AK249*AK154+AL249*AL154+AM249*AM154+AN249*AN154+AO249*AO154+AP249*AP154+AQ249*AQ154+AR249*AR154+AS249*AS154+AT249*AT154+AU249*AU154+AV249*AV154+AW249*AW154+AX249*AX154+AY249*AY154+AZ249*AZ154+BA249*BA154+BB249*BB154+BC249*BC154+BD249*BD154+BE249*BE154+BF249*BF154+BG249*BG154+BH249*BH154+BI249*BI154+BJ249*BJ154+BK249*BK154+BL249*BL154+BM249*BM154+BN249*BN154+BO249*BO154+BP249*BP154+BQ249*BQ154+BR249*BR154+BS249*BS154+BT249*BT154+BU249*BU154+BV249*BV154+BW249*BW154+BX249*BX154+BY249*BY154+BZ249*BZ154+CA249*CA154+CB249*CB154+CC249*CC154+CD249*CD154+CE249*CE154+CF249*CF154+CG249*CG154+CH249*CH154+CI249*CI154+CJ249*CJ154+CK249*CK154+CL249*CL154+CM249*CM154+CN249*CN154</f>
        <v>0</v>
      </c>
      <c r="CS154" s="2651">
        <f>E250*E154+F250*F154+G250*G154+H250*H154+I250*I154+J250*J154+K250*K154+L250*L154+M250*M154+N250*N154+O250*O154+P250*P154+Q250*Q154+R250*R154+S250*S154+T250*T154+U250*U154+V250*V154+W250*W154+X250*X154+Y250*Y154+Z250*Z154+AA250*AA154+AB250*AB154+AC250*AC154+AD250*AD154+AE250*AE154+AF250*AF154+AG250*AG154+AH250*AH154+AI250*AI154+AJ250*AJ154+AK250*AK154+AL250*AL154+AM250*AM154+AN250*AN154+AO250*AO154+AP250*AP154+AQ250*AQ154+AR250*AR154+AS250*AS154+AT250*AT154+AU250*AU154+AV250*AV154+AW250*AW154+AX250*AX154+AY250*AY154+AZ250*AZ154+BA250*BA154+BB250*BB154+BC250*BC154+BD250*BD154+BE250*BE154+BF250*BF154+BG250*BG154+BH250*BH154+BI250*BI154+BJ250*BJ154+BK250*BK154+BL250*BL154+BM250*BM154+BN250*BN154+BO250*BO154+BP250*BP154+BQ250*BQ154+BR250*BR154+BS250*BS154+BT250*BT154+BU250*BU154+BV250*BV154+BW250*BW154+BX250*BX154+BY250*BY154+BZ250*BZ154+CA250*CA154+CB250*CB154+CC250*CC154+CD250*CD154+CE250*CE154+CF250*CF154+CG250*CG154+CH250*CH154+CI250*CI154+CJ250*CJ154+CK250*CK154+CL250*CL154+CM250*CM154+CN250*CN154</f>
        <v>0</v>
      </c>
      <c r="CT154" s="2652">
        <f>E251*E154+F251*F154+G251*G154+H251*H154+I251*I154+J251*J154+K251*K154+L251*L154+M251*M154+N251*N154+O251*O154+P251*P154+Q251*Q154+R251*R154+S251*S154+T251*T154+U251*U154+V251*V154+W251*W154+X251*X154+Y251*Y154+Z251*Z154+AA251*AA154+AB251*AB154+AC251*AC154+AD251*AD154+AE251*AE154+AF251*AF154+AG251*AG154+AH251*AH154+AI251*AI154+AJ251*AJ154+AK251*AK154+AL251*AL154+AM251*AM154+AN251*AN154+AO251*AO154+AP251*AP154+AQ251*AQ154+AR251*AR154+AS251*AS154+AT251*AT154+AU251*AU154+AV251*AV154+AW251*AW154+AX251*AX154+AY251*AY154+AZ251*AZ154+BA251*BA154+BB251*BB154+BC251*BC154+BD251*BD154+BE251*BE154+BF251*BF154+BG251*BG154+BH251*BH154+BI251*BI154+BJ251*BJ154+BK251*BK154+BL251*BL154+BM251*BM154+BN251*BN154+BO251*BO154+BP251*BP154+BQ251*BQ154+BR251*BR154+BS251*BS154+BT251*BT154+BU251*BU154+BV251*BV154+BW251*BW154+BX251*BX154+BY251*BY154+BZ251*BZ154+CA251*CA154+CB251*CB154+CC251*CC154+CD251*CD154+CE251*CE154+CF251*CF154+CG251*CG154+CH251*CH154+CI251*CI154+CJ251*CJ154+CK251*CK154+CL251*CL154+CM251*CM154+CN251*CN154</f>
        <v>0</v>
      </c>
      <c r="CU154" s="2652">
        <f>E252*E154+F252*F154+G252*G154+H252*H154+I252*I154+J252*J154+K252*K154+L252*L154+M252*M154+N252*N154+O252*O154+P252*P154+Q252*Q154+R252*R154+S252*S154+T252*T154+U252*U154+V252*V154+W252*W154+X252*X154+Y252*Y154+Z252*Z154+AA252*AA154+AB252*AB154+AC252*AC154+AD252*AD154+AE252*AE154+AF252*AF154+AG252*AG154+AH252*AH154+AI252*AI154+AJ252*AJ154+AK252*AK154+AL252*AL154+AM252*AM154+AN252*AN154+AO252*AO154+AP252*AP154+AQ252*AQ154+AR252*AR154+AS252*AS154+AT252*AT154+AU252*AU154+AV252*AV154+AW252*AW154+AX252*AX154+AY252*AY154+AZ252*AZ154+BA252*BA154+BB252*BB154+BC252*BC154+BD252*BD154+BE252*BE154+BF252*BF154+BG252*BG154+BH252*BH154+BI252*BI154+BJ252*BJ154+BK252*BK154+BL252*BL154+BM252*BM154+BN252*BN154+BO252*BO154+BP252*BP154+BQ252*BQ154+BR252*BR154+BS252*BS154+BT252*BT154+BU252*BU154+BV252*BV154+BW252*BW154+BX252*BX154+BY252*BY154+BZ252*BZ154+CA252*CA154+CB252*CB154+CC252*CC154+CD252*CD154+CE252*CE154+CF252*CF154+CG252*CG154+CH252*CH154+CI252*CI154+CJ252*CJ154+CK252*CK154+CL252*CL154+CM252*CM154+CN252*CN154</f>
        <v>0</v>
      </c>
      <c r="CV154" s="2652">
        <f>E253*E154+F253*F154+G253*G154+H253*H154+I253*I154+J253*J154+K253*K154+L253*L154+M253*M154+N253*N154+O253*O154+P253*P154+Q253*Q154+R253*R154+S253*S154+T253*T154+U253*U154+V253*V154+W253*W154+X253*X154+Y253*Y154+Z253*Z154+AA253*AA154+AB253*AB154+AC253*AC154+AD253*AD154+AE253*AE154+AF253*AF154+AG253*AG154+AH253*AH154+AI253*AI154+AJ253*AJ154+AK253*AK154+AL253*AL154+AM253*AM154+AN253*AN154+AO253*AO154+AP253*AP154+AQ253*AQ154+AR253*AR154+AS253*AS154+AT253*AT154+AU253*AU154+AV253*AV154+AW253*AW154+AX253*AX154+AY253*AY154+AZ253*AZ154+BA253*BA154+BB253*BB154+BC253*BC154+BD253*BD154+BE253*BE154+BF253*BF154+BG253*BG154+BH253*BH154+BI253*BI154+BJ253*BJ154+BK253*BK154+BL253*BL154+BM253*BM154+BN253*BN154+BO253*BO154+BP253*BP154+BQ253*BQ154+BR253*BR154+BS253*BS154+BT253*BT154+BU253*BU154+BV253*BV154+BW253*BW154+BX253*BX154+BY253*BY154+BZ253*BZ154+CA253*CA154+CB253*CB154+CC253*CC154+CD253*CD154+CE253*CE154+CF253*CF154+CG253*CG154+CH253*CH154+CI253*CI154+CJ253*CJ154+CK253*CK154+CL253*CL154+CM253*CM154+CN253*CN154</f>
        <v>0</v>
      </c>
      <c r="CW154" s="2652">
        <f>E254*E154+F254*F154+G254*G154+H254*H154+I254*I154+J254*J154+K254*K154+L254*L154+M254*M154+N254*N154+O254*O154+P254*P154+Q254*Q154+R254*R154+S254*S154+T254*T154+U254*U154+V254*V154+W254*W154+X254*X154+Y254*Y154+Z254*Z154+AA254*AA154+AB254*AB154+AC254*AC154+AD254*AD154+AE254*AE154+AF254*AF154+AG254*AG154+AH254*AH154+AI254*AI154+AJ254*AJ154+AK254*AK154+AL254*AL154+AM254*AM154+AN254*AN154+AO254*AO154+AP254*AP154+AQ254*AQ154+AR254*AR154+AS254*AS154+AT254*AT154+AU254*AU154+AV254*AV154+AW254*AW154+AX254*AX154+AY254*AY154+AZ254*AZ154+BA254*BA154+BB254*BB154+BC254*BC154+BD254*BD154+BE254*BE154+BF254*BF154+BG254*BG154+BH254*BH154+BI254*BI154+BJ254*BJ154+BK254*BK154+BL254*BL154+BM254*BM154+BN254*BN154+BO254*BO154+BP254*BP154+BQ254*BQ154+BR254*BR154+BS254*BS154+BT254*BT154+BU254*BU154+BV254*BV154+BW254*BW154+BX254*BX154+BY254*BY154+BZ254*BZ154+CA254*CA154+CB254*CB154+CC254*CC154+CD254*CD154+CE254*CE154+CF254*CF154+CG254*CG154+CH254*CH154+CI254*CI154+CJ254*CJ154+CK254*CK154+CL254*CL154+CM254*CM154+CN254*CN154</f>
        <v>0</v>
      </c>
      <c r="CX154" s="2652">
        <f>E255*E154+F255*F154+G255*G154+H255*H154+I255*I154+J255*J154+K255*K154+L255*L154+M255*M154+N255*N154+O255*O154+P255*P154+Q255*Q154+R255*R154+S255*S154+T255*T154+U255*U154+V255*V154+W255*W154+X255*X154+Y255*Y154+Z255*Z154+AA255*AA154+AB255*AB154+AC255*AC154+AD255*AD154+AE255*AE154+AF255*AF154+AG255*AG154+AH255*AH154+AI255*AI154+AJ255*AJ154+AK255*AK154+AL255*AL154+AM255*AM154+AN255*AN154+AO255*AO154+AP255*AP154+AQ255*AQ154+AR255*AR154+AS255*AS154+AT255*AT154+AU255*AU154+AV255*AV154+AW255*AW154+AX255*AX154+AY255*AY154+AZ255*AZ154+BA255*BA154+BB255*BB154+BC255*BC154+BD255*BD154+BE255*BE154+BF255*BF154+BG255*BG154+BH255*BH154+BI255*BI154+BJ255*BJ154+BK255*BK154+BL255*BL154+BM255*BM154+BN255*BN154+BO255*BO154+BP255*BP154+BQ255*BQ154+BR255*BR154+BS255*BS154+BT255*BT154+BU255*BU154+BV255*BV154+BW255*BW154+BX255*BX154+BY255*BY154+BZ255*BZ154+CA255*CA154+CB255*CB154+CC255*CC154+CD255*CD154+CE255*CE154+CF255*CF154+CG255*CG154+CH255*CH154+CI255*CI154+CJ255*CJ154+CK255*CK154+CL255*CL154+CM255*CM154+CN255*CN154</f>
        <v>0</v>
      </c>
      <c r="CY154" s="2652">
        <f>E256*E154+F256*F154+G256*G154+H256*H154+I256*I154+J256*J154+K256*K154+L256*L154+M256*M154+N256*N154+O256*O154+P256*P154+Q256*Q154+R256*R154+S256*S154+T256*T154+U256*U154+V256*V154+W256*W154+X256*X154+Y256*Y154+Z256*Z154+AA256*AA154+AB256*AB154+AC256*AC154+AD256*AD154+AE256*AE154+AF256*AF154+AG256*AG154+AH256*AH154+AI256*AI154+AJ256*AJ154+AK256*AK154+AL256*AL154+AM256*AM154+AN256*AN154+AO256*AO154+AP256*AP154+AQ256*AQ154+AR256*AR154+AS256*AS154+AT256*AT154+AU256*AU154+AV256*AV154+AW256*AW154+AX256*AX154+AY256*AY154+AZ256*AZ154+BA256*BA154+BB256*BB154+BC256*BC154+BD256*BD154+BE256*BE154+BF256*BF154+BG256*BG154+BH256*BH154+BI256*BI154+BJ256*BJ154+BK256*BK154+BL256*BL154+BM256*BM154+BN256*BN154+BO256*BO154+BP256*BP154+BQ256*BQ154+BR256*BR154+BS256*BS154+BT256*BT154+BU256*BU154+BV256*BV154+BW256*BW154+BX256*BX154+BY256*BY154+BZ256*BZ154+CA256*CA154+CB256*CB154+CC256*CC154+CD256*CD154+CE256*CE154+CF256*CF154+CG256*CG154+CH256*CH154+CI256*CI154+CJ256*CJ154+CK256*CK154+CL256*CL154+CM256*CM154+CN256*CN154</f>
        <v>0</v>
      </c>
      <c r="CZ154" s="2652">
        <f>E257*E154+F257*F154+G257*G154+H257*H154+I257*I154+J257*J154+K257*K154+L257*L154+M257*M154+N257*N154+O257*O154+P257*P154+Q257*Q154+R257*R154+S257*S154+T257*T154+U257*U154+V257*V154+W257*W154+X257*X154+Y257*Y154+Z257*Z154+AA257*AA154+AB257*AB154+AC257*AC154+AD257*AD154+AE257*AE154+AF257*AF154+AG257*AG154+AH257*AH154+AI257*AI154+AJ257*AJ154+AK257*AK154+AL257*AL154+AM257*AM154+AN257*AN154+AO257*AO154+AP257*AP154+AQ257*AQ154+AR257*AR154+AS257*AS154+AT257*AT154+AU257*AU154+AV257*AV154+AW257*AW154+AX257*AX154+AY257*AY154+AZ257*AZ154+BA257*BA154+BB257*BB154+BC257*BC154+BD257*BD154+BE257*BE154+BF257*BF154+BG257*BG154+BH257*BH154+BI257*BI154+BJ257*BJ154+BK257*BK154+BL257*BL154+BM257*BM154+BN257*BN154+BO257*BO154+BP257*BP154+BQ257*BQ154+BR257*BR154+BS257*BS154+BT257*BT154+BU257*BU154+BV257*BV154+BW257*BW154+BX257*BX154+BY257*BY154+BZ257*BZ154+CA257*CA154+CB257*CB154+CC257*CC154+CD257*CD154+CE257*CE154+CF257*CF154+CG257*CG154+CH257*CH154+CI257*CI154+CJ257*CJ154+CK257*CK154+CL257*CL154+CM257*CM154+CN257*CN154</f>
        <v>0</v>
      </c>
      <c r="DA154" s="2652">
        <f>E258*E154+F258*F154+G258*G154+H258*H154+I258*I154+J258*J154+K258*K154+L258*L154+M258*M154+N258*N154+O258*O154+P258*P154+Q258*Q154+R258*R154+S258*S154+T258*T154+U258*U154+V258*V154+W258*W154+X258*X154+Y258*Y154+Z258*Z154+AA258*AA154+AB258*AB154+AC258*AC154+AD258*AD154+AE258*AE154+AF258*AF154+AG258*AG154+AH258*AH154+AI258*AI154+AJ258*AJ154+AK258*AK154+AL258*AL154+AM258*AM154+AN258*AN154+AO258*AO154+AP258*AP154+AQ258*AQ154+AR258*AR154+AS258*AS154+AT258*AT154+AU258*AU154+AV258*AV154+AW258*AW154+AX258*AX154+AY258*AY154+AZ258*AZ154+BA258*BA154+BB258*BB154+BC258*BC154+BD258*BD154+BE258*BE154+BF258*BF154+BG258*BG154+BH258*BH154+BI258*BI154+BJ258*BJ154+BK258*BK154+BL258*BL154+BM258*BM154+BN258*BN154+BO258*BO154+BP258*BP154+BQ258*BQ154+BR258*BR154+BS258*BS154+BT258*BT154+BU258*BU154+BV258*BV154+BW258*BW154+BX258*BX154+BY258*BY154+BZ258*BZ154+CA258*CA154+CB258*CB154+CC258*CC154+CD258*CD154+CE258*CE154+CF258*CF154+CG258*CG154+CH258*CH154+CI258*CI154+CJ258*CJ154+CK258*CK154+CL258*CL154+CM258*CM154+CN258*CN154</f>
        <v>0</v>
      </c>
    </row>
    <row r="155" spans="2:105" ht="18" x14ac:dyDescent="0.25">
      <c r="B155" s="1083">
        <v>22</v>
      </c>
      <c r="C155" s="1073" t="s">
        <v>244</v>
      </c>
      <c r="D155" s="2590" t="s">
        <v>5303</v>
      </c>
      <c r="E155" s="2678">
        <f>0</f>
        <v>0</v>
      </c>
      <c r="F155" s="2678">
        <f>0</f>
        <v>0</v>
      </c>
      <c r="G155" s="2678">
        <f>0</f>
        <v>0</v>
      </c>
      <c r="H155" s="2678">
        <f>0</f>
        <v>0</v>
      </c>
      <c r="I155" s="2678">
        <f>0</f>
        <v>0</v>
      </c>
      <c r="J155" s="2678">
        <f>0</f>
        <v>0</v>
      </c>
      <c r="K155" s="2678">
        <f>0</f>
        <v>0</v>
      </c>
      <c r="L155" s="2678">
        <f>0</f>
        <v>0</v>
      </c>
      <c r="M155" s="2678">
        <f>0</f>
        <v>0</v>
      </c>
      <c r="N155" s="2678">
        <f>0</f>
        <v>0</v>
      </c>
      <c r="O155" s="2678">
        <f>0</f>
        <v>0</v>
      </c>
      <c r="P155" s="2681">
        <f>-(X_PHA_PAO/X_STC)/Y_CASTO_STC_anox</f>
        <v>-1.680672268907563</v>
      </c>
      <c r="Q155" s="2681">
        <f>-(X_PHA_GAO/X_STC)/Y_CASTO_STC_anox</f>
        <v>-0.25210084033613445</v>
      </c>
      <c r="R155" s="2678">
        <f>0</f>
        <v>0</v>
      </c>
      <c r="S155" s="2678">
        <f>0</f>
        <v>0</v>
      </c>
      <c r="T155" s="2678">
        <f>0</f>
        <v>0</v>
      </c>
      <c r="U155" s="2678">
        <f>0</f>
        <v>0</v>
      </c>
      <c r="V155" s="2678">
        <f>1</f>
        <v>1</v>
      </c>
      <c r="W155" s="2678">
        <f>0</f>
        <v>0</v>
      </c>
      <c r="X155" s="2678">
        <f>0</f>
        <v>0</v>
      </c>
      <c r="Y155" s="2678">
        <f>0</f>
        <v>0</v>
      </c>
      <c r="Z155" s="2678">
        <f>0</f>
        <v>0</v>
      </c>
      <c r="AA155" s="2678">
        <f>0</f>
        <v>0</v>
      </c>
      <c r="AB155" s="2678">
        <f>0</f>
        <v>0</v>
      </c>
      <c r="AC155" s="2741">
        <f>0</f>
        <v>0</v>
      </c>
      <c r="AD155" s="2678">
        <f>-i_N_BIO</f>
        <v>-7.0000000000000007E-2</v>
      </c>
      <c r="AE155" s="2681">
        <f>-(1-Y_CASTO_STC_anox)/(E_EQN2_NO2*Y_CASTO_STC_anox)</f>
        <v>-0.54439846116078094</v>
      </c>
      <c r="AF155" s="2681">
        <f>0</f>
        <v>0</v>
      </c>
      <c r="AG155" s="2681">
        <f>(1-Y_CASTO_STC_anox)/(E_EQN2_NO2*Y_CASTO_STC_anox)</f>
        <v>0.54439846116078094</v>
      </c>
      <c r="AH155" s="2678">
        <f>0</f>
        <v>0</v>
      </c>
      <c r="AI155" s="2678">
        <f>0</f>
        <v>0</v>
      </c>
      <c r="AJ155" s="2678">
        <f>0</f>
        <v>0</v>
      </c>
      <c r="AK155" s="2678">
        <f>0</f>
        <v>0</v>
      </c>
      <c r="AL155" s="2681">
        <f>-i_P_BIO</f>
        <v>-0.02</v>
      </c>
      <c r="AM155" s="2678">
        <f>0</f>
        <v>0</v>
      </c>
      <c r="AN155" s="2678">
        <f>0</f>
        <v>0</v>
      </c>
      <c r="AO155" s="2678">
        <f>0</f>
        <v>0</v>
      </c>
      <c r="AP155" s="2678">
        <f>0</f>
        <v>0</v>
      </c>
      <c r="AQ155" s="2678">
        <f>0</f>
        <v>0</v>
      </c>
      <c r="AR155" s="2681">
        <f>0</f>
        <v>0</v>
      </c>
      <c r="AS155" s="2681">
        <f>0</f>
        <v>0</v>
      </c>
      <c r="AT155" s="2681">
        <f>0</f>
        <v>0</v>
      </c>
      <c r="AU155" s="2681">
        <f>(i_CIT_STC/Y_CASTO_STC_anox)-i_CIT_BIO</f>
        <v>0.29161344537815126</v>
      </c>
      <c r="AV155" s="2681">
        <f>i_INORG</f>
        <v>0.11</v>
      </c>
      <c r="AW155" s="2681">
        <f>-i_INORG*(1-i_Ca_INORG*(A_MCa+2*A_MCl)/A_MCa-i_Mg_INORG*(A_MMg+2*A_MCl)/A_MMg)*f_Na</f>
        <v>-2.8804303582798466E-2</v>
      </c>
      <c r="AX155" s="2681">
        <f>-i_INORG*(i_Ca_INORG*(2*A_MCl)/A_MCa+i_Mg_INORG*(2*A_MCl)/A_MMg)-i_INORG*(1-i_Ca_INORG*(A_MCa+2*A_MCl)/A_MCa-i_Mg_INORG*(A_MMg+2*A_MCl)/A_MMg)*(1-f_Na)</f>
        <v>-7.0195696417201539E-2</v>
      </c>
      <c r="AY155" s="2681">
        <f>-i_INORG*i_Ca_INORG</f>
        <v>-5.5000000000000005E-3</v>
      </c>
      <c r="AZ155" s="2681">
        <f>-i_INORG*i_Mg_INORG</f>
        <v>-5.5000000000000005E-3</v>
      </c>
      <c r="BA155" s="2681">
        <f>0</f>
        <v>0</v>
      </c>
      <c r="BB155" s="2681">
        <f>0</f>
        <v>0</v>
      </c>
      <c r="BC155" s="2681">
        <f>0</f>
        <v>0</v>
      </c>
      <c r="BD155" s="2681">
        <f>0</f>
        <v>0</v>
      </c>
      <c r="BE155" s="2681">
        <f>0</f>
        <v>0</v>
      </c>
      <c r="BF155" s="2681">
        <f>0</f>
        <v>0</v>
      </c>
      <c r="BG155" s="2681">
        <f>0</f>
        <v>0</v>
      </c>
      <c r="BH155" s="2681">
        <f>0</f>
        <v>0</v>
      </c>
      <c r="BI155" s="2681">
        <f>0</f>
        <v>0</v>
      </c>
      <c r="BJ155" s="2766">
        <f>0</f>
        <v>0</v>
      </c>
      <c r="BK155" s="2766">
        <f>0</f>
        <v>0</v>
      </c>
      <c r="BL155" s="2766">
        <f>0</f>
        <v>0</v>
      </c>
      <c r="BM155" s="2766">
        <f>0</f>
        <v>0</v>
      </c>
      <c r="BN155" s="2766">
        <f>0</f>
        <v>0</v>
      </c>
      <c r="BO155" s="2766">
        <f>0</f>
        <v>0</v>
      </c>
      <c r="BP155" s="2766">
        <f>0</f>
        <v>0</v>
      </c>
      <c r="BQ155" s="2681">
        <f>0</f>
        <v>0</v>
      </c>
      <c r="BR155" s="2681">
        <f>0</f>
        <v>0</v>
      </c>
      <c r="BS155" s="2766">
        <f>0</f>
        <v>0</v>
      </c>
      <c r="BT155" s="2681">
        <f>0</f>
        <v>0</v>
      </c>
      <c r="BU155" s="2681">
        <f>0</f>
        <v>0</v>
      </c>
      <c r="BV155" s="2758">
        <f>0</f>
        <v>0</v>
      </c>
      <c r="BW155" s="2758">
        <f>0</f>
        <v>0</v>
      </c>
      <c r="BX155" s="2758">
        <f>0</f>
        <v>0</v>
      </c>
      <c r="BY155" s="2758">
        <f>0</f>
        <v>0</v>
      </c>
      <c r="BZ155" s="2681">
        <f>0</f>
        <v>0</v>
      </c>
      <c r="CA155" s="2681">
        <f>0</f>
        <v>0</v>
      </c>
      <c r="CB155" s="2728">
        <f>0</f>
        <v>0</v>
      </c>
      <c r="CC155" s="2681">
        <f>0</f>
        <v>0</v>
      </c>
      <c r="CD155" s="2681">
        <f>0</f>
        <v>0</v>
      </c>
      <c r="CE155" s="2681">
        <f>0</f>
        <v>0</v>
      </c>
      <c r="CF155" s="2681">
        <f>0</f>
        <v>0</v>
      </c>
      <c r="CG155" s="2681">
        <f>0</f>
        <v>0</v>
      </c>
      <c r="CH155" s="2681">
        <f>0</f>
        <v>0</v>
      </c>
      <c r="CI155" s="2681">
        <f>0</f>
        <v>0</v>
      </c>
      <c r="CJ155" s="2681">
        <f>0</f>
        <v>0</v>
      </c>
      <c r="CK155" s="2681">
        <f>0</f>
        <v>0</v>
      </c>
      <c r="CL155" s="2681">
        <f>0</f>
        <v>0</v>
      </c>
      <c r="CM155" s="2681">
        <f>0</f>
        <v>0</v>
      </c>
      <c r="CN155" s="2681">
        <f>0</f>
        <v>0</v>
      </c>
      <c r="CO155" s="2828">
        <f>µ_CASTO_T*X_CASTO*η_CASTO_anox*M_RsatXSTC_XCASTO_KSTC*M_satSNO2_KNO2_CASTO*M_inhSO2_KO2_CASTO*M_satSNHx_KNHx_BIO*M_satSPO4_KPO4_BIO*M_satSCAT_KCAT*M_satSAN_KAN*M_satSCa_KCa_PAO*M_satSMg_KMg_PAO*B_ellinhpH</f>
        <v>1.6694533984401503</v>
      </c>
      <c r="CQ155" s="2650">
        <f>E248*E155+F248*F155+G248*G155+H248*H155+I248*I155+J248*J155+K248*K155+L248*L155+M248*M155+N248*N155+O248*O155+P248*P155+Q248*Q155+R248*R155+S248*S155+T248*T155+U248*U155+V248*V155+W248*W155+X248*X155+Y248*Y155+Z248*Z155+AA248*AA155+AB248*AB155+AC248*AC155+AD248*AD155+AE248*AE155+AF248*AF155+AG248*AG155+AH248*AH155+AI248*AI155+AJ248*AJ155+AK248*AK155+AL248*AL155+AM248*AM155+AN248*AN155+AO248*AO155+AP248*AP155+AQ248*AQ155+AR248*AR155+AS248*AS155+AT248*AT155+AU248*AU155+AV248*AV155+AW248*AW155+AX248*AX155+AY248*AY155+AZ248*AZ155+BA248*BA155+BB248*BB155+BC248*BC155+BD248*BD155+BE248*BE155+BF248*BF155+BG248*BG155+BH248*BH155+BI248*BI155+BJ248*BJ155+BK248*BK155+BL248*BL155+BM248*BM155+BN248*BN155+BO248*BO155+BP248*BP155+BQ248*BQ155+BR248*BR155+BS248*BS155+BT248*BT155+BU248*BU155+BV248*BV155+BW248*BW155+BX248*BX155+BY248*BY155+BZ248*BZ155+CA248*CA155+CB248*CB155+CC248*CC155+CD248*CD155+CE248*CE155+CF248*CF155+CG248*CG155+CH248*CH155+CI248*CI155+CJ248*CJ155+CK248*CK155+CL248*CL155+CM248*CM155+CN248*CN155</f>
        <v>-1.1102230246251565E-16</v>
      </c>
      <c r="CR155" s="2650">
        <f>E249*E155+F249*F155+G249*G155+H249*H155+I249*I155+J249*J155+K249*K155+L249*L155+M249*M155+N249*N155+O249*O155+P249*P155+Q249*Q155+R249*R155+S249*S155+T249*T155+U249*U155+V249*V155+W249*W155+X249*X155+Y249*Y155+Z249*Z155+AA249*AA155+AB249*AB155+AC249*AC155+AD249*AD155+AE249*AE155+AF249*AF155+AG249*AG155+AH249*AH155+AI249*AI155+AJ249*AJ155+AK249*AK155+AL249*AL155+AM249*AM155+AN249*AN155+AO249*AO155+AP249*AP155+AQ249*AQ155+AR249*AR155+AS249*AS155+AT249*AT155+AU249*AU155+AV249*AV155+AW249*AW155+AX249*AX155+AY249*AY155+AZ249*AZ155+BA249*BA155+BB249*BB155+BC249*BC155+BD249*BD155+BE249*BE155+BF249*BF155+BG249*BG155+BH249*BH155+BI249*BI155+BJ249*BJ155+BK249*BK155+BL249*BL155+BM249*BM155+BN249*BN155+BO249*BO155+BP249*BP155+BQ249*BQ155+BR249*BR155+BS249*BS155+BT249*BT155+BU249*BU155+BV249*BV155+BW249*BW155+BX249*BX155+BY249*BY155+BZ249*BZ155+CA249*CA155+CB249*CB155+CC249*CC155+CD249*CD155+CE249*CE155+CF249*CF155+CG249*CG155+CH249*CH155+CI249*CI155+CJ249*CJ155+CK249*CK155+CL249*CL155+CM249*CM155+CN249*CN155</f>
        <v>0</v>
      </c>
      <c r="CS155" s="2651">
        <f>E250*E155+F250*F155+G250*G155+H250*H155+I250*I155+J250*J155+K250*K155+L250*L155+M250*M155+N250*N155+O250*O155+P250*P155+Q250*Q155+R250*R155+S250*S155+T250*T155+U250*U155+V250*V155+W250*W155+X250*X155+Y250*Y155+Z250*Z155+AA250*AA155+AB250*AB155+AC250*AC155+AD250*AD155+AE250*AE155+AF250*AF155+AG250*AG155+AH250*AH155+AI250*AI155+AJ250*AJ155+AK250*AK155+AL250*AL155+AM250*AM155+AN250*AN155+AO250*AO155+AP250*AP155+AQ250*AQ155+AR250*AR155+AS250*AS155+AT250*AT155+AU250*AU155+AV250*AV155+AW250*AW155+AX250*AX155+AY250*AY155+AZ250*AZ155+BA250*BA155+BB250*BB155+BC250*BC155+BD250*BD155+BE250*BE155+BF250*BF155+BG250*BG155+BH250*BH155+BI250*BI155+BJ250*BJ155+BK250*BK155+BL250*BL155+BM250*BM155+BN250*BN155+BO250*BO155+BP250*BP155+BQ250*BQ155+BR250*BR155+BS250*BS155+BT250*BT155+BU250*BU155+BV250*BV155+BW250*BW155+BX250*BX155+BY250*BY155+BZ250*BZ155+CA250*CA155+CB250*CB155+CC250*CC155+CD250*CD155+CE250*CE155+CF250*CF155+CG250*CG155+CH250*CH155+CI250*CI155+CJ250*CJ155+CK250*CK155+CL250*CL155+CM250*CM155+CN250*CN155</f>
        <v>0</v>
      </c>
      <c r="CT155" s="2652">
        <f>E251*E155+F251*F155+G251*G155+H251*H155+I251*I155+J251*J155+K251*K155+L251*L155+M251*M155+N251*N155+O251*O155+P251*P155+Q251*Q155+R251*R155+S251*S155+T251*T155+U251*U155+V251*V155+W251*W155+X251*X155+Y251*Y155+Z251*Z155+AA251*AA155+AB251*AB155+AC251*AC155+AD251*AD155+AE251*AE155+AF251*AF155+AG251*AG155+AH251*AH155+AI251*AI155+AJ251*AJ155+AK251*AK155+AL251*AL155+AM251*AM155+AN251*AN155+AO251*AO155+AP251*AP155+AQ251*AQ155+AR251*AR155+AS251*AS155+AT251*AT155+AU251*AU155+AV251*AV155+AW251*AW155+AX251*AX155+AY251*AY155+AZ251*AZ155+BA251*BA155+BB251*BB155+BC251*BC155+BD251*BD155+BE251*BE155+BF251*BF155+BG251*BG155+BH251*BH155+BI251*BI155+BJ251*BJ155+BK251*BK155+BL251*BL155+BM251*BM155+BN251*BN155+BO251*BO155+BP251*BP155+BQ251*BQ155+BR251*BR155+BS251*BS155+BT251*BT155+BU251*BU155+BV251*BV155+BW251*BW155+BX251*BX155+BY251*BY155+BZ251*BZ155+CA251*CA155+CB251*CB155+CC251*CC155+CD251*CD155+CE251*CE155+CF251*CF155+CG251*CG155+CH251*CH155+CI251*CI155+CJ251*CJ155+CK251*CK155+CL251*CL155+CM251*CM155+CN251*CN155</f>
        <v>0</v>
      </c>
      <c r="CU155" s="2652">
        <f>E252*E155+F252*F155+G252*G155+H252*H155+I252*I155+J252*J155+K252*K155+L252*L155+M252*M155+N252*N155+O252*O155+P252*P155+Q252*Q155+R252*R155+S252*S155+T252*T155+U252*U155+V252*V155+W252*W155+X252*X155+Y252*Y155+Z252*Z155+AA252*AA155+AB252*AB155+AC252*AC155+AD252*AD155+AE252*AE155+AF252*AF155+AG252*AG155+AH252*AH155+AI252*AI155+AJ252*AJ155+AK252*AK155+AL252*AL155+AM252*AM155+AN252*AN155+AO252*AO155+AP252*AP155+AQ252*AQ155+AR252*AR155+AS252*AS155+AT252*AT155+AU252*AU155+AV252*AV155+AW252*AW155+AX252*AX155+AY252*AY155+AZ252*AZ155+BA252*BA155+BB252*BB155+BC252*BC155+BD252*BD155+BE252*BE155+BF252*BF155+BG252*BG155+BH252*BH155+BI252*BI155+BJ252*BJ155+BK252*BK155+BL252*BL155+BM252*BM155+BN252*BN155+BO252*BO155+BP252*BP155+BQ252*BQ155+BR252*BR155+BS252*BS155+BT252*BT155+BU252*BU155+BV252*BV155+BW252*BW155+BX252*BX155+BY252*BY155+BZ252*BZ155+CA252*CA155+CB252*CB155+CC252*CC155+CD252*CD155+CE252*CE155+CF252*CF155+CG252*CG155+CH252*CH155+CI252*CI155+CJ252*CJ155+CK252*CK155+CL252*CL155+CM252*CM155+CN252*CN155</f>
        <v>0</v>
      </c>
      <c r="CV155" s="2652">
        <f>E253*E155+F253*F155+G253*G155+H253*H155+I253*I155+J253*J155+K253*K155+L253*L155+M253*M155+N253*N155+O253*O155+P253*P155+Q253*Q155+R253*R155+S253*S155+T253*T155+U253*U155+V253*V155+W253*W155+X253*X155+Y253*Y155+Z253*Z155+AA253*AA155+AB253*AB155+AC253*AC155+AD253*AD155+AE253*AE155+AF253*AF155+AG253*AG155+AH253*AH155+AI253*AI155+AJ253*AJ155+AK253*AK155+AL253*AL155+AM253*AM155+AN253*AN155+AO253*AO155+AP253*AP155+AQ253*AQ155+AR253*AR155+AS253*AS155+AT253*AT155+AU253*AU155+AV253*AV155+AW253*AW155+AX253*AX155+AY253*AY155+AZ253*AZ155+BA253*BA155+BB253*BB155+BC253*BC155+BD253*BD155+BE253*BE155+BF253*BF155+BG253*BG155+BH253*BH155+BI253*BI155+BJ253*BJ155+BK253*BK155+BL253*BL155+BM253*BM155+BN253*BN155+BO253*BO155+BP253*BP155+BQ253*BQ155+BR253*BR155+BS253*BS155+BT253*BT155+BU253*BU155+BV253*BV155+BW253*BW155+BX253*BX155+BY253*BY155+BZ253*BZ155+CA253*CA155+CB253*CB155+CC253*CC155+CD253*CD155+CE253*CE155+CF253*CF155+CG253*CG155+CH253*CH155+CI253*CI155+CJ253*CJ155+CK253*CK155+CL253*CL155+CM253*CM155+CN253*CN155</f>
        <v>0</v>
      </c>
      <c r="CW155" s="2652">
        <f>E254*E155+F254*F155+G254*G155+H254*H155+I254*I155+J254*J155+K254*K155+L254*L155+M254*M155+N254*N155+O254*O155+P254*P155+Q254*Q155+R254*R155+S254*S155+T254*T155+U254*U155+V254*V155+W254*W155+X254*X155+Y254*Y155+Z254*Z155+AA254*AA155+AB254*AB155+AC254*AC155+AD254*AD155+AE254*AE155+AF254*AF155+AG254*AG155+AH254*AH155+AI254*AI155+AJ254*AJ155+AK254*AK155+AL254*AL155+AM254*AM155+AN254*AN155+AO254*AO155+AP254*AP155+AQ254*AQ155+AR254*AR155+AS254*AS155+AT254*AT155+AU254*AU155+AV254*AV155+AW254*AW155+AX254*AX155+AY254*AY155+AZ254*AZ155+BA254*BA155+BB254*BB155+BC254*BC155+BD254*BD155+BE254*BE155+BF254*BF155+BG254*BG155+BH254*BH155+BI254*BI155+BJ254*BJ155+BK254*BK155+BL254*BL155+BM254*BM155+BN254*BN155+BO254*BO155+BP254*BP155+BQ254*BQ155+BR254*BR155+BS254*BS155+BT254*BT155+BU254*BU155+BV254*BV155+BW254*BW155+BX254*BX155+BY254*BY155+BZ254*BZ155+CA254*CA155+CB254*CB155+CC254*CC155+CD254*CD155+CE254*CE155+CF254*CF155+CG254*CG155+CH254*CH155+CI254*CI155+CJ254*CJ155+CK254*CK155+CL254*CL155+CM254*CM155+CN254*CN155</f>
        <v>0</v>
      </c>
      <c r="CX155" s="2652">
        <f>E255*E155+F255*F155+G255*G155+H255*H155+I255*I155+J255*J155+K255*K155+L255*L155+M255*M155+N255*N155+O255*O155+P255*P155+Q255*Q155+R255*R155+S255*S155+T255*T155+U255*U155+V255*V155+W255*W155+X255*X155+Y255*Y155+Z255*Z155+AA255*AA155+AB255*AB155+AC255*AC155+AD255*AD155+AE255*AE155+AF255*AF155+AG255*AG155+AH255*AH155+AI255*AI155+AJ255*AJ155+AK255*AK155+AL255*AL155+AM255*AM155+AN255*AN155+AO255*AO155+AP255*AP155+AQ255*AQ155+AR255*AR155+AS255*AS155+AT255*AT155+AU255*AU155+AV255*AV155+AW255*AW155+AX255*AX155+AY255*AY155+AZ255*AZ155+BA255*BA155+BB255*BB155+BC255*BC155+BD255*BD155+BE255*BE155+BF255*BF155+BG255*BG155+BH255*BH155+BI255*BI155+BJ255*BJ155+BK255*BK155+BL255*BL155+BM255*BM155+BN255*BN155+BO255*BO155+BP255*BP155+BQ255*BQ155+BR255*BR155+BS255*BS155+BT255*BT155+BU255*BU155+BV255*BV155+BW255*BW155+BX255*BX155+BY255*BY155+BZ255*BZ155+CA255*CA155+CB255*CB155+CC255*CC155+CD255*CD155+CE255*CE155+CF255*CF155+CG255*CG155+CH255*CH155+CI255*CI155+CJ255*CJ155+CK255*CK155+CL255*CL155+CM255*CM155+CN255*CN155</f>
        <v>0</v>
      </c>
      <c r="CY155" s="2652">
        <f>E256*E155+F256*F155+G256*G155+H256*H155+I256*I155+J256*J155+K256*K155+L256*L155+M256*M155+N256*N155+O256*O155+P256*P155+Q256*Q155+R256*R155+S256*S155+T256*T155+U256*U155+V256*V155+W256*W155+X256*X155+Y256*Y155+Z256*Z155+AA256*AA155+AB256*AB155+AC256*AC155+AD256*AD155+AE256*AE155+AF256*AF155+AG256*AG155+AH256*AH155+AI256*AI155+AJ256*AJ155+AK256*AK155+AL256*AL155+AM256*AM155+AN256*AN155+AO256*AO155+AP256*AP155+AQ256*AQ155+AR256*AR155+AS256*AS155+AT256*AT155+AU256*AU155+AV256*AV155+AW256*AW155+AX256*AX155+AY256*AY155+AZ256*AZ155+BA256*BA155+BB256*BB155+BC256*BC155+BD256*BD155+BE256*BE155+BF256*BF155+BG256*BG155+BH256*BH155+BI256*BI155+BJ256*BJ155+BK256*BK155+BL256*BL155+BM256*BM155+BN256*BN155+BO256*BO155+BP256*BP155+BQ256*BQ155+BR256*BR155+BS256*BS155+BT256*BT155+BU256*BU155+BV256*BV155+BW256*BW155+BX256*BX155+BY256*BY155+BZ256*BZ155+CA256*CA155+CB256*CB155+CC256*CC155+CD256*CD155+CE256*CE155+CF256*CF155+CG256*CG155+CH256*CH155+CI256*CI155+CJ256*CJ155+CK256*CK155+CL256*CL155+CM256*CM155+CN256*CN155</f>
        <v>0</v>
      </c>
      <c r="CZ155" s="2652">
        <f>E257*E155+F257*F155+G257*G155+H257*H155+I257*I155+J257*J155+K257*K155+L257*L155+M257*M155+N257*N155+O257*O155+P257*P155+Q257*Q155+R257*R155+S257*S155+T257*T155+U257*U155+V257*V155+W257*W155+X257*X155+Y257*Y155+Z257*Z155+AA257*AA155+AB257*AB155+AC257*AC155+AD257*AD155+AE257*AE155+AF257*AF155+AG257*AG155+AH257*AH155+AI257*AI155+AJ257*AJ155+AK257*AK155+AL257*AL155+AM257*AM155+AN257*AN155+AO257*AO155+AP257*AP155+AQ257*AQ155+AR257*AR155+AS257*AS155+AT257*AT155+AU257*AU155+AV257*AV155+AW257*AW155+AX257*AX155+AY257*AY155+AZ257*AZ155+BA257*BA155+BB257*BB155+BC257*BC155+BD257*BD155+BE257*BE155+BF257*BF155+BG257*BG155+BH257*BH155+BI257*BI155+BJ257*BJ155+BK257*BK155+BL257*BL155+BM257*BM155+BN257*BN155+BO257*BO155+BP257*BP155+BQ257*BQ155+BR257*BR155+BS257*BS155+BT257*BT155+BU257*BU155+BV257*BV155+BW257*BW155+BX257*BX155+BY257*BY155+BZ257*BZ155+CA257*CA155+CB257*CB155+CC257*CC155+CD257*CD155+CE257*CE155+CF257*CF155+CG257*CG155+CH257*CH155+CI257*CI155+CJ257*CJ155+CK257*CK155+CL257*CL155+CM257*CM155+CN257*CN155</f>
        <v>0</v>
      </c>
      <c r="DA155" s="2652">
        <f>E258*E155+F258*F155+G258*G155+H258*H155+I258*I155+J258*J155+K258*K155+L258*L155+M258*M155+N258*N155+O258*O155+P258*P155+Q258*Q155+R258*R155+S258*S155+T258*T155+U258*U155+V258*V155+W258*W155+X258*X155+Y258*Y155+Z258*Z155+AA258*AA155+AB258*AB155+AC258*AC155+AD258*AD155+AE258*AE155+AF258*AF155+AG258*AG155+AH258*AH155+AI258*AI155+AJ258*AJ155+AK258*AK155+AL258*AL155+AM258*AM155+AN258*AN155+AO258*AO155+AP258*AP155+AQ258*AQ155+AR258*AR155+AS258*AS155+AT258*AT155+AU258*AU155+AV258*AV155+AW258*AW155+AX258*AX155+AY258*AY155+AZ258*AZ155+BA258*BA155+BB258*BB155+BC258*BC155+BD258*BD155+BE258*BE155+BF258*BF155+BG258*BG155+BH258*BH155+BI258*BI155+BJ258*BJ155+BK258*BK155+BL258*BL155+BM258*BM155+BN258*BN155+BO258*BO155+BP258*BP155+BQ258*BQ155+BR258*BR155+BS258*BS155+BT258*BT155+BU258*BU155+BV258*BV155+BW258*BW155+BX258*BX155+BY258*BY155+BZ258*BZ155+CA258*CA155+CB258*CB155+CC258*CC155+CD258*CD155+CE258*CE155+CF258*CF155+CG258*CG155+CH258*CH155+CI258*CI155+CJ258*CJ155+CK258*CK155+CL258*CL155+CM258*CM155+CN258*CN155</f>
        <v>0</v>
      </c>
    </row>
    <row r="156" spans="2:105" ht="18" x14ac:dyDescent="0.25">
      <c r="B156" s="1083">
        <v>23</v>
      </c>
      <c r="C156" s="1073" t="s">
        <v>245</v>
      </c>
      <c r="D156" s="2590" t="s">
        <v>5304</v>
      </c>
      <c r="E156" s="2678">
        <f>0</f>
        <v>0</v>
      </c>
      <c r="F156" s="2678">
        <f>0</f>
        <v>0</v>
      </c>
      <c r="G156" s="2678">
        <f>0</f>
        <v>0</v>
      </c>
      <c r="H156" s="2678">
        <f>0</f>
        <v>0</v>
      </c>
      <c r="I156" s="2678">
        <f>0</f>
        <v>0</v>
      </c>
      <c r="J156" s="2678">
        <f>0</f>
        <v>0</v>
      </c>
      <c r="K156" s="2678">
        <f>0</f>
        <v>0</v>
      </c>
      <c r="L156" s="2678">
        <f>0</f>
        <v>0</v>
      </c>
      <c r="M156" s="2678">
        <f>0</f>
        <v>0</v>
      </c>
      <c r="N156" s="2678">
        <f>0</f>
        <v>0</v>
      </c>
      <c r="O156" s="2678">
        <f>0</f>
        <v>0</v>
      </c>
      <c r="P156" s="2681">
        <f>-(X_PHA_PAO/X_STC)/Y_CASTO_STC_anox</f>
        <v>-1.680672268907563</v>
      </c>
      <c r="Q156" s="2681">
        <f>-(X_PHA_GAO/X_STC)/Y_CASTO_STC_anox</f>
        <v>-0.25210084033613445</v>
      </c>
      <c r="R156" s="2678">
        <f>0</f>
        <v>0</v>
      </c>
      <c r="S156" s="2678">
        <f>0</f>
        <v>0</v>
      </c>
      <c r="T156" s="2678">
        <f>0</f>
        <v>0</v>
      </c>
      <c r="U156" s="2678">
        <f>0</f>
        <v>0</v>
      </c>
      <c r="V156" s="2678">
        <f>1</f>
        <v>1</v>
      </c>
      <c r="W156" s="2678">
        <f>0</f>
        <v>0</v>
      </c>
      <c r="X156" s="2678">
        <f>0</f>
        <v>0</v>
      </c>
      <c r="Y156" s="2678">
        <f>0</f>
        <v>0</v>
      </c>
      <c r="Z156" s="2678">
        <f>0</f>
        <v>0</v>
      </c>
      <c r="AA156" s="2678">
        <f>0</f>
        <v>0</v>
      </c>
      <c r="AB156" s="2678">
        <f>0</f>
        <v>0</v>
      </c>
      <c r="AC156" s="2741">
        <f>0</f>
        <v>0</v>
      </c>
      <c r="AD156" s="2678">
        <f>-i_N_BIO</f>
        <v>-7.0000000000000007E-2</v>
      </c>
      <c r="AE156" s="2681">
        <f>(1-Y_CASTO_STC_anox)/(E_EQNO2_NO3*Y_CASTO_STC_anox)</f>
        <v>0.81659769174117147</v>
      </c>
      <c r="AF156" s="2681">
        <f>-(1-Y_CASTO_STC_anox)/(E_EQNO2_NO3*Y_CASTO_STC_anox)</f>
        <v>-0.81659769174117147</v>
      </c>
      <c r="AG156" s="2681">
        <f>0</f>
        <v>0</v>
      </c>
      <c r="AH156" s="2678">
        <f>0</f>
        <v>0</v>
      </c>
      <c r="AI156" s="2678">
        <f>0</f>
        <v>0</v>
      </c>
      <c r="AJ156" s="2678">
        <f>0</f>
        <v>0</v>
      </c>
      <c r="AK156" s="2678">
        <f>0</f>
        <v>0</v>
      </c>
      <c r="AL156" s="2681">
        <f>-i_P_BIO</f>
        <v>-0.02</v>
      </c>
      <c r="AM156" s="2678">
        <f>0</f>
        <v>0</v>
      </c>
      <c r="AN156" s="2678">
        <f>0</f>
        <v>0</v>
      </c>
      <c r="AO156" s="2678">
        <f>0</f>
        <v>0</v>
      </c>
      <c r="AP156" s="2678">
        <f>0</f>
        <v>0</v>
      </c>
      <c r="AQ156" s="2678">
        <f>0</f>
        <v>0</v>
      </c>
      <c r="AR156" s="2678">
        <f>0</f>
        <v>0</v>
      </c>
      <c r="AS156" s="2678">
        <f>0</f>
        <v>0</v>
      </c>
      <c r="AT156" s="2678">
        <f>0</f>
        <v>0</v>
      </c>
      <c r="AU156" s="2681">
        <f>(i_CIT_STC/Y_CASTO_STC_anox)-i_CIT_BIO</f>
        <v>0.29161344537815126</v>
      </c>
      <c r="AV156" s="2681">
        <f>i_INORG</f>
        <v>0.11</v>
      </c>
      <c r="AW156" s="2681">
        <f>-i_INORG*(1-i_Ca_INORG*(A_MCa+2*A_MCl)/A_MCa-i_Mg_INORG*(A_MMg+2*A_MCl)/A_MMg)*f_Na</f>
        <v>-2.8804303582798466E-2</v>
      </c>
      <c r="AX156" s="2681">
        <f>-i_INORG*(i_Ca_INORG*(2*A_MCl)/A_MCa+i_Mg_INORG*(2*A_MCl)/A_MMg)-i_INORG*(1-i_Ca_INORG*(A_MCa+2*A_MCl)/A_MCa-i_Mg_INORG*(A_MMg+2*A_MCl)/A_MMg)*(1-f_Na)</f>
        <v>-7.0195696417201539E-2</v>
      </c>
      <c r="AY156" s="2681">
        <f>-i_INORG*i_Ca_INORG</f>
        <v>-5.5000000000000005E-3</v>
      </c>
      <c r="AZ156" s="2681">
        <f>-i_INORG*i_Mg_INORG</f>
        <v>-5.5000000000000005E-3</v>
      </c>
      <c r="BA156" s="2681">
        <f>0</f>
        <v>0</v>
      </c>
      <c r="BB156" s="2681">
        <f>0</f>
        <v>0</v>
      </c>
      <c r="BC156" s="2681">
        <f>0</f>
        <v>0</v>
      </c>
      <c r="BD156" s="2681">
        <f>0</f>
        <v>0</v>
      </c>
      <c r="BE156" s="2681">
        <f>0</f>
        <v>0</v>
      </c>
      <c r="BF156" s="2681">
        <f>0</f>
        <v>0</v>
      </c>
      <c r="BG156" s="2681">
        <f>0</f>
        <v>0</v>
      </c>
      <c r="BH156" s="2681">
        <f>0</f>
        <v>0</v>
      </c>
      <c r="BI156" s="2681">
        <f>0</f>
        <v>0</v>
      </c>
      <c r="BJ156" s="2766">
        <f>0</f>
        <v>0</v>
      </c>
      <c r="BK156" s="2766">
        <f>0</f>
        <v>0</v>
      </c>
      <c r="BL156" s="2766">
        <f>0</f>
        <v>0</v>
      </c>
      <c r="BM156" s="2766">
        <f>0</f>
        <v>0</v>
      </c>
      <c r="BN156" s="2766">
        <f>0</f>
        <v>0</v>
      </c>
      <c r="BO156" s="2766">
        <f>0</f>
        <v>0</v>
      </c>
      <c r="BP156" s="2766">
        <f>0</f>
        <v>0</v>
      </c>
      <c r="BQ156" s="2681">
        <f>0</f>
        <v>0</v>
      </c>
      <c r="BR156" s="2681">
        <f>0</f>
        <v>0</v>
      </c>
      <c r="BS156" s="2766">
        <f>0</f>
        <v>0</v>
      </c>
      <c r="BT156" s="2681">
        <f>0</f>
        <v>0</v>
      </c>
      <c r="BU156" s="2681">
        <f>0</f>
        <v>0</v>
      </c>
      <c r="BV156" s="2758">
        <f>0</f>
        <v>0</v>
      </c>
      <c r="BW156" s="2758">
        <f>0</f>
        <v>0</v>
      </c>
      <c r="BX156" s="2758">
        <f>0</f>
        <v>0</v>
      </c>
      <c r="BY156" s="2758">
        <f>0</f>
        <v>0</v>
      </c>
      <c r="BZ156" s="2681">
        <f>0</f>
        <v>0</v>
      </c>
      <c r="CA156" s="2681">
        <f>0</f>
        <v>0</v>
      </c>
      <c r="CB156" s="2728">
        <f>0</f>
        <v>0</v>
      </c>
      <c r="CC156" s="2681">
        <f>0</f>
        <v>0</v>
      </c>
      <c r="CD156" s="2681">
        <f>0</f>
        <v>0</v>
      </c>
      <c r="CE156" s="2681">
        <f>0</f>
        <v>0</v>
      </c>
      <c r="CF156" s="2681">
        <f>0</f>
        <v>0</v>
      </c>
      <c r="CG156" s="2681">
        <f>0</f>
        <v>0</v>
      </c>
      <c r="CH156" s="2681">
        <f>0</f>
        <v>0</v>
      </c>
      <c r="CI156" s="2681">
        <f>0</f>
        <v>0</v>
      </c>
      <c r="CJ156" s="2681">
        <f>0</f>
        <v>0</v>
      </c>
      <c r="CK156" s="2681">
        <f>0</f>
        <v>0</v>
      </c>
      <c r="CL156" s="2681">
        <f>0</f>
        <v>0</v>
      </c>
      <c r="CM156" s="2681">
        <f>0</f>
        <v>0</v>
      </c>
      <c r="CN156" s="2681">
        <f>0</f>
        <v>0</v>
      </c>
      <c r="CO156" s="2828">
        <f>µ_CASTO_T*X_CASTO*η_CASTO_anox*M_RsatXSTC_XCASTO_KSTC*M_satSNO3_KNO3_CASTO*M_inhSO2_KO2_CASTO*M_inhSNO2_KNO2_CASTO*M_satSNHx_KNHx_BIO*M_satSPO4_KPO4_BIO*M_satSCAT_KCAT*M_satSAN_KAN*M_satSCa_KCa_PAO*M_satSMg_KMg_PAO*B_ellinhpH</f>
        <v>0.81835950903928945</v>
      </c>
      <c r="CQ156" s="2650">
        <f>E248*E156+F248*F156+G248*G156+H248*H156+I248*I156+J248*J156+K248*K156+L248*L156+M248*M156+N248*N156+O248*O156+P248*P156+Q248*Q156+R248*R156+S248*S156+T248*T156+U248*U156+V248*V156+W248*W156+X248*X156+Y248*Y156+Z248*Z156+AA248*AA156+AB248*AB156+AC248*AC156+AD248*AD156+AE248*AE156+AF248*AF156+AG248*AG156+AH248*AH156+AI248*AI156+AJ248*AJ156+AK248*AK156+AL248*AL156+AM248*AM156+AN248*AN156+AO248*AO156+AP248*AP156+AQ248*AQ156+AR248*AR156+AS248*AS156+AT248*AT156+AU248*AU156+AV248*AV156+AW248*AW156+AX248*AX156+AY248*AY156+AZ248*AZ156+BA248*BA156+BB248*BB156+BC248*BC156+BD248*BD156+BE248*BE156+BF248*BF156+BG248*BG156+BH248*BH156+BI248*BI156+BJ248*BJ156+BK248*BK156+BL248*BL156+BM248*BM156+BN248*BN156+BO248*BO156+BP248*BP156+BQ248*BQ156+BR248*BR156+BS248*BS156+BT248*BT156+BU248*BU156+BV248*BV156+BW248*BW156+BX248*BX156+BY248*BY156+BZ248*BZ156+CA248*CA156+CB248*CB156+CC248*CC156+CD248*CD156+CE248*CE156+CF248*CF156+CG248*CG156+CH248*CH156+CI248*CI156+CJ248*CJ156+CK248*CK156+CL248*CL156+CM248*CM156+CN248*CN156</f>
        <v>0</v>
      </c>
      <c r="CR156" s="2650">
        <f>E249*E156+F249*F156+G249*G156+H249*H156+I249*I156+J249*J156+K249*K156+L249*L156+M249*M156+N249*N156+O249*O156+P249*P156+Q249*Q156+R249*R156+S249*S156+T249*T156+U249*U156+V249*V156+W249*W156+X249*X156+Y249*Y156+Z249*Z156+AA249*AA156+AB249*AB156+AC249*AC156+AD249*AD156+AE249*AE156+AF249*AF156+AG249*AG156+AH249*AH156+AI249*AI156+AJ249*AJ156+AK249*AK156+AL249*AL156+AM249*AM156+AN249*AN156+AO249*AO156+AP249*AP156+AQ249*AQ156+AR249*AR156+AS249*AS156+AT249*AT156+AU249*AU156+AV249*AV156+AW249*AW156+AX249*AX156+AY249*AY156+AZ249*AZ156+BA249*BA156+BB249*BB156+BC249*BC156+BD249*BD156+BE249*BE156+BF249*BF156+BG249*BG156+BH249*BH156+BI249*BI156+BJ249*BJ156+BK249*BK156+BL249*BL156+BM249*BM156+BN249*BN156+BO249*BO156+BP249*BP156+BQ249*BQ156+BR249*BR156+BS249*BS156+BT249*BT156+BU249*BU156+BV249*BV156+BW249*BW156+BX249*BX156+BY249*BY156+BZ249*BZ156+CA249*CA156+CB249*CB156+CC249*CC156+CD249*CD156+CE249*CE156+CF249*CF156+CG249*CG156+CH249*CH156+CI249*CI156+CJ249*CJ156+CK249*CK156+CL249*CL156+CM249*CM156+CN249*CN156</f>
        <v>0</v>
      </c>
      <c r="CS156" s="2651">
        <f>E250*E156+F250*F156+G250*G156+H250*H156+I250*I156+J250*J156+K250*K156+L250*L156+M250*M156+N250*N156+O250*O156+P250*P156+Q250*Q156+R250*R156+S250*S156+T250*T156+U250*U156+V250*V156+W250*W156+X250*X156+Y250*Y156+Z250*Z156+AA250*AA156+AB250*AB156+AC250*AC156+AD250*AD156+AE250*AE156+AF250*AF156+AG250*AG156+AH250*AH156+AI250*AI156+AJ250*AJ156+AK250*AK156+AL250*AL156+AM250*AM156+AN250*AN156+AO250*AO156+AP250*AP156+AQ250*AQ156+AR250*AR156+AS250*AS156+AT250*AT156+AU250*AU156+AV250*AV156+AW250*AW156+AX250*AX156+AY250*AY156+AZ250*AZ156+BA250*BA156+BB250*BB156+BC250*BC156+BD250*BD156+BE250*BE156+BF250*BF156+BG250*BG156+BH250*BH156+BI250*BI156+BJ250*BJ156+BK250*BK156+BL250*BL156+BM250*BM156+BN250*BN156+BO250*BO156+BP250*BP156+BQ250*BQ156+BR250*BR156+BS250*BS156+BT250*BT156+BU250*BU156+BV250*BV156+BW250*BW156+BX250*BX156+BY250*BY156+BZ250*BZ156+CA250*CA156+CB250*CB156+CC250*CC156+CD250*CD156+CE250*CE156+CF250*CF156+CG250*CG156+CH250*CH156+CI250*CI156+CJ250*CJ156+CK250*CK156+CL250*CL156+CM250*CM156+CN250*CN156</f>
        <v>0</v>
      </c>
      <c r="CT156" s="2652">
        <f>E251*E156+F251*F156+G251*G156+H251*H156+I251*I156+J251*J156+K251*K156+L251*L156+M251*M156+N251*N156+O251*O156+P251*P156+Q251*Q156+R251*R156+S251*S156+T251*T156+U251*U156+V251*V156+W251*W156+X251*X156+Y251*Y156+Z251*Z156+AA251*AA156+AB251*AB156+AC251*AC156+AD251*AD156+AE251*AE156+AF251*AF156+AG251*AG156+AH251*AH156+AI251*AI156+AJ251*AJ156+AK251*AK156+AL251*AL156+AM251*AM156+AN251*AN156+AO251*AO156+AP251*AP156+AQ251*AQ156+AR251*AR156+AS251*AS156+AT251*AT156+AU251*AU156+AV251*AV156+AW251*AW156+AX251*AX156+AY251*AY156+AZ251*AZ156+BA251*BA156+BB251*BB156+BC251*BC156+BD251*BD156+BE251*BE156+BF251*BF156+BG251*BG156+BH251*BH156+BI251*BI156+BJ251*BJ156+BK251*BK156+BL251*BL156+BM251*BM156+BN251*BN156+BO251*BO156+BP251*BP156+BQ251*BQ156+BR251*BR156+BS251*BS156+BT251*BT156+BU251*BU156+BV251*BV156+BW251*BW156+BX251*BX156+BY251*BY156+BZ251*BZ156+CA251*CA156+CB251*CB156+CC251*CC156+CD251*CD156+CE251*CE156+CF251*CF156+CG251*CG156+CH251*CH156+CI251*CI156+CJ251*CJ156+CK251*CK156+CL251*CL156+CM251*CM156+CN251*CN156</f>
        <v>0</v>
      </c>
      <c r="CU156" s="2652">
        <f>E252*E156+F252*F156+G252*G156+H252*H156+I252*I156+J252*J156+K252*K156+L252*L156+M252*M156+N252*N156+O252*O156+P252*P156+Q252*Q156+R252*R156+S252*S156+T252*T156+U252*U156+V252*V156+W252*W156+X252*X156+Y252*Y156+Z252*Z156+AA252*AA156+AB252*AB156+AC252*AC156+AD252*AD156+AE252*AE156+AF252*AF156+AG252*AG156+AH252*AH156+AI252*AI156+AJ252*AJ156+AK252*AK156+AL252*AL156+AM252*AM156+AN252*AN156+AO252*AO156+AP252*AP156+AQ252*AQ156+AR252*AR156+AS252*AS156+AT252*AT156+AU252*AU156+AV252*AV156+AW252*AW156+AX252*AX156+AY252*AY156+AZ252*AZ156+BA252*BA156+BB252*BB156+BC252*BC156+BD252*BD156+BE252*BE156+BF252*BF156+BG252*BG156+BH252*BH156+BI252*BI156+BJ252*BJ156+BK252*BK156+BL252*BL156+BM252*BM156+BN252*BN156+BO252*BO156+BP252*BP156+BQ252*BQ156+BR252*BR156+BS252*BS156+BT252*BT156+BU252*BU156+BV252*BV156+BW252*BW156+BX252*BX156+BY252*BY156+BZ252*BZ156+CA252*CA156+CB252*CB156+CC252*CC156+CD252*CD156+CE252*CE156+CF252*CF156+CG252*CG156+CH252*CH156+CI252*CI156+CJ252*CJ156+CK252*CK156+CL252*CL156+CM252*CM156+CN252*CN156</f>
        <v>0</v>
      </c>
      <c r="CV156" s="2652">
        <f>E253*E156+F253*F156+G253*G156+H253*H156+I253*I156+J253*J156+K253*K156+L253*L156+M253*M156+N253*N156+O253*O156+P253*P156+Q253*Q156+R253*R156+S253*S156+T253*T156+U253*U156+V253*V156+W253*W156+X253*X156+Y253*Y156+Z253*Z156+AA253*AA156+AB253*AB156+AC253*AC156+AD253*AD156+AE253*AE156+AF253*AF156+AG253*AG156+AH253*AH156+AI253*AI156+AJ253*AJ156+AK253*AK156+AL253*AL156+AM253*AM156+AN253*AN156+AO253*AO156+AP253*AP156+AQ253*AQ156+AR253*AR156+AS253*AS156+AT253*AT156+AU253*AU156+AV253*AV156+AW253*AW156+AX253*AX156+AY253*AY156+AZ253*AZ156+BA253*BA156+BB253*BB156+BC253*BC156+BD253*BD156+BE253*BE156+BF253*BF156+BG253*BG156+BH253*BH156+BI253*BI156+BJ253*BJ156+BK253*BK156+BL253*BL156+BM253*BM156+BN253*BN156+BO253*BO156+BP253*BP156+BQ253*BQ156+BR253*BR156+BS253*BS156+BT253*BT156+BU253*BU156+BV253*BV156+BW253*BW156+BX253*BX156+BY253*BY156+BZ253*BZ156+CA253*CA156+CB253*CB156+CC253*CC156+CD253*CD156+CE253*CE156+CF253*CF156+CG253*CG156+CH253*CH156+CI253*CI156+CJ253*CJ156+CK253*CK156+CL253*CL156+CM253*CM156+CN253*CN156</f>
        <v>0</v>
      </c>
      <c r="CW156" s="2652">
        <f>E254*E156+F254*F156+G254*G156+H254*H156+I254*I156+J254*J156+K254*K156+L254*L156+M254*M156+N254*N156+O254*O156+P254*P156+Q254*Q156+R254*R156+S254*S156+T254*T156+U254*U156+V254*V156+W254*W156+X254*X156+Y254*Y156+Z254*Z156+AA254*AA156+AB254*AB156+AC254*AC156+AD254*AD156+AE254*AE156+AF254*AF156+AG254*AG156+AH254*AH156+AI254*AI156+AJ254*AJ156+AK254*AK156+AL254*AL156+AM254*AM156+AN254*AN156+AO254*AO156+AP254*AP156+AQ254*AQ156+AR254*AR156+AS254*AS156+AT254*AT156+AU254*AU156+AV254*AV156+AW254*AW156+AX254*AX156+AY254*AY156+AZ254*AZ156+BA254*BA156+BB254*BB156+BC254*BC156+BD254*BD156+BE254*BE156+BF254*BF156+BG254*BG156+BH254*BH156+BI254*BI156+BJ254*BJ156+BK254*BK156+BL254*BL156+BM254*BM156+BN254*BN156+BO254*BO156+BP254*BP156+BQ254*BQ156+BR254*BR156+BS254*BS156+BT254*BT156+BU254*BU156+BV254*BV156+BW254*BW156+BX254*BX156+BY254*BY156+BZ254*BZ156+CA254*CA156+CB254*CB156+CC254*CC156+CD254*CD156+CE254*CE156+CF254*CF156+CG254*CG156+CH254*CH156+CI254*CI156+CJ254*CJ156+CK254*CK156+CL254*CL156+CM254*CM156+CN254*CN156</f>
        <v>0</v>
      </c>
      <c r="CX156" s="2652">
        <f>E255*E156+F255*F156+G255*G156+H255*H156+I255*I156+J255*J156+K255*K156+L255*L156+M255*M156+N255*N156+O255*O156+P255*P156+Q255*Q156+R255*R156+S255*S156+T255*T156+U255*U156+V255*V156+W255*W156+X255*X156+Y255*Y156+Z255*Z156+AA255*AA156+AB255*AB156+AC255*AC156+AD255*AD156+AE255*AE156+AF255*AF156+AG255*AG156+AH255*AH156+AI255*AI156+AJ255*AJ156+AK255*AK156+AL255*AL156+AM255*AM156+AN255*AN156+AO255*AO156+AP255*AP156+AQ255*AQ156+AR255*AR156+AS255*AS156+AT255*AT156+AU255*AU156+AV255*AV156+AW255*AW156+AX255*AX156+AY255*AY156+AZ255*AZ156+BA255*BA156+BB255*BB156+BC255*BC156+BD255*BD156+BE255*BE156+BF255*BF156+BG255*BG156+BH255*BH156+BI255*BI156+BJ255*BJ156+BK255*BK156+BL255*BL156+BM255*BM156+BN255*BN156+BO255*BO156+BP255*BP156+BQ255*BQ156+BR255*BR156+BS255*BS156+BT255*BT156+BU255*BU156+BV255*BV156+BW255*BW156+BX255*BX156+BY255*BY156+BZ255*BZ156+CA255*CA156+CB255*CB156+CC255*CC156+CD255*CD156+CE255*CE156+CF255*CF156+CG255*CG156+CH255*CH156+CI255*CI156+CJ255*CJ156+CK255*CK156+CL255*CL156+CM255*CM156+CN255*CN156</f>
        <v>0</v>
      </c>
      <c r="CY156" s="2652">
        <f>E256*E156+F256*F156+G256*G156+H256*H156+I256*I156+J256*J156+K256*K156+L256*L156+M256*M156+N256*N156+O256*O156+P256*P156+Q256*Q156+R256*R156+S256*S156+T256*T156+U256*U156+V256*V156+W256*W156+X256*X156+Y256*Y156+Z256*Z156+AA256*AA156+AB256*AB156+AC256*AC156+AD256*AD156+AE256*AE156+AF256*AF156+AG256*AG156+AH256*AH156+AI256*AI156+AJ256*AJ156+AK256*AK156+AL256*AL156+AM256*AM156+AN256*AN156+AO256*AO156+AP256*AP156+AQ256*AQ156+AR256*AR156+AS256*AS156+AT256*AT156+AU256*AU156+AV256*AV156+AW256*AW156+AX256*AX156+AY256*AY156+AZ256*AZ156+BA256*BA156+BB256*BB156+BC256*BC156+BD256*BD156+BE256*BE156+BF256*BF156+BG256*BG156+BH256*BH156+BI256*BI156+BJ256*BJ156+BK256*BK156+BL256*BL156+BM256*BM156+BN256*BN156+BO256*BO156+BP256*BP156+BQ256*BQ156+BR256*BR156+BS256*BS156+BT256*BT156+BU256*BU156+BV256*BV156+BW256*BW156+BX256*BX156+BY256*BY156+BZ256*BZ156+CA256*CA156+CB256*CB156+CC256*CC156+CD256*CD156+CE256*CE156+CF256*CF156+CG256*CG156+CH256*CH156+CI256*CI156+CJ256*CJ156+CK256*CK156+CL256*CL156+CM256*CM156+CN256*CN156</f>
        <v>0</v>
      </c>
      <c r="CZ156" s="2652">
        <f>E257*E156+F257*F156+G257*G156+H257*H156+I257*I156+J257*J156+K257*K156+L257*L156+M257*M156+N257*N156+O257*O156+P257*P156+Q257*Q156+R257*R156+S257*S156+T257*T156+U257*U156+V257*V156+W257*W156+X257*X156+Y257*Y156+Z257*Z156+AA257*AA156+AB257*AB156+AC257*AC156+AD257*AD156+AE257*AE156+AF257*AF156+AG257*AG156+AH257*AH156+AI257*AI156+AJ257*AJ156+AK257*AK156+AL257*AL156+AM257*AM156+AN257*AN156+AO257*AO156+AP257*AP156+AQ257*AQ156+AR257*AR156+AS257*AS156+AT257*AT156+AU257*AU156+AV257*AV156+AW257*AW156+AX257*AX156+AY257*AY156+AZ257*AZ156+BA257*BA156+BB257*BB156+BC257*BC156+BD257*BD156+BE257*BE156+BF257*BF156+BG257*BG156+BH257*BH156+BI257*BI156+BJ257*BJ156+BK257*BK156+BL257*BL156+BM257*BM156+BN257*BN156+BO257*BO156+BP257*BP156+BQ257*BQ156+BR257*BR156+BS257*BS156+BT257*BT156+BU257*BU156+BV257*BV156+BW257*BW156+BX257*BX156+BY257*BY156+BZ257*BZ156+CA257*CA156+CB257*CB156+CC257*CC156+CD257*CD156+CE257*CE156+CF257*CF156+CG257*CG156+CH257*CH156+CI257*CI156+CJ257*CJ156+CK257*CK156+CL257*CL156+CM257*CM156+CN257*CN156</f>
        <v>0</v>
      </c>
      <c r="DA156" s="2652">
        <f>E258*E156+F258*F156+G258*G156+H258*H156+I258*I156+J258*J156+K258*K156+L258*L156+M258*M156+N258*N156+O258*O156+P258*P156+Q258*Q156+R258*R156+S258*S156+T258*T156+U258*U156+V258*V156+W258*W156+X258*X156+Y258*Y156+Z258*Z156+AA258*AA156+AB258*AB156+AC258*AC156+AD258*AD156+AE258*AE156+AF258*AF156+AG258*AG156+AH258*AH156+AI258*AI156+AJ258*AJ156+AK258*AK156+AL258*AL156+AM258*AM156+AN258*AN156+AO258*AO156+AP258*AP156+AQ258*AQ156+AR258*AR156+AS258*AS156+AT258*AT156+AU258*AU156+AV258*AV156+AW258*AW156+AX258*AX156+AY258*AY156+AZ258*AZ156+BA258*BA156+BB258*BB156+BC258*BC156+BD258*BD156+BE258*BE156+BF258*BF156+BG258*BG156+BH258*BH156+BI258*BI156+BJ258*BJ156+BK258*BK156+BL258*BL156+BM258*BM156+BN258*BN156+BO258*BO156+BP258*BP156+BQ258*BQ156+BR258*BR156+BS258*BS156+BT258*BT156+BU258*BU156+BV258*BV156+BW258*BW156+BX258*BX156+BY258*BY156+BZ258*BZ156+CA258*CA156+CB258*CB156+CC258*CC156+CD258*CD156+CE258*CE156+CF258*CF156+CG258*CG156+CH258*CH156+CI258*CI156+CJ258*CJ156+CK258*CK156+CL258*CL156+CM258*CM156+CN258*CN156</f>
        <v>0</v>
      </c>
    </row>
    <row r="157" spans="2:105" ht="18" x14ac:dyDescent="0.25">
      <c r="B157" s="1083">
        <v>24</v>
      </c>
      <c r="C157" s="1073" t="s">
        <v>246</v>
      </c>
      <c r="D157" s="806" t="s">
        <v>4095</v>
      </c>
      <c r="E157" s="2678">
        <f>0</f>
        <v>0</v>
      </c>
      <c r="F157" s="2678">
        <f>0</f>
        <v>0</v>
      </c>
      <c r="G157" s="2678">
        <f>0</f>
        <v>0</v>
      </c>
      <c r="H157" s="2678">
        <f>0</f>
        <v>0</v>
      </c>
      <c r="I157" s="2678">
        <f>0</f>
        <v>0</v>
      </c>
      <c r="J157" s="2678">
        <f>0</f>
        <v>0</v>
      </c>
      <c r="K157" s="2678">
        <f>0</f>
        <v>0</v>
      </c>
      <c r="L157" s="2678">
        <f>0</f>
        <v>0</v>
      </c>
      <c r="M157" s="2678">
        <f>0</f>
        <v>0</v>
      </c>
      <c r="N157" s="2678">
        <f>0</f>
        <v>0</v>
      </c>
      <c r="O157" s="2678">
        <f>0</f>
        <v>0</v>
      </c>
      <c r="P157" s="2681">
        <f>0</f>
        <v>0</v>
      </c>
      <c r="Q157" s="2681">
        <f>0</f>
        <v>0</v>
      </c>
      <c r="R157" s="2678">
        <f>0</f>
        <v>0</v>
      </c>
      <c r="S157" s="2678">
        <f>0</f>
        <v>0</v>
      </c>
      <c r="T157" s="2678">
        <f>0</f>
        <v>0</v>
      </c>
      <c r="U157" s="2678">
        <f>0</f>
        <v>0</v>
      </c>
      <c r="V157" s="2681">
        <f>-Y_PP_CASTO_ox</f>
        <v>-0.33</v>
      </c>
      <c r="W157" s="2678">
        <f>0</f>
        <v>0</v>
      </c>
      <c r="X157" s="2678">
        <f>0</f>
        <v>0</v>
      </c>
      <c r="Y157" s="2678">
        <f>0</f>
        <v>0</v>
      </c>
      <c r="Z157" s="2678">
        <f>0</f>
        <v>0</v>
      </c>
      <c r="AA157" s="2678">
        <f>0</f>
        <v>0</v>
      </c>
      <c r="AB157" s="2678">
        <f>0</f>
        <v>0</v>
      </c>
      <c r="AC157" s="2741">
        <f>0</f>
        <v>0</v>
      </c>
      <c r="AD157" s="2678">
        <f>i_N_BIO*Y_PP_CASTO_ox</f>
        <v>2.3100000000000002E-2</v>
      </c>
      <c r="AE157" s="2681">
        <f>0</f>
        <v>0</v>
      </c>
      <c r="AF157" s="2681">
        <f>0</f>
        <v>0</v>
      </c>
      <c r="AG157" s="2678">
        <f>0</f>
        <v>0</v>
      </c>
      <c r="AH157" s="2678">
        <f>0</f>
        <v>0</v>
      </c>
      <c r="AI157" s="2678">
        <f>0</f>
        <v>0</v>
      </c>
      <c r="AJ157" s="2678">
        <f>0</f>
        <v>0</v>
      </c>
      <c r="AK157" s="2678">
        <f>0</f>
        <v>0</v>
      </c>
      <c r="AL157" s="2681">
        <f>i_P_BIO*Y_PP_CASTO_ox-1</f>
        <v>-0.99339999999999995</v>
      </c>
      <c r="AM157" s="2678">
        <f>1</f>
        <v>1</v>
      </c>
      <c r="AN157" s="2678">
        <f>0</f>
        <v>0</v>
      </c>
      <c r="AO157" s="2678">
        <f>0</f>
        <v>0</v>
      </c>
      <c r="AP157" s="2678">
        <f>0</f>
        <v>0</v>
      </c>
      <c r="AQ157" s="2678">
        <f>0</f>
        <v>0</v>
      </c>
      <c r="AR157" s="2681">
        <f>-Y_PP_CASTO_ox</f>
        <v>-0.33</v>
      </c>
      <c r="AS157" s="2678">
        <f>0</f>
        <v>0</v>
      </c>
      <c r="AT157" s="2678">
        <f>0</f>
        <v>0</v>
      </c>
      <c r="AU157" s="2681">
        <f>i_CIT_BIO*Y_PP_CASTO_ox</f>
        <v>0.11616</v>
      </c>
      <c r="AV157" s="2681">
        <f>-i_INORG*Y_PP_CASTO_ox</f>
        <v>-3.6299999999999999E-2</v>
      </c>
      <c r="AW157" s="2681">
        <f>Y_PP_CASTO_ox*i_INORG*(1-i_Ca_INORG*(A_MCa+2*A_MCl)/A_MCa-i_Mg_INORG*(A_MMg+2*A_MCl)/A_MMg)*f_Na</f>
        <v>9.5054201823234919E-3</v>
      </c>
      <c r="AX157" s="2681">
        <f>Y_PP_CASTO_ox*(i_INORG*(i_Ca_INORG*(2*A_MCl)/A_MCa+i_Mg_INORG*(2*A_MCl)/A_MMg)+i_INORG*(1-i_Ca_INORG*(A_MCa+2*A_MCl)/A_MCa-i_Mg_INORG*(A_MMg+2*A_MCl)/A_MMg)*(1-f_Na))</f>
        <v>2.3164579817676507E-2</v>
      </c>
      <c r="AY157" s="2681">
        <f>Y_PP_CASTO_ox*i_INORG*i_Ca_INORG-i_Ca_PP*A_MCa/A_MP</f>
        <v>-0.12757838702613272</v>
      </c>
      <c r="AZ157" s="2681">
        <f>Y_PP_CASTO_ox*i_INORG*i_Mg_INORG-i_Mg_PP*A_MMg/A_MP</f>
        <v>-0.27282874347136937</v>
      </c>
      <c r="BA157" s="2681">
        <f>-i_K_PP*A_MK/A_MP</f>
        <v>-0.12623038734377579</v>
      </c>
      <c r="BB157" s="2681">
        <f>0</f>
        <v>0</v>
      </c>
      <c r="BC157" s="2681">
        <f>0</f>
        <v>0</v>
      </c>
      <c r="BD157" s="2681">
        <f>0</f>
        <v>0</v>
      </c>
      <c r="BE157" s="2681">
        <f>0</f>
        <v>0</v>
      </c>
      <c r="BF157" s="2681">
        <f>0</f>
        <v>0</v>
      </c>
      <c r="BG157" s="2681">
        <f>0</f>
        <v>0</v>
      </c>
      <c r="BH157" s="2681">
        <f>0</f>
        <v>0</v>
      </c>
      <c r="BI157" s="2681">
        <f>0</f>
        <v>0</v>
      </c>
      <c r="BJ157" s="2766">
        <f>0</f>
        <v>0</v>
      </c>
      <c r="BK157" s="2766">
        <f>0</f>
        <v>0</v>
      </c>
      <c r="BL157" s="2766">
        <f>0</f>
        <v>0</v>
      </c>
      <c r="BM157" s="2766">
        <f>0</f>
        <v>0</v>
      </c>
      <c r="BN157" s="2766">
        <f>0</f>
        <v>0</v>
      </c>
      <c r="BO157" s="2766">
        <f>0</f>
        <v>0</v>
      </c>
      <c r="BP157" s="2766">
        <f>0</f>
        <v>0</v>
      </c>
      <c r="BQ157" s="2681">
        <f>0</f>
        <v>0</v>
      </c>
      <c r="BR157" s="2681">
        <f>0</f>
        <v>0</v>
      </c>
      <c r="BS157" s="2766">
        <f>0</f>
        <v>0</v>
      </c>
      <c r="BT157" s="2681">
        <f>0</f>
        <v>0</v>
      </c>
      <c r="BU157" s="2681">
        <f>0</f>
        <v>0</v>
      </c>
      <c r="BV157" s="2758">
        <f>0</f>
        <v>0</v>
      </c>
      <c r="BW157" s="2758">
        <f>0</f>
        <v>0</v>
      </c>
      <c r="BX157" s="2758">
        <f>0</f>
        <v>0</v>
      </c>
      <c r="BY157" s="2758">
        <f>0</f>
        <v>0</v>
      </c>
      <c r="BZ157" s="2681">
        <f>0</f>
        <v>0</v>
      </c>
      <c r="CA157" s="2681">
        <f>0</f>
        <v>0</v>
      </c>
      <c r="CB157" s="2728">
        <f>0</f>
        <v>0</v>
      </c>
      <c r="CC157" s="2681">
        <f>0</f>
        <v>0</v>
      </c>
      <c r="CD157" s="2681">
        <f>0</f>
        <v>0</v>
      </c>
      <c r="CE157" s="2681">
        <f>0</f>
        <v>0</v>
      </c>
      <c r="CF157" s="2681">
        <f>0</f>
        <v>0</v>
      </c>
      <c r="CG157" s="2681">
        <f>0</f>
        <v>0</v>
      </c>
      <c r="CH157" s="2681">
        <f>0</f>
        <v>0</v>
      </c>
      <c r="CI157" s="2681">
        <f>0</f>
        <v>0</v>
      </c>
      <c r="CJ157" s="2681">
        <f>0</f>
        <v>0</v>
      </c>
      <c r="CK157" s="2681">
        <f>0</f>
        <v>0</v>
      </c>
      <c r="CL157" s="2681">
        <f>0</f>
        <v>0</v>
      </c>
      <c r="CM157" s="2681">
        <f>0</f>
        <v>0</v>
      </c>
      <c r="CN157" s="2681">
        <f>0</f>
        <v>0</v>
      </c>
      <c r="CO157" s="2828">
        <f>q_PAO_PP_T*X_PAO/(X_PP+X_PP_PAO_min)*X_PAO*M_satSO2_KO2_CASTO*L_ogsatSPO4_KPO4_PAO*L_oginhXPP_XPAO_max*M_satSCa_KCa_PAO*M_satSMg_KMg_PAO*M_satSK_KK_PAO*B_ellinhpH</f>
        <v>306.81443366518283</v>
      </c>
      <c r="CQ157" s="2650">
        <f>E248*E157+F248*F157+G248*G157+H248*H157+I248*I157+J248*J157+K248*K157+L248*L157+M248*M157+N248*N157+O248*O157+P248*P157+Q248*Q157+R248*R157+S248*S157+T248*T157+U248*U157+V248*V157+W248*W157+X248*X157+Y248*Y157+Z248*Z157+AA248*AA157+AB248*AB157+AC248*AC157+AD248*AD157+AE248*AE157+AF248*AF157+AG248*AG157+AH248*AH157+AI248*AI157+AJ248*AJ157+AK248*AK157+AL248*AL157+AM248*AM157+AN248*AN157+AO248*AO157+AP248*AP157+AQ248*AQ157+AR248*AR157+AS248*AS157+AT248*AT157+AU248*AU157+AV248*AV157+AW248*AW157+AX248*AX157+AY248*AY157+AZ248*AZ157+BA248*BA157+BB248*BB157+BC248*BC157+BD248*BD157+BE248*BE157+BF248*BF157+BG248*BG157+BH248*BH157+BI248*BI157+BJ248*BJ157+BK248*BK157+BL248*BL157+BM248*BM157+BN248*BN157+BO248*BO157+BP248*BP157+BQ248*BQ157+BR248*BR157+BS248*BS157+BT248*BT157+BU248*BU157+BV248*BV157+BW248*BW157+BX248*BX157+BY248*BY157+BZ248*BZ157+CA248*CA157+CB248*CB157+CC248*CC157+CD248*CD157+CE248*CE157+CF248*CF157+CG248*CG157+CH248*CH157+CI248*CI157+CJ248*CJ157+CK248*CK157+CL248*CL157+CM248*CM157+CN248*CN157</f>
        <v>0</v>
      </c>
      <c r="CR157" s="2650">
        <f>E249*E157+F249*F157+G249*G157+H249*H157+I249*I157+J249*J157+K249*K157+L249*L157+M249*M157+N249*N157+O249*O157+P249*P157+Q249*Q157+R249*R157+S249*S157+T249*T157+U249*U157+V249*V157+W249*W157+X249*X157+Y249*Y157+Z249*Z157+AA249*AA157+AB249*AB157+AC249*AC157+AD249*AD157+AE249*AE157+AF249*AF157+AG249*AG157+AH249*AH157+AI249*AI157+AJ249*AJ157+AK249*AK157+AL249*AL157+AM249*AM157+AN249*AN157+AO249*AO157+AP249*AP157+AQ249*AQ157+AR249*AR157+AS249*AS157+AT249*AT157+AU249*AU157+AV249*AV157+AW249*AW157+AX249*AX157+AY249*AY157+AZ249*AZ157+BA249*BA157+BB249*BB157+BC249*BC157+BD249*BD157+BE249*BE157+BF249*BF157+BG249*BG157+BH249*BH157+BI249*BI157+BJ249*BJ157+BK249*BK157+BL249*BL157+BM249*BM157+BN249*BN157+BO249*BO157+BP249*BP157+BQ249*BQ157+BR249*BR157+BS249*BS157+BT249*BT157+BU249*BU157+BV249*BV157+BW249*BW157+BX249*BX157+BY249*BY157+BZ249*BZ157+CA249*CA157+CB249*CB157+CC249*CC157+CD249*CD157+CE249*CE157+CF249*CF157+CG249*CG157+CH249*CH157+CI249*CI157+CJ249*CJ157+CK249*CK157+CL249*CL157+CM249*CM157+CN249*CN157</f>
        <v>0</v>
      </c>
      <c r="CS157" s="2651">
        <f>E250*E157+F250*F157+G250*G157+H250*H157+I250*I157+J250*J157+K250*K157+L250*L157+M250*M157+N250*N157+O250*O157+P250*P157+Q250*Q157+R250*R157+S250*S157+T250*T157+U250*U157+V250*V157+W250*W157+X250*X157+Y250*Y157+Z250*Z157+AA250*AA157+AB250*AB157+AC250*AC157+AD250*AD157+AE250*AE157+AF250*AF157+AG250*AG157+AH250*AH157+AI250*AI157+AJ250*AJ157+AK250*AK157+AL250*AL157+AM250*AM157+AN250*AN157+AO250*AO157+AP250*AP157+AQ250*AQ157+AR250*AR157+AS250*AS157+AT250*AT157+AU250*AU157+AV250*AV157+AW250*AW157+AX250*AX157+AY250*AY157+AZ250*AZ157+BA250*BA157+BB250*BB157+BC250*BC157+BD250*BD157+BE250*BE157+BF250*BF157+BG250*BG157+BH250*BH157+BI250*BI157+BJ250*BJ157+BK250*BK157+BL250*BL157+BM250*BM157+BN250*BN157+BO250*BO157+BP250*BP157+BQ250*BQ157+BR250*BR157+BS250*BS157+BT250*BT157+BU250*BU157+BV250*BV157+BW250*BW157+BX250*BX157+BY250*BY157+BZ250*BZ157+CA250*CA157+CB250*CB157+CC250*CC157+CD250*CD157+CE250*CE157+CF250*CF157+CG250*CG157+CH250*CH157+CI250*CI157+CJ250*CJ157+CK250*CK157+CL250*CL157+CM250*CM157+CN250*CN157</f>
        <v>0</v>
      </c>
      <c r="CT157" s="2652">
        <f>E251*E157+F251*F157+G251*G157+H251*H157+I251*I157+J251*J157+K251*K157+L251*L157+M251*M157+N251*N157+O251*O157+P251*P157+Q251*Q157+R251*R157+S251*S157+T251*T157+U251*U157+V251*V157+W251*W157+X251*X157+Y251*Y157+Z251*Z157+AA251*AA157+AB251*AB157+AC251*AC157+AD251*AD157+AE251*AE157+AF251*AF157+AG251*AG157+AH251*AH157+AI251*AI157+AJ251*AJ157+AK251*AK157+AL251*AL157+AM251*AM157+AN251*AN157+AO251*AO157+AP251*AP157+AQ251*AQ157+AR251*AR157+AS251*AS157+AT251*AT157+AU251*AU157+AV251*AV157+AW251*AW157+AX251*AX157+AY251*AY157+AZ251*AZ157+BA251*BA157+BB251*BB157+BC251*BC157+BD251*BD157+BE251*BE157+BF251*BF157+BG251*BG157+BH251*BH157+BI251*BI157+BJ251*BJ157+BK251*BK157+BL251*BL157+BM251*BM157+BN251*BN157+BO251*BO157+BP251*BP157+BQ251*BQ157+BR251*BR157+BS251*BS157+BT251*BT157+BU251*BU157+BV251*BV157+BW251*BW157+BX251*BX157+BY251*BY157+BZ251*BZ157+CA251*CA157+CB251*CB157+CC251*CC157+CD251*CD157+CE251*CE157+CF251*CF157+CG251*CG157+CH251*CH157+CI251*CI157+CJ251*CJ157+CK251*CK157+CL251*CL157+CM251*CM157+CN251*CN157</f>
        <v>0</v>
      </c>
      <c r="CU157" s="2652">
        <f>E252*E157+F252*F157+G252*G157+H252*H157+I252*I157+J252*J157+K252*K157+L252*L157+M252*M157+N252*N157+O252*O157+P252*P157+Q252*Q157+R252*R157+S252*S157+T252*T157+U252*U157+V252*V157+W252*W157+X252*X157+Y252*Y157+Z252*Z157+AA252*AA157+AB252*AB157+AC252*AC157+AD252*AD157+AE252*AE157+AF252*AF157+AG252*AG157+AH252*AH157+AI252*AI157+AJ252*AJ157+AK252*AK157+AL252*AL157+AM252*AM157+AN252*AN157+AO252*AO157+AP252*AP157+AQ252*AQ157+AR252*AR157+AS252*AS157+AT252*AT157+AU252*AU157+AV252*AV157+AW252*AW157+AX252*AX157+AY252*AY157+AZ252*AZ157+BA252*BA157+BB252*BB157+BC252*BC157+BD252*BD157+BE252*BE157+BF252*BF157+BG252*BG157+BH252*BH157+BI252*BI157+BJ252*BJ157+BK252*BK157+BL252*BL157+BM252*BM157+BN252*BN157+BO252*BO157+BP252*BP157+BQ252*BQ157+BR252*BR157+BS252*BS157+BT252*BT157+BU252*BU157+BV252*BV157+BW252*BW157+BX252*BX157+BY252*BY157+BZ252*BZ157+CA252*CA157+CB252*CB157+CC252*CC157+CD252*CD157+CE252*CE157+CF252*CF157+CG252*CG157+CH252*CH157+CI252*CI157+CJ252*CJ157+CK252*CK157+CL252*CL157+CM252*CM157+CN252*CN157</f>
        <v>-1.7347234759768071E-18</v>
      </c>
      <c r="CV157" s="2652">
        <f>E253*E157+F253*F157+G253*G157+H253*H157+I253*I157+J253*J157+K253*K157+L253*L157+M253*M157+N253*N157+O253*O157+P253*P157+Q253*Q157+R253*R157+S253*S157+T253*T157+U253*U157+V253*V157+W253*W157+X253*X157+Y253*Y157+Z253*Z157+AA253*AA157+AB253*AB157+AC253*AC157+AD253*AD157+AE253*AE157+AF253*AF157+AG253*AG157+AH253*AH157+AI253*AI157+AJ253*AJ157+AK253*AK157+AL253*AL157+AM253*AM157+AN253*AN157+AO253*AO157+AP253*AP157+AQ253*AQ157+AR253*AR157+AS253*AS157+AT253*AT157+AU253*AU157+AV253*AV157+AW253*AW157+AX253*AX157+AY253*AY157+AZ253*AZ157+BA253*BA157+BB253*BB157+BC253*BC157+BD253*BD157+BE253*BE157+BF253*BF157+BG253*BG157+BH253*BH157+BI253*BI157+BJ253*BJ157+BK253*BK157+BL253*BL157+BM253*BM157+BN253*BN157+BO253*BO157+BP253*BP157+BQ253*BQ157+BR253*BR157+BS253*BS157+BT253*BT157+BU253*BU157+BV253*BV157+BW253*BW157+BX253*BX157+BY253*BY157+BZ253*BZ157+CA253*CA157+CB253*CB157+CC253*CC157+CD253*CD157+CE253*CE157+CF253*CF157+CG253*CG157+CH253*CH157+CI253*CI157+CJ253*CJ157+CK253*CK157+CL253*CL157+CM253*CM157+CN253*CN157</f>
        <v>0</v>
      </c>
      <c r="CW157" s="2652">
        <f>E254*E157+F254*F157+G254*G157+H254*H157+I254*I157+J254*J157+K254*K157+L254*L157+M254*M157+N254*N157+O254*O157+P254*P157+Q254*Q157+R254*R157+S254*S157+T254*T157+U254*U157+V254*V157+W254*W157+X254*X157+Y254*Y157+Z254*Z157+AA254*AA157+AB254*AB157+AC254*AC157+AD254*AD157+AE254*AE157+AF254*AF157+AG254*AG157+AH254*AH157+AI254*AI157+AJ254*AJ157+AK254*AK157+AL254*AL157+AM254*AM157+AN254*AN157+AO254*AO157+AP254*AP157+AQ254*AQ157+AR254*AR157+AS254*AS157+AT254*AT157+AU254*AU157+AV254*AV157+AW254*AW157+AX254*AX157+AY254*AY157+AZ254*AZ157+BA254*BA157+BB254*BB157+BC254*BC157+BD254*BD157+BE254*BE157+BF254*BF157+BG254*BG157+BH254*BH157+BI254*BI157+BJ254*BJ157+BK254*BK157+BL254*BL157+BM254*BM157+BN254*BN157+BO254*BO157+BP254*BP157+BQ254*BQ157+BR254*BR157+BS254*BS157+BT254*BT157+BU254*BU157+BV254*BV157+BW254*BW157+BX254*BX157+BY254*BY157+BZ254*BZ157+CA254*CA157+CB254*CB157+CC254*CC157+CD254*CD157+CE254*CE157+CF254*CF157+CG254*CG157+CH254*CH157+CI254*CI157+CJ254*CJ157+CK254*CK157+CL254*CL157+CM254*CM157+CN254*CN157</f>
        <v>0</v>
      </c>
      <c r="CX157" s="2652">
        <f>E255*E157+F255*F157+G255*G157+H255*H157+I255*I157+J255*J157+K255*K157+L255*L157+M255*M157+N255*N157+O255*O157+P255*P157+Q255*Q157+R255*R157+S255*S157+T255*T157+U255*U157+V255*V157+W255*W157+X255*X157+Y255*Y157+Z255*Z157+AA255*AA157+AB255*AB157+AC255*AC157+AD255*AD157+AE255*AE157+AF255*AF157+AG255*AG157+AH255*AH157+AI255*AI157+AJ255*AJ157+AK255*AK157+AL255*AL157+AM255*AM157+AN255*AN157+AO255*AO157+AP255*AP157+AQ255*AQ157+AR255*AR157+AS255*AS157+AT255*AT157+AU255*AU157+AV255*AV157+AW255*AW157+AX255*AX157+AY255*AY157+AZ255*AZ157+BA255*BA157+BB255*BB157+BC255*BC157+BD255*BD157+BE255*BE157+BF255*BF157+BG255*BG157+BH255*BH157+BI255*BI157+BJ255*BJ157+BK255*BK157+BL255*BL157+BM255*BM157+BN255*BN157+BO255*BO157+BP255*BP157+BQ255*BQ157+BR255*BR157+BS255*BS157+BT255*BT157+BU255*BU157+BV255*BV157+BW255*BW157+BX255*BX157+BY255*BY157+BZ255*BZ157+CA255*CA157+CB255*CB157+CC255*CC157+CD255*CD157+CE255*CE157+CF255*CF157+CG255*CG157+CH255*CH157+CI255*CI157+CJ255*CJ157+CK255*CK157+CL255*CL157+CM255*CM157+CN255*CN157</f>
        <v>0</v>
      </c>
      <c r="CY157" s="2652">
        <f>E256*E157+F256*F157+G256*G157+H256*H157+I256*I157+J256*J157+K256*K157+L256*L157+M256*M157+N256*N157+O256*O157+P256*P157+Q256*Q157+R256*R157+S256*S157+T256*T157+U256*U157+V256*V157+W256*W157+X256*X157+Y256*Y157+Z256*Z157+AA256*AA157+AB256*AB157+AC256*AC157+AD256*AD157+AE256*AE157+AF256*AF157+AG256*AG157+AH256*AH157+AI256*AI157+AJ256*AJ157+AK256*AK157+AL256*AL157+AM256*AM157+AN256*AN157+AO256*AO157+AP256*AP157+AQ256*AQ157+AR256*AR157+AS256*AS157+AT256*AT157+AU256*AU157+AV256*AV157+AW256*AW157+AX256*AX157+AY256*AY157+AZ256*AZ157+BA256*BA157+BB256*BB157+BC256*BC157+BD256*BD157+BE256*BE157+BF256*BF157+BG256*BG157+BH256*BH157+BI256*BI157+BJ256*BJ157+BK256*BK157+BL256*BL157+BM256*BM157+BN256*BN157+BO256*BO157+BP256*BP157+BQ256*BQ157+BR256*BR157+BS256*BS157+BT256*BT157+BU256*BU157+BV256*BV157+BW256*BW157+BX256*BX157+BY256*BY157+BZ256*BZ157+CA256*CA157+CB256*CB157+CC256*CC157+CD256*CD157+CE256*CE157+CF256*CF157+CG256*CG157+CH256*CH157+CI256*CI157+CJ256*CJ157+CK256*CK157+CL256*CL157+CM256*CM157+CN256*CN157</f>
        <v>0</v>
      </c>
      <c r="CZ157" s="2652">
        <f>E257*E157+F257*F157+G257*G157+H257*H157+I257*I157+J257*J157+K257*K157+L257*L157+M257*M157+N257*N157+O257*O157+P257*P157+Q257*Q157+R257*R157+S257*S157+T257*T157+U257*U157+V257*V157+W257*W157+X257*X157+Y257*Y157+Z257*Z157+AA257*AA157+AB257*AB157+AC257*AC157+AD257*AD157+AE257*AE157+AF257*AF157+AG257*AG157+AH257*AH157+AI257*AI157+AJ257*AJ157+AK257*AK157+AL257*AL157+AM257*AM157+AN257*AN157+AO257*AO157+AP257*AP157+AQ257*AQ157+AR257*AR157+AS257*AS157+AT257*AT157+AU257*AU157+AV257*AV157+AW257*AW157+AX257*AX157+AY257*AY157+AZ257*AZ157+BA257*BA157+BB257*BB157+BC257*BC157+BD257*BD157+BE257*BE157+BF257*BF157+BG257*BG157+BH257*BH157+BI257*BI157+BJ257*BJ157+BK257*BK157+BL257*BL157+BM257*BM157+BN257*BN157+BO257*BO157+BP257*BP157+BQ257*BQ157+BR257*BR157+BS257*BS157+BT257*BT157+BU257*BU157+BV257*BV157+BW257*BW157+BX257*BX157+BY257*BY157+BZ257*BZ157+CA257*CA157+CB257*CB157+CC257*CC157+CD257*CD157+CE257*CE157+CF257*CF157+CG257*CG157+CH257*CH157+CI257*CI157+CJ257*CJ157+CK257*CK157+CL257*CL157+CM257*CM157+CN257*CN157</f>
        <v>0</v>
      </c>
      <c r="DA157" s="2652">
        <f>E258*E157+F258*F157+G258*G157+H258*H157+I258*I157+J258*J157+K258*K157+L258*L157+M258*M157+N258*N157+O258*O157+P258*P157+Q258*Q157+R258*R157+S258*S157+T258*T157+U258*U157+V258*V157+W258*W157+X258*X157+Y258*Y157+Z258*Z157+AA258*AA157+AB258*AB157+AC258*AC157+AD258*AD157+AE258*AE157+AF258*AF157+AG258*AG157+AH258*AH157+AI258*AI157+AJ258*AJ157+AK258*AK157+AL258*AL157+AM258*AM157+AN258*AN157+AO258*AO157+AP258*AP157+AQ258*AQ157+AR258*AR157+AS258*AS157+AT258*AT157+AU258*AU157+AV258*AV157+AW258*AW157+AX258*AX157+AY258*AY157+AZ258*AZ157+BA258*BA157+BB258*BB157+BC258*BC157+BD258*BD157+BE258*BE157+BF258*BF157+BG258*BG157+BH258*BH157+BI258*BI157+BJ258*BJ157+BK258*BK157+BL258*BL157+BM258*BM157+BN258*BN157+BO258*BO157+BP258*BP157+BQ258*BQ157+BR258*BR157+BS258*BS157+BT258*BT157+BU258*BU157+BV258*BV157+BW258*BW157+BX258*BX157+BY258*BY157+BZ258*BZ157+CA258*CA157+CB258*CB157+CC258*CC157+CD258*CD157+CE258*CE157+CF258*CF157+CG258*CG157+CH258*CH157+CI258*CI157+CJ258*CJ157+CK258*CK157+CL258*CL157+CM258*CM157+CN258*CN157</f>
        <v>0</v>
      </c>
    </row>
    <row r="158" spans="2:105" ht="18" x14ac:dyDescent="0.25">
      <c r="B158" s="1083">
        <v>25</v>
      </c>
      <c r="C158" s="1073" t="s">
        <v>247</v>
      </c>
      <c r="D158" s="806" t="s">
        <v>4096</v>
      </c>
      <c r="E158" s="2678">
        <f>0</f>
        <v>0</v>
      </c>
      <c r="F158" s="2678">
        <f>0</f>
        <v>0</v>
      </c>
      <c r="G158" s="2678">
        <f>0</f>
        <v>0</v>
      </c>
      <c r="H158" s="2678">
        <f>0</f>
        <v>0</v>
      </c>
      <c r="I158" s="2678">
        <f>0</f>
        <v>0</v>
      </c>
      <c r="J158" s="2678">
        <f>0</f>
        <v>0</v>
      </c>
      <c r="K158" s="2678">
        <f>0</f>
        <v>0</v>
      </c>
      <c r="L158" s="2678">
        <f>0</f>
        <v>0</v>
      </c>
      <c r="M158" s="2678">
        <f>0</f>
        <v>0</v>
      </c>
      <c r="N158" s="2678">
        <f>0</f>
        <v>0</v>
      </c>
      <c r="O158" s="2678">
        <f>0</f>
        <v>0</v>
      </c>
      <c r="P158" s="2681">
        <f>0</f>
        <v>0</v>
      </c>
      <c r="Q158" s="2681">
        <f>0</f>
        <v>0</v>
      </c>
      <c r="R158" s="2678">
        <f>0</f>
        <v>0</v>
      </c>
      <c r="S158" s="2678">
        <f>0</f>
        <v>0</v>
      </c>
      <c r="T158" s="2678">
        <f>0</f>
        <v>0</v>
      </c>
      <c r="U158" s="2678">
        <f>0</f>
        <v>0</v>
      </c>
      <c r="V158" s="2681">
        <f>-Y_PP_CASTO_anox</f>
        <v>-0.23</v>
      </c>
      <c r="W158" s="2678">
        <f>0</f>
        <v>0</v>
      </c>
      <c r="X158" s="2678">
        <f>0</f>
        <v>0</v>
      </c>
      <c r="Y158" s="2678">
        <f>0</f>
        <v>0</v>
      </c>
      <c r="Z158" s="2678">
        <f>0</f>
        <v>0</v>
      </c>
      <c r="AA158" s="2678">
        <f>0</f>
        <v>0</v>
      </c>
      <c r="AB158" s="2678">
        <f>0</f>
        <v>0</v>
      </c>
      <c r="AC158" s="2741">
        <f>0</f>
        <v>0</v>
      </c>
      <c r="AD158" s="2678">
        <f>i_N_BIO*Y_PP_CASTO_anox</f>
        <v>1.6100000000000003E-2</v>
      </c>
      <c r="AE158" s="2681">
        <f>-Y_PP_CASTO_anox/E_EQN2_NO2</f>
        <v>-0.13423590884658176</v>
      </c>
      <c r="AF158" s="2681">
        <f>0</f>
        <v>0</v>
      </c>
      <c r="AG158" s="2681">
        <f>Y_PP_CASTO_anox/E_EQN2_NO2</f>
        <v>0.13423590884658176</v>
      </c>
      <c r="AH158" s="2678">
        <f>0</f>
        <v>0</v>
      </c>
      <c r="AI158" s="2678">
        <f>0</f>
        <v>0</v>
      </c>
      <c r="AJ158" s="2678">
        <f>0</f>
        <v>0</v>
      </c>
      <c r="AK158" s="2678">
        <f>0</f>
        <v>0</v>
      </c>
      <c r="AL158" s="2681">
        <f>i_P_BIO*Y_PP_CASTO_anox-1</f>
        <v>-0.99539999999999995</v>
      </c>
      <c r="AM158" s="2678">
        <f>1</f>
        <v>1</v>
      </c>
      <c r="AN158" s="2678">
        <f>0</f>
        <v>0</v>
      </c>
      <c r="AO158" s="2678">
        <f>0</f>
        <v>0</v>
      </c>
      <c r="AP158" s="2678">
        <f>0</f>
        <v>0</v>
      </c>
      <c r="AQ158" s="2678">
        <f>0</f>
        <v>0</v>
      </c>
      <c r="AR158" s="2678">
        <f>0</f>
        <v>0</v>
      </c>
      <c r="AS158" s="2678">
        <f>0</f>
        <v>0</v>
      </c>
      <c r="AT158" s="2678">
        <f>0</f>
        <v>0</v>
      </c>
      <c r="AU158" s="2681">
        <f>i_CIT_BIO*Y_PP_CASTO_anox</f>
        <v>8.0960000000000004E-2</v>
      </c>
      <c r="AV158" s="2681">
        <f>-i_INORG*Y_PP_CASTO_anox</f>
        <v>-2.53E-2</v>
      </c>
      <c r="AW158" s="2681">
        <f>Y_PP_CASTO_anox*i_INORG*(1-i_Ca_INORG*(A_MCa+2*A_MCl)/A_MCa-i_Mg_INORG*(A_MMg+2*A_MCl)/A_MMg)*f_Na</f>
        <v>6.6249898240436462E-3</v>
      </c>
      <c r="AX158" s="2681">
        <f>Y_PP_CASTO_anox*(i_INORG*(i_Ca_INORG*(2*A_MCl)/A_MCa+i_Mg_INORG*(2*A_MCl)/A_MMg)+i_INORG*(1-i_Ca_INORG*(A_MCa+2*A_MCl)/A_MCa-i_Mg_INORG*(A_MMg+2*A_MCl)/A_MMg)*(1-f_Na))</f>
        <v>1.6145010175956355E-2</v>
      </c>
      <c r="AY158" s="2681">
        <f>Y_PP_CASTO_anox*i_INORG*i_Ca_INORG-i_Ca_PP*A_MCa/A_MP</f>
        <v>-0.12812838702613275</v>
      </c>
      <c r="AZ158" s="2681">
        <f>Y_PP_CASTO_anox*i_INORG*i_Mg_INORG-i_Mg_PP*A_MMg/A_MP</f>
        <v>-0.27337874347136937</v>
      </c>
      <c r="BA158" s="2681">
        <f>-i_K_PP*A_MK/A_MP</f>
        <v>-0.12623038734377579</v>
      </c>
      <c r="BB158" s="2681">
        <f>0</f>
        <v>0</v>
      </c>
      <c r="BC158" s="2681">
        <f>0</f>
        <v>0</v>
      </c>
      <c r="BD158" s="2681">
        <f>0</f>
        <v>0</v>
      </c>
      <c r="BE158" s="2681">
        <f>0</f>
        <v>0</v>
      </c>
      <c r="BF158" s="2681">
        <f>0</f>
        <v>0</v>
      </c>
      <c r="BG158" s="2681">
        <f>0</f>
        <v>0</v>
      </c>
      <c r="BH158" s="2681">
        <f>0</f>
        <v>0</v>
      </c>
      <c r="BI158" s="2681">
        <f>0</f>
        <v>0</v>
      </c>
      <c r="BJ158" s="2766">
        <f>0</f>
        <v>0</v>
      </c>
      <c r="BK158" s="2766">
        <f>0</f>
        <v>0</v>
      </c>
      <c r="BL158" s="2766">
        <f>0</f>
        <v>0</v>
      </c>
      <c r="BM158" s="2766">
        <f>0</f>
        <v>0</v>
      </c>
      <c r="BN158" s="2766">
        <f>0</f>
        <v>0</v>
      </c>
      <c r="BO158" s="2766">
        <f>0</f>
        <v>0</v>
      </c>
      <c r="BP158" s="2766">
        <f>0</f>
        <v>0</v>
      </c>
      <c r="BQ158" s="2681">
        <f>0</f>
        <v>0</v>
      </c>
      <c r="BR158" s="2681">
        <f>0</f>
        <v>0</v>
      </c>
      <c r="BS158" s="2766">
        <f>0</f>
        <v>0</v>
      </c>
      <c r="BT158" s="2681">
        <f>0</f>
        <v>0</v>
      </c>
      <c r="BU158" s="2681">
        <f>0</f>
        <v>0</v>
      </c>
      <c r="BV158" s="2758">
        <f>0</f>
        <v>0</v>
      </c>
      <c r="BW158" s="2758">
        <f>0</f>
        <v>0</v>
      </c>
      <c r="BX158" s="2758">
        <f>0</f>
        <v>0</v>
      </c>
      <c r="BY158" s="2758">
        <f>0</f>
        <v>0</v>
      </c>
      <c r="BZ158" s="2681">
        <f>0</f>
        <v>0</v>
      </c>
      <c r="CA158" s="2681">
        <f>0</f>
        <v>0</v>
      </c>
      <c r="CB158" s="2728">
        <f>0</f>
        <v>0</v>
      </c>
      <c r="CC158" s="2681">
        <f>0</f>
        <v>0</v>
      </c>
      <c r="CD158" s="2681">
        <f>0</f>
        <v>0</v>
      </c>
      <c r="CE158" s="2681">
        <f>0</f>
        <v>0</v>
      </c>
      <c r="CF158" s="2681">
        <f>0</f>
        <v>0</v>
      </c>
      <c r="CG158" s="2681">
        <f>0</f>
        <v>0</v>
      </c>
      <c r="CH158" s="2681">
        <f>0</f>
        <v>0</v>
      </c>
      <c r="CI158" s="2681">
        <f>0</f>
        <v>0</v>
      </c>
      <c r="CJ158" s="2681">
        <f>0</f>
        <v>0</v>
      </c>
      <c r="CK158" s="2681">
        <f>0</f>
        <v>0</v>
      </c>
      <c r="CL158" s="2681">
        <f>0</f>
        <v>0</v>
      </c>
      <c r="CM158" s="2681">
        <f>0</f>
        <v>0</v>
      </c>
      <c r="CN158" s="2681">
        <f>0</f>
        <v>0</v>
      </c>
      <c r="CO158" s="2828">
        <f>q_PAO_PP_T*X_PAO/(X_PP+X_PP_PAO_min)*X_PAO*η_CASTO_anox*M_satSNO2_KNO2_CASTO*M_inhSO2_KO2_CASTO*L_ogsatSPO4_KPO4_PAO*L_oginhXPP_XPAO_max*M_satSCa_KCa_PAO*M_satSMg_KMg_PAO*M_satSK_KK_PAO*B_ellinhpH</f>
        <v>3.3749587703170105</v>
      </c>
      <c r="CQ158" s="2650">
        <f>E248*E158+F248*F158+G248*G158+H248*H158+I248*I158+J248*J158+K248*K158+L248*L158+M248*M158+N248*N158+O248*O158+P248*P158+Q248*Q158+R248*R158+S248*S158+T248*T158+U248*U158+V248*V158+W248*W158+X248*X158+Y248*Y158+Z248*Z158+AA248*AA158+AB248*AB158+AC248*AC158+AD248*AD158+AE248*AE158+AF248*AF158+AG248*AG158+AH248*AH158+AI248*AI158+AJ248*AJ158+AK248*AK158+AL248*AL158+AM248*AM158+AN248*AN158+AO248*AO158+AP248*AP158+AQ248*AQ158+AR248*AR158+AS248*AS158+AT248*AT158+AU248*AU158+AV248*AV158+AW248*AW158+AX248*AX158+AY248*AY158+AZ248*AZ158+BA248*BA158+BB248*BB158+BC248*BC158+BD248*BD158+BE248*BE158+BF248*BF158+BG248*BG158+BH248*BH158+BI248*BI158+BJ248*BJ158+BK248*BK158+BL248*BL158+BM248*BM158+BN248*BN158+BO248*BO158+BP248*BP158+BQ248*BQ158+BR248*BR158+BS248*BS158+BT248*BT158+BU248*BU158+BV248*BV158+BW248*BW158+BX248*BX158+BY248*BY158+BZ248*BZ158+CA248*CA158+CB248*CB158+CC248*CC158+CD248*CD158+CE248*CE158+CF248*CF158+CG248*CG158+CH248*CH158+CI248*CI158+CJ248*CJ158+CK248*CK158+CL248*CL158+CM248*CM158+CN248*CN158</f>
        <v>0</v>
      </c>
      <c r="CR158" s="2650">
        <f>E249*E158+F249*F158+G249*G158+H249*H158+I249*I158+J249*J158+K249*K158+L249*L158+M249*M158+N249*N158+O249*O158+P249*P158+Q249*Q158+R249*R158+S249*S158+T249*T158+U249*U158+V249*V158+W249*W158+X249*X158+Y249*Y158+Z249*Z158+AA249*AA158+AB249*AB158+AC249*AC158+AD249*AD158+AE249*AE158+AF249*AF158+AG249*AG158+AH249*AH158+AI249*AI158+AJ249*AJ158+AK249*AK158+AL249*AL158+AM249*AM158+AN249*AN158+AO249*AO158+AP249*AP158+AQ249*AQ158+AR249*AR158+AS249*AS158+AT249*AT158+AU249*AU158+AV249*AV158+AW249*AW158+AX249*AX158+AY249*AY158+AZ249*AZ158+BA249*BA158+BB249*BB158+BC249*BC158+BD249*BD158+BE249*BE158+BF249*BF158+BG249*BG158+BH249*BH158+BI249*BI158+BJ249*BJ158+BK249*BK158+BL249*BL158+BM249*BM158+BN249*BN158+BO249*BO158+BP249*BP158+BQ249*BQ158+BR249*BR158+BS249*BS158+BT249*BT158+BU249*BU158+BV249*BV158+BW249*BW158+BX249*BX158+BY249*BY158+BZ249*BZ158+CA249*CA158+CB249*CB158+CC249*CC158+CD249*CD158+CE249*CE158+CF249*CF158+CG249*CG158+CH249*CH158+CI249*CI158+CJ249*CJ158+CK249*CK158+CL249*CL158+CM249*CM158+CN249*CN158</f>
        <v>0</v>
      </c>
      <c r="CS158" s="2651">
        <f>E250*E158+F250*F158+G250*G158+H250*H158+I250*I158+J250*J158+K250*K158+L250*L158+M250*M158+N250*N158+O250*O158+P250*P158+Q250*Q158+R250*R158+S250*S158+T250*T158+U250*U158+V250*V158+W250*W158+X250*X158+Y250*Y158+Z250*Z158+AA250*AA158+AB250*AB158+AC250*AC158+AD250*AD158+AE250*AE158+AF250*AF158+AG250*AG158+AH250*AH158+AI250*AI158+AJ250*AJ158+AK250*AK158+AL250*AL158+AM250*AM158+AN250*AN158+AO250*AO158+AP250*AP158+AQ250*AQ158+AR250*AR158+AS250*AS158+AT250*AT158+AU250*AU158+AV250*AV158+AW250*AW158+AX250*AX158+AY250*AY158+AZ250*AZ158+BA250*BA158+BB250*BB158+BC250*BC158+BD250*BD158+BE250*BE158+BF250*BF158+BG250*BG158+BH250*BH158+BI250*BI158+BJ250*BJ158+BK250*BK158+BL250*BL158+BM250*BM158+BN250*BN158+BO250*BO158+BP250*BP158+BQ250*BQ158+BR250*BR158+BS250*BS158+BT250*BT158+BU250*BU158+BV250*BV158+BW250*BW158+BX250*BX158+BY250*BY158+BZ250*BZ158+CA250*CA158+CB250*CB158+CC250*CC158+CD250*CD158+CE250*CE158+CF250*CF158+CG250*CG158+CH250*CH158+CI250*CI158+CJ250*CJ158+CK250*CK158+CL250*CL158+CM250*CM158+CN250*CN158</f>
        <v>0</v>
      </c>
      <c r="CT158" s="2652">
        <f>E251*E158+F251*F158+G251*G158+H251*H158+I251*I158+J251*J158+K251*K158+L251*L158+M251*M158+N251*N158+O251*O158+P251*P158+Q251*Q158+R251*R158+S251*S158+T251*T158+U251*U158+V251*V158+W251*W158+X251*X158+Y251*Y158+Z251*Z158+AA251*AA158+AB251*AB158+AC251*AC158+AD251*AD158+AE251*AE158+AF251*AF158+AG251*AG158+AH251*AH158+AI251*AI158+AJ251*AJ158+AK251*AK158+AL251*AL158+AM251*AM158+AN251*AN158+AO251*AO158+AP251*AP158+AQ251*AQ158+AR251*AR158+AS251*AS158+AT251*AT158+AU251*AU158+AV251*AV158+AW251*AW158+AX251*AX158+AY251*AY158+AZ251*AZ158+BA251*BA158+BB251*BB158+BC251*BC158+BD251*BD158+BE251*BE158+BF251*BF158+BG251*BG158+BH251*BH158+BI251*BI158+BJ251*BJ158+BK251*BK158+BL251*BL158+BM251*BM158+BN251*BN158+BO251*BO158+BP251*BP158+BQ251*BQ158+BR251*BR158+BS251*BS158+BT251*BT158+BU251*BU158+BV251*BV158+BW251*BW158+BX251*BX158+BY251*BY158+BZ251*BZ158+CA251*CA158+CB251*CB158+CC251*CC158+CD251*CD158+CE251*CE158+CF251*CF158+CG251*CG158+CH251*CH158+CI251*CI158+CJ251*CJ158+CK251*CK158+CL251*CL158+CM251*CM158+CN251*CN158</f>
        <v>0</v>
      </c>
      <c r="CU158" s="2652">
        <f>E252*E158+F252*F158+G252*G158+H252*H158+I252*I158+J252*J158+K252*K158+L252*L158+M252*M158+N252*N158+O252*O158+P252*P158+Q252*Q158+R252*R158+S252*S158+T252*T158+U252*U158+V252*V158+W252*W158+X252*X158+Y252*Y158+Z252*Z158+AA252*AA158+AB252*AB158+AC252*AC158+AD252*AD158+AE252*AE158+AF252*AF158+AG252*AG158+AH252*AH158+AI252*AI158+AJ252*AJ158+AK252*AK158+AL252*AL158+AM252*AM158+AN252*AN158+AO252*AO158+AP252*AP158+AQ252*AQ158+AR252*AR158+AS252*AS158+AT252*AT158+AU252*AU158+AV252*AV158+AW252*AW158+AX252*AX158+AY252*AY158+AZ252*AZ158+BA252*BA158+BB252*BB158+BC252*BC158+BD252*BD158+BE252*BE158+BF252*BF158+BG252*BG158+BH252*BH158+BI252*BI158+BJ252*BJ158+BK252*BK158+BL252*BL158+BM252*BM158+BN252*BN158+BO252*BO158+BP252*BP158+BQ252*BQ158+BR252*BR158+BS252*BS158+BT252*BT158+BU252*BU158+BV252*BV158+BW252*BW158+BX252*BX158+BY252*BY158+BZ252*BZ158+CA252*CA158+CB252*CB158+CC252*CC158+CD252*CD158+CE252*CE158+CF252*CF158+CG252*CG158+CH252*CH158+CI252*CI158+CJ252*CJ158+CK252*CK158+CL252*CL158+CM252*CM158+CN252*CN158</f>
        <v>-8.6736173798840355E-19</v>
      </c>
      <c r="CV158" s="2652">
        <f>E253*E158+F253*F158+G253*G158+H253*H158+I253*I158+J253*J158+K253*K158+L253*L158+M253*M158+N253*N158+O253*O158+P253*P158+Q253*Q158+R253*R158+S253*S158+T253*T158+U253*U158+V253*V158+W253*W158+X253*X158+Y253*Y158+Z253*Z158+AA253*AA158+AB253*AB158+AC253*AC158+AD253*AD158+AE253*AE158+AF253*AF158+AG253*AG158+AH253*AH158+AI253*AI158+AJ253*AJ158+AK253*AK158+AL253*AL158+AM253*AM158+AN253*AN158+AO253*AO158+AP253*AP158+AQ253*AQ158+AR253*AR158+AS253*AS158+AT253*AT158+AU253*AU158+AV253*AV158+AW253*AW158+AX253*AX158+AY253*AY158+AZ253*AZ158+BA253*BA158+BB253*BB158+BC253*BC158+BD253*BD158+BE253*BE158+BF253*BF158+BG253*BG158+BH253*BH158+BI253*BI158+BJ253*BJ158+BK253*BK158+BL253*BL158+BM253*BM158+BN253*BN158+BO253*BO158+BP253*BP158+BQ253*BQ158+BR253*BR158+BS253*BS158+BT253*BT158+BU253*BU158+BV253*BV158+BW253*BW158+BX253*BX158+BY253*BY158+BZ253*BZ158+CA253*CA158+CB253*CB158+CC253*CC158+CD253*CD158+CE253*CE158+CF253*CF158+CG253*CG158+CH253*CH158+CI253*CI158+CJ253*CJ158+CK253*CK158+CL253*CL158+CM253*CM158+CN253*CN158</f>
        <v>0</v>
      </c>
      <c r="CW158" s="2652">
        <f>E254*E158+F254*F158+G254*G158+H254*H158+I254*I158+J254*J158+K254*K158+L254*L158+M254*M158+N254*N158+O254*O158+P254*P158+Q254*Q158+R254*R158+S254*S158+T254*T158+U254*U158+V254*V158+W254*W158+X254*X158+Y254*Y158+Z254*Z158+AA254*AA158+AB254*AB158+AC254*AC158+AD254*AD158+AE254*AE158+AF254*AF158+AG254*AG158+AH254*AH158+AI254*AI158+AJ254*AJ158+AK254*AK158+AL254*AL158+AM254*AM158+AN254*AN158+AO254*AO158+AP254*AP158+AQ254*AQ158+AR254*AR158+AS254*AS158+AT254*AT158+AU254*AU158+AV254*AV158+AW254*AW158+AX254*AX158+AY254*AY158+AZ254*AZ158+BA254*BA158+BB254*BB158+BC254*BC158+BD254*BD158+BE254*BE158+BF254*BF158+BG254*BG158+BH254*BH158+BI254*BI158+BJ254*BJ158+BK254*BK158+BL254*BL158+BM254*BM158+BN254*BN158+BO254*BO158+BP254*BP158+BQ254*BQ158+BR254*BR158+BS254*BS158+BT254*BT158+BU254*BU158+BV254*BV158+BW254*BW158+BX254*BX158+BY254*BY158+BZ254*BZ158+CA254*CA158+CB254*CB158+CC254*CC158+CD254*CD158+CE254*CE158+CF254*CF158+CG254*CG158+CH254*CH158+CI254*CI158+CJ254*CJ158+CK254*CK158+CL254*CL158+CM254*CM158+CN254*CN158</f>
        <v>0</v>
      </c>
      <c r="CX158" s="2652">
        <f>E255*E158+F255*F158+G255*G158+H255*H158+I255*I158+J255*J158+K255*K158+L255*L158+M255*M158+N255*N158+O255*O158+P255*P158+Q255*Q158+R255*R158+S255*S158+T255*T158+U255*U158+V255*V158+W255*W158+X255*X158+Y255*Y158+Z255*Z158+AA255*AA158+AB255*AB158+AC255*AC158+AD255*AD158+AE255*AE158+AF255*AF158+AG255*AG158+AH255*AH158+AI255*AI158+AJ255*AJ158+AK255*AK158+AL255*AL158+AM255*AM158+AN255*AN158+AO255*AO158+AP255*AP158+AQ255*AQ158+AR255*AR158+AS255*AS158+AT255*AT158+AU255*AU158+AV255*AV158+AW255*AW158+AX255*AX158+AY255*AY158+AZ255*AZ158+BA255*BA158+BB255*BB158+BC255*BC158+BD255*BD158+BE255*BE158+BF255*BF158+BG255*BG158+BH255*BH158+BI255*BI158+BJ255*BJ158+BK255*BK158+BL255*BL158+BM255*BM158+BN255*BN158+BO255*BO158+BP255*BP158+BQ255*BQ158+BR255*BR158+BS255*BS158+BT255*BT158+BU255*BU158+BV255*BV158+BW255*BW158+BX255*BX158+BY255*BY158+BZ255*BZ158+CA255*CA158+CB255*CB158+CC255*CC158+CD255*CD158+CE255*CE158+CF255*CF158+CG255*CG158+CH255*CH158+CI255*CI158+CJ255*CJ158+CK255*CK158+CL255*CL158+CM255*CM158+CN255*CN158</f>
        <v>0</v>
      </c>
      <c r="CY158" s="2652">
        <f>E256*E158+F256*F158+G256*G158+H256*H158+I256*I158+J256*J158+K256*K158+L256*L158+M256*M158+N256*N158+O256*O158+P256*P158+Q256*Q158+R256*R158+S256*S158+T256*T158+U256*U158+V256*V158+W256*W158+X256*X158+Y256*Y158+Z256*Z158+AA256*AA158+AB256*AB158+AC256*AC158+AD256*AD158+AE256*AE158+AF256*AF158+AG256*AG158+AH256*AH158+AI256*AI158+AJ256*AJ158+AK256*AK158+AL256*AL158+AM256*AM158+AN256*AN158+AO256*AO158+AP256*AP158+AQ256*AQ158+AR256*AR158+AS256*AS158+AT256*AT158+AU256*AU158+AV256*AV158+AW256*AW158+AX256*AX158+AY256*AY158+AZ256*AZ158+BA256*BA158+BB256*BB158+BC256*BC158+BD256*BD158+BE256*BE158+BF256*BF158+BG256*BG158+BH256*BH158+BI256*BI158+BJ256*BJ158+BK256*BK158+BL256*BL158+BM256*BM158+BN256*BN158+BO256*BO158+BP256*BP158+BQ256*BQ158+BR256*BR158+BS256*BS158+BT256*BT158+BU256*BU158+BV256*BV158+BW256*BW158+BX256*BX158+BY256*BY158+BZ256*BZ158+CA256*CA158+CB256*CB158+CC256*CC158+CD256*CD158+CE256*CE158+CF256*CF158+CG256*CG158+CH256*CH158+CI256*CI158+CJ256*CJ158+CK256*CK158+CL256*CL158+CM256*CM158+CN256*CN158</f>
        <v>0</v>
      </c>
      <c r="CZ158" s="2652">
        <f>E257*E158+F257*F158+G257*G158+H257*H158+I257*I158+J257*J158+K257*K158+L257*L158+M257*M158+N257*N158+O257*O158+P257*P158+Q257*Q158+R257*R158+S257*S158+T257*T158+U257*U158+V257*V158+W257*W158+X257*X158+Y257*Y158+Z257*Z158+AA257*AA158+AB257*AB158+AC257*AC158+AD257*AD158+AE257*AE158+AF257*AF158+AG257*AG158+AH257*AH158+AI257*AI158+AJ257*AJ158+AK257*AK158+AL257*AL158+AM257*AM158+AN257*AN158+AO257*AO158+AP257*AP158+AQ257*AQ158+AR257*AR158+AS257*AS158+AT257*AT158+AU257*AU158+AV257*AV158+AW257*AW158+AX257*AX158+AY257*AY158+AZ257*AZ158+BA257*BA158+BB257*BB158+BC257*BC158+BD257*BD158+BE257*BE158+BF257*BF158+BG257*BG158+BH257*BH158+BI257*BI158+BJ257*BJ158+BK257*BK158+BL257*BL158+BM257*BM158+BN257*BN158+BO257*BO158+BP257*BP158+BQ257*BQ158+BR257*BR158+BS257*BS158+BT257*BT158+BU257*BU158+BV257*BV158+BW257*BW158+BX257*BX158+BY257*BY158+BZ257*BZ158+CA257*CA158+CB257*CB158+CC257*CC158+CD257*CD158+CE257*CE158+CF257*CF158+CG257*CG158+CH257*CH158+CI257*CI158+CJ257*CJ158+CK257*CK158+CL257*CL158+CM257*CM158+CN257*CN158</f>
        <v>0</v>
      </c>
      <c r="DA158" s="2652">
        <f>E258*E158+F258*F158+G258*G158+H258*H158+I258*I158+J258*J158+K258*K158+L258*L158+M258*M158+N258*N158+O258*O158+P258*P158+Q258*Q158+R258*R158+S258*S158+T258*T158+U258*U158+V258*V158+W258*W158+X258*X158+Y258*Y158+Z258*Z158+AA258*AA158+AB258*AB158+AC258*AC158+AD258*AD158+AE258*AE158+AF258*AF158+AG258*AG158+AH258*AH158+AI258*AI158+AJ258*AJ158+AK258*AK158+AL258*AL158+AM258*AM158+AN258*AN158+AO258*AO158+AP258*AP158+AQ258*AQ158+AR258*AR158+AS258*AS158+AT258*AT158+AU258*AU158+AV258*AV158+AW258*AW158+AX258*AX158+AY258*AY158+AZ258*AZ158+BA258*BA158+BB258*BB158+BC258*BC158+BD258*BD158+BE258*BE158+BF258*BF158+BG258*BG158+BH258*BH158+BI258*BI158+BJ258*BJ158+BK258*BK158+BL258*BL158+BM258*BM158+BN258*BN158+BO258*BO158+BP258*BP158+BQ258*BQ158+BR258*BR158+BS258*BS158+BT258*BT158+BU258*BU158+BV258*BV158+BW258*BW158+BX258*BX158+BY258*BY158+BZ258*BZ158+CA258*CA158+CB258*CB158+CC258*CC158+CD258*CD158+CE258*CE158+CF258*CF158+CG258*CG158+CH258*CH158+CI258*CI158+CJ258*CJ158+CK258*CK158+CL258*CL158+CM258*CM158+CN258*CN158</f>
        <v>0</v>
      </c>
    </row>
    <row r="159" spans="2:105" ht="18" x14ac:dyDescent="0.25">
      <c r="B159" s="1083">
        <v>26</v>
      </c>
      <c r="C159" s="1073" t="s">
        <v>248</v>
      </c>
      <c r="D159" s="806" t="s">
        <v>4097</v>
      </c>
      <c r="E159" s="2678">
        <f>0</f>
        <v>0</v>
      </c>
      <c r="F159" s="2678">
        <f>0</f>
        <v>0</v>
      </c>
      <c r="G159" s="2678">
        <f>0</f>
        <v>0</v>
      </c>
      <c r="H159" s="2678">
        <f>0</f>
        <v>0</v>
      </c>
      <c r="I159" s="2678">
        <f>0</f>
        <v>0</v>
      </c>
      <c r="J159" s="2678">
        <f>0</f>
        <v>0</v>
      </c>
      <c r="K159" s="2678">
        <f>0</f>
        <v>0</v>
      </c>
      <c r="L159" s="2678">
        <f>0</f>
        <v>0</v>
      </c>
      <c r="M159" s="2678">
        <f>0</f>
        <v>0</v>
      </c>
      <c r="N159" s="2678">
        <f>0</f>
        <v>0</v>
      </c>
      <c r="O159" s="2678">
        <f>0</f>
        <v>0</v>
      </c>
      <c r="P159" s="2681">
        <f>0</f>
        <v>0</v>
      </c>
      <c r="Q159" s="2681">
        <f>0</f>
        <v>0</v>
      </c>
      <c r="R159" s="2678">
        <f>0</f>
        <v>0</v>
      </c>
      <c r="S159" s="2678">
        <f>0</f>
        <v>0</v>
      </c>
      <c r="T159" s="2678">
        <f>0</f>
        <v>0</v>
      </c>
      <c r="U159" s="2678">
        <f>0</f>
        <v>0</v>
      </c>
      <c r="V159" s="2681">
        <f>-Y_PP_CASTO_anox</f>
        <v>-0.23</v>
      </c>
      <c r="W159" s="2678">
        <f>0</f>
        <v>0</v>
      </c>
      <c r="X159" s="2678">
        <f>0</f>
        <v>0</v>
      </c>
      <c r="Y159" s="2678">
        <f>0</f>
        <v>0</v>
      </c>
      <c r="Z159" s="2678">
        <f>0</f>
        <v>0</v>
      </c>
      <c r="AA159" s="2678">
        <f>0</f>
        <v>0</v>
      </c>
      <c r="AB159" s="2678">
        <f>0</f>
        <v>0</v>
      </c>
      <c r="AC159" s="2741">
        <f>0</f>
        <v>0</v>
      </c>
      <c r="AD159" s="2678">
        <f>i_N_BIO*Y_PP_CASTO_anox</f>
        <v>1.6100000000000003E-2</v>
      </c>
      <c r="AE159" s="2681">
        <f>Y_PP_CASTO_anox/E_EQNO2_NO3</f>
        <v>0.20135386326987265</v>
      </c>
      <c r="AF159" s="2681">
        <f>-Y_PP_CASTO_anox/E_EQNO2_NO3</f>
        <v>-0.20135386326987265</v>
      </c>
      <c r="AG159" s="2678">
        <f>0</f>
        <v>0</v>
      </c>
      <c r="AH159" s="2678">
        <f>0</f>
        <v>0</v>
      </c>
      <c r="AI159" s="2678">
        <f>0</f>
        <v>0</v>
      </c>
      <c r="AJ159" s="2678">
        <f>0</f>
        <v>0</v>
      </c>
      <c r="AK159" s="2678">
        <f>0</f>
        <v>0</v>
      </c>
      <c r="AL159" s="2681">
        <f>i_P_BIO*Y_PP_CASTO_anox-1</f>
        <v>-0.99539999999999995</v>
      </c>
      <c r="AM159" s="2678">
        <f>1</f>
        <v>1</v>
      </c>
      <c r="AN159" s="2678">
        <f>0</f>
        <v>0</v>
      </c>
      <c r="AO159" s="2678">
        <f>0</f>
        <v>0</v>
      </c>
      <c r="AP159" s="2678">
        <f>0</f>
        <v>0</v>
      </c>
      <c r="AQ159" s="2678">
        <f>0</f>
        <v>0</v>
      </c>
      <c r="AR159" s="2678">
        <f>0</f>
        <v>0</v>
      </c>
      <c r="AS159" s="2678">
        <f>0</f>
        <v>0</v>
      </c>
      <c r="AT159" s="2678">
        <f>0</f>
        <v>0</v>
      </c>
      <c r="AU159" s="2681">
        <f>i_CIT_BIO*Y_PP_CASTO_anox</f>
        <v>8.0960000000000004E-2</v>
      </c>
      <c r="AV159" s="2681">
        <f>-i_INORG*Y_PP_CASTO_anox</f>
        <v>-2.53E-2</v>
      </c>
      <c r="AW159" s="2681">
        <f>Y_PP_CASTO_anox*i_INORG*(1-i_Ca_INORG*(A_MCa+2*A_MCl)/A_MCa-i_Mg_INORG*(A_MMg+2*A_MCl)/A_MMg)*f_Na</f>
        <v>6.6249898240436462E-3</v>
      </c>
      <c r="AX159" s="2681">
        <f>Y_PP_CASTO_anox*(i_INORG*(i_Ca_INORG*(2*A_MCl)/A_MCa+i_Mg_INORG*(2*A_MCl)/A_MMg)+i_INORG*(1-i_Ca_INORG*(A_MCa+2*A_MCl)/A_MCa-i_Mg_INORG*(A_MMg+2*A_MCl)/A_MMg)*(1-f_Na))</f>
        <v>1.6145010175956355E-2</v>
      </c>
      <c r="AY159" s="2681">
        <f>Y_PP_CASTO_anox*i_INORG*i_Ca_INORG-i_Ca_PP*A_MCa/A_MP</f>
        <v>-0.12812838702613275</v>
      </c>
      <c r="AZ159" s="2681">
        <f>Y_PP_CASTO_anox*i_INORG*i_Mg_INORG-i_Mg_PP*A_MMg/A_MP</f>
        <v>-0.27337874347136937</v>
      </c>
      <c r="BA159" s="2681">
        <f>-i_K_PP*A_MK/A_MP</f>
        <v>-0.12623038734377579</v>
      </c>
      <c r="BB159" s="2681">
        <f>0</f>
        <v>0</v>
      </c>
      <c r="BC159" s="2681">
        <f>0</f>
        <v>0</v>
      </c>
      <c r="BD159" s="2681">
        <f>0</f>
        <v>0</v>
      </c>
      <c r="BE159" s="2681">
        <f>0</f>
        <v>0</v>
      </c>
      <c r="BF159" s="2681">
        <f>0</f>
        <v>0</v>
      </c>
      <c r="BG159" s="2681">
        <f>0</f>
        <v>0</v>
      </c>
      <c r="BH159" s="2681">
        <f>0</f>
        <v>0</v>
      </c>
      <c r="BI159" s="2681">
        <f>0</f>
        <v>0</v>
      </c>
      <c r="BJ159" s="2766">
        <f>0</f>
        <v>0</v>
      </c>
      <c r="BK159" s="2766">
        <f>0</f>
        <v>0</v>
      </c>
      <c r="BL159" s="2766">
        <f>0</f>
        <v>0</v>
      </c>
      <c r="BM159" s="2766">
        <f>0</f>
        <v>0</v>
      </c>
      <c r="BN159" s="2766">
        <f>0</f>
        <v>0</v>
      </c>
      <c r="BO159" s="2766">
        <f>0</f>
        <v>0</v>
      </c>
      <c r="BP159" s="2766">
        <f>0</f>
        <v>0</v>
      </c>
      <c r="BQ159" s="2681">
        <f>0</f>
        <v>0</v>
      </c>
      <c r="BR159" s="2681">
        <f>0</f>
        <v>0</v>
      </c>
      <c r="BS159" s="2766">
        <f>0</f>
        <v>0</v>
      </c>
      <c r="BT159" s="2681">
        <f>0</f>
        <v>0</v>
      </c>
      <c r="BU159" s="2681">
        <f>0</f>
        <v>0</v>
      </c>
      <c r="BV159" s="2758">
        <f>0</f>
        <v>0</v>
      </c>
      <c r="BW159" s="2758">
        <f>0</f>
        <v>0</v>
      </c>
      <c r="BX159" s="2758">
        <f>0</f>
        <v>0</v>
      </c>
      <c r="BY159" s="2758">
        <f>0</f>
        <v>0</v>
      </c>
      <c r="BZ159" s="2681">
        <f>0</f>
        <v>0</v>
      </c>
      <c r="CA159" s="2681">
        <f>0</f>
        <v>0</v>
      </c>
      <c r="CB159" s="2728">
        <f>0</f>
        <v>0</v>
      </c>
      <c r="CC159" s="2681">
        <f>0</f>
        <v>0</v>
      </c>
      <c r="CD159" s="2681">
        <f>0</f>
        <v>0</v>
      </c>
      <c r="CE159" s="2681">
        <f>0</f>
        <v>0</v>
      </c>
      <c r="CF159" s="2681">
        <f>0</f>
        <v>0</v>
      </c>
      <c r="CG159" s="2681">
        <f>0</f>
        <v>0</v>
      </c>
      <c r="CH159" s="2681">
        <f>0</f>
        <v>0</v>
      </c>
      <c r="CI159" s="2681">
        <f>0</f>
        <v>0</v>
      </c>
      <c r="CJ159" s="2681">
        <f>0</f>
        <v>0</v>
      </c>
      <c r="CK159" s="2681">
        <f>0</f>
        <v>0</v>
      </c>
      <c r="CL159" s="2681">
        <f>0</f>
        <v>0</v>
      </c>
      <c r="CM159" s="2681">
        <f>0</f>
        <v>0</v>
      </c>
      <c r="CN159" s="2681">
        <f>0</f>
        <v>0</v>
      </c>
      <c r="CO159" s="2828">
        <f>q_PAO_PP_T*X_PAO/(X_PP+X_PP_PAO_min)*X_PAO*η_CASTO_anox*M_satSNO3_KNO3_CASTO*M_inhSO2_KO2_CASTO*M_inhSNO2_KNO2_CASTO*L_ogsatSPO4_KPO4_PAO*L_oginhXPP_XPAO_max*M_satSCa_KCa_PAO*M_satSMg_KMg_PAO*M_satSK_KK_PAO*B_ellinhpH</f>
        <v>1.6543915540769663</v>
      </c>
      <c r="CQ159" s="2650">
        <f>E248*E159+F248*F159+G248*G159+H248*H159+I248*I159+J248*J159+K248*K159+L248*L159+M248*M159+N248*N159+O248*O159+P248*P159+Q248*Q159+R248*R159+S248*S159+T248*T159+U248*U159+V248*V159+W248*W159+X248*X159+Y248*Y159+Z248*Z159+AA248*AA159+AB248*AB159+AC248*AC159+AD248*AD159+AE248*AE159+AF248*AF159+AG248*AG159+AH248*AH159+AI248*AI159+AJ248*AJ159+AK248*AK159+AL248*AL159+AM248*AM159+AN248*AN159+AO248*AO159+AP248*AP159+AQ248*AQ159+AR248*AR159+AS248*AS159+AT248*AT159+AU248*AU159+AV248*AV159+AW248*AW159+AX248*AX159+AY248*AY159+AZ248*AZ159+BA248*BA159+BB248*BB159+BC248*BC159+BD248*BD159+BE248*BE159+BF248*BF159+BG248*BG159+BH248*BH159+BI248*BI159+BJ248*BJ159+BK248*BK159+BL248*BL159+BM248*BM159+BN248*BN159+BO248*BO159+BP248*BP159+BQ248*BQ159+BR248*BR159+BS248*BS159+BT248*BT159+BU248*BU159+BV248*BV159+BW248*BW159+BX248*BX159+BY248*BY159+BZ248*BZ159+CA248*CA159+CB248*CB159+CC248*CC159+CD248*CD159+CE248*CE159+CF248*CF159+CG248*CG159+CH248*CH159+CI248*CI159+CJ248*CJ159+CK248*CK159+CL248*CL159+CM248*CM159+CN248*CN159</f>
        <v>1.1102230246251565E-16</v>
      </c>
      <c r="CR159" s="2650">
        <f>E249*E159+F249*F159+G249*G159+H249*H159+I249*I159+J249*J159+K249*K159+L249*L159+M249*M159+N249*N159+O249*O159+P249*P159+Q249*Q159+R249*R159+S249*S159+T249*T159+U249*U159+V249*V159+W249*W159+X249*X159+Y249*Y159+Z249*Z159+AA249*AA159+AB249*AB159+AC249*AC159+AD249*AD159+AE249*AE159+AF249*AF159+AG249*AG159+AH249*AH159+AI249*AI159+AJ249*AJ159+AK249*AK159+AL249*AL159+AM249*AM159+AN249*AN159+AO249*AO159+AP249*AP159+AQ249*AQ159+AR249*AR159+AS249*AS159+AT249*AT159+AU249*AU159+AV249*AV159+AW249*AW159+AX249*AX159+AY249*AY159+AZ249*AZ159+BA249*BA159+BB249*BB159+BC249*BC159+BD249*BD159+BE249*BE159+BF249*BF159+BG249*BG159+BH249*BH159+BI249*BI159+BJ249*BJ159+BK249*BK159+BL249*BL159+BM249*BM159+BN249*BN159+BO249*BO159+BP249*BP159+BQ249*BQ159+BR249*BR159+BS249*BS159+BT249*BT159+BU249*BU159+BV249*BV159+BW249*BW159+BX249*BX159+BY249*BY159+BZ249*BZ159+CA249*CA159+CB249*CB159+CC249*CC159+CD249*CD159+CE249*CE159+CF249*CF159+CG249*CG159+CH249*CH159+CI249*CI159+CJ249*CJ159+CK249*CK159+CL249*CL159+CM249*CM159+CN249*CN159</f>
        <v>0</v>
      </c>
      <c r="CS159" s="2651">
        <f>E250*E159+F250*F159+G250*G159+H250*H159+I250*I159+J250*J159+K250*K159+L250*L159+M250*M159+N250*N159+O250*O159+P250*P159+Q250*Q159+R250*R159+S250*S159+T250*T159+U250*U159+V250*V159+W250*W159+X250*X159+Y250*Y159+Z250*Z159+AA250*AA159+AB250*AB159+AC250*AC159+AD250*AD159+AE250*AE159+AF250*AF159+AG250*AG159+AH250*AH159+AI250*AI159+AJ250*AJ159+AK250*AK159+AL250*AL159+AM250*AM159+AN250*AN159+AO250*AO159+AP250*AP159+AQ250*AQ159+AR250*AR159+AS250*AS159+AT250*AT159+AU250*AU159+AV250*AV159+AW250*AW159+AX250*AX159+AY250*AY159+AZ250*AZ159+BA250*BA159+BB250*BB159+BC250*BC159+BD250*BD159+BE250*BE159+BF250*BF159+BG250*BG159+BH250*BH159+BI250*BI159+BJ250*BJ159+BK250*BK159+BL250*BL159+BM250*BM159+BN250*BN159+BO250*BO159+BP250*BP159+BQ250*BQ159+BR250*BR159+BS250*BS159+BT250*BT159+BU250*BU159+BV250*BV159+BW250*BW159+BX250*BX159+BY250*BY159+BZ250*BZ159+CA250*CA159+CB250*CB159+CC250*CC159+CD250*CD159+CE250*CE159+CF250*CF159+CG250*CG159+CH250*CH159+CI250*CI159+CJ250*CJ159+CK250*CK159+CL250*CL159+CM250*CM159+CN250*CN159</f>
        <v>0</v>
      </c>
      <c r="CT159" s="2652">
        <f>E251*E159+F251*F159+G251*G159+H251*H159+I251*I159+J251*J159+K251*K159+L251*L159+M251*M159+N251*N159+O251*O159+P251*P159+Q251*Q159+R251*R159+S251*S159+T251*T159+U251*U159+V251*V159+W251*W159+X251*X159+Y251*Y159+Z251*Z159+AA251*AA159+AB251*AB159+AC251*AC159+AD251*AD159+AE251*AE159+AF251*AF159+AG251*AG159+AH251*AH159+AI251*AI159+AJ251*AJ159+AK251*AK159+AL251*AL159+AM251*AM159+AN251*AN159+AO251*AO159+AP251*AP159+AQ251*AQ159+AR251*AR159+AS251*AS159+AT251*AT159+AU251*AU159+AV251*AV159+AW251*AW159+AX251*AX159+AY251*AY159+AZ251*AZ159+BA251*BA159+BB251*BB159+BC251*BC159+BD251*BD159+BE251*BE159+BF251*BF159+BG251*BG159+BH251*BH159+BI251*BI159+BJ251*BJ159+BK251*BK159+BL251*BL159+BM251*BM159+BN251*BN159+BO251*BO159+BP251*BP159+BQ251*BQ159+BR251*BR159+BS251*BS159+BT251*BT159+BU251*BU159+BV251*BV159+BW251*BW159+BX251*BX159+BY251*BY159+BZ251*BZ159+CA251*CA159+CB251*CB159+CC251*CC159+CD251*CD159+CE251*CE159+CF251*CF159+CG251*CG159+CH251*CH159+CI251*CI159+CJ251*CJ159+CK251*CK159+CL251*CL159+CM251*CM159+CN251*CN159</f>
        <v>0</v>
      </c>
      <c r="CU159" s="2652">
        <f>E252*E159+F252*F159+G252*G159+H252*H159+I252*I159+J252*J159+K252*K159+L252*L159+M252*M159+N252*N159+O252*O159+P252*P159+Q252*Q159+R252*R159+S252*S159+T252*T159+U252*U159+V252*V159+W252*W159+X252*X159+Y252*Y159+Z252*Z159+AA252*AA159+AB252*AB159+AC252*AC159+AD252*AD159+AE252*AE159+AF252*AF159+AG252*AG159+AH252*AH159+AI252*AI159+AJ252*AJ159+AK252*AK159+AL252*AL159+AM252*AM159+AN252*AN159+AO252*AO159+AP252*AP159+AQ252*AQ159+AR252*AR159+AS252*AS159+AT252*AT159+AU252*AU159+AV252*AV159+AW252*AW159+AX252*AX159+AY252*AY159+AZ252*AZ159+BA252*BA159+BB252*BB159+BC252*BC159+BD252*BD159+BE252*BE159+BF252*BF159+BG252*BG159+BH252*BH159+BI252*BI159+BJ252*BJ159+BK252*BK159+BL252*BL159+BM252*BM159+BN252*BN159+BO252*BO159+BP252*BP159+BQ252*BQ159+BR252*BR159+BS252*BS159+BT252*BT159+BU252*BU159+BV252*BV159+BW252*BW159+BX252*BX159+BY252*BY159+BZ252*BZ159+CA252*CA159+CB252*CB159+CC252*CC159+CD252*CD159+CE252*CE159+CF252*CF159+CG252*CG159+CH252*CH159+CI252*CI159+CJ252*CJ159+CK252*CK159+CL252*CL159+CM252*CM159+CN252*CN159</f>
        <v>-8.6736173798840355E-19</v>
      </c>
      <c r="CV159" s="2652">
        <f>E253*E159+F253*F159+G253*G159+H253*H159+I253*I159+J253*J159+K253*K159+L253*L159+M253*M159+N253*N159+O253*O159+P253*P159+Q253*Q159+R253*R159+S253*S159+T253*T159+U253*U159+V253*V159+W253*W159+X253*X159+Y253*Y159+Z253*Z159+AA253*AA159+AB253*AB159+AC253*AC159+AD253*AD159+AE253*AE159+AF253*AF159+AG253*AG159+AH253*AH159+AI253*AI159+AJ253*AJ159+AK253*AK159+AL253*AL159+AM253*AM159+AN253*AN159+AO253*AO159+AP253*AP159+AQ253*AQ159+AR253*AR159+AS253*AS159+AT253*AT159+AU253*AU159+AV253*AV159+AW253*AW159+AX253*AX159+AY253*AY159+AZ253*AZ159+BA253*BA159+BB253*BB159+BC253*BC159+BD253*BD159+BE253*BE159+BF253*BF159+BG253*BG159+BH253*BH159+BI253*BI159+BJ253*BJ159+BK253*BK159+BL253*BL159+BM253*BM159+BN253*BN159+BO253*BO159+BP253*BP159+BQ253*BQ159+BR253*BR159+BS253*BS159+BT253*BT159+BU253*BU159+BV253*BV159+BW253*BW159+BX253*BX159+BY253*BY159+BZ253*BZ159+CA253*CA159+CB253*CB159+CC253*CC159+CD253*CD159+CE253*CE159+CF253*CF159+CG253*CG159+CH253*CH159+CI253*CI159+CJ253*CJ159+CK253*CK159+CL253*CL159+CM253*CM159+CN253*CN159</f>
        <v>0</v>
      </c>
      <c r="CW159" s="2652">
        <f>E254*E159+F254*F159+G254*G159+H254*H159+I254*I159+J254*J159+K254*K159+L254*L159+M254*M159+N254*N159+O254*O159+P254*P159+Q254*Q159+R254*R159+S254*S159+T254*T159+U254*U159+V254*V159+W254*W159+X254*X159+Y254*Y159+Z254*Z159+AA254*AA159+AB254*AB159+AC254*AC159+AD254*AD159+AE254*AE159+AF254*AF159+AG254*AG159+AH254*AH159+AI254*AI159+AJ254*AJ159+AK254*AK159+AL254*AL159+AM254*AM159+AN254*AN159+AO254*AO159+AP254*AP159+AQ254*AQ159+AR254*AR159+AS254*AS159+AT254*AT159+AU254*AU159+AV254*AV159+AW254*AW159+AX254*AX159+AY254*AY159+AZ254*AZ159+BA254*BA159+BB254*BB159+BC254*BC159+BD254*BD159+BE254*BE159+BF254*BF159+BG254*BG159+BH254*BH159+BI254*BI159+BJ254*BJ159+BK254*BK159+BL254*BL159+BM254*BM159+BN254*BN159+BO254*BO159+BP254*BP159+BQ254*BQ159+BR254*BR159+BS254*BS159+BT254*BT159+BU254*BU159+BV254*BV159+BW254*BW159+BX254*BX159+BY254*BY159+BZ254*BZ159+CA254*CA159+CB254*CB159+CC254*CC159+CD254*CD159+CE254*CE159+CF254*CF159+CG254*CG159+CH254*CH159+CI254*CI159+CJ254*CJ159+CK254*CK159+CL254*CL159+CM254*CM159+CN254*CN159</f>
        <v>0</v>
      </c>
      <c r="CX159" s="2652">
        <f>E255*E159+F255*F159+G255*G159+H255*H159+I255*I159+J255*J159+K255*K159+L255*L159+M255*M159+N255*N159+O255*O159+P255*P159+Q255*Q159+R255*R159+S255*S159+T255*T159+U255*U159+V255*V159+W255*W159+X255*X159+Y255*Y159+Z255*Z159+AA255*AA159+AB255*AB159+AC255*AC159+AD255*AD159+AE255*AE159+AF255*AF159+AG255*AG159+AH255*AH159+AI255*AI159+AJ255*AJ159+AK255*AK159+AL255*AL159+AM255*AM159+AN255*AN159+AO255*AO159+AP255*AP159+AQ255*AQ159+AR255*AR159+AS255*AS159+AT255*AT159+AU255*AU159+AV255*AV159+AW255*AW159+AX255*AX159+AY255*AY159+AZ255*AZ159+BA255*BA159+BB255*BB159+BC255*BC159+BD255*BD159+BE255*BE159+BF255*BF159+BG255*BG159+BH255*BH159+BI255*BI159+BJ255*BJ159+BK255*BK159+BL255*BL159+BM255*BM159+BN255*BN159+BO255*BO159+BP255*BP159+BQ255*BQ159+BR255*BR159+BS255*BS159+BT255*BT159+BU255*BU159+BV255*BV159+BW255*BW159+BX255*BX159+BY255*BY159+BZ255*BZ159+CA255*CA159+CB255*CB159+CC255*CC159+CD255*CD159+CE255*CE159+CF255*CF159+CG255*CG159+CH255*CH159+CI255*CI159+CJ255*CJ159+CK255*CK159+CL255*CL159+CM255*CM159+CN255*CN159</f>
        <v>0</v>
      </c>
      <c r="CY159" s="2652">
        <f>E256*E159+F256*F159+G256*G159+H256*H159+I256*I159+J256*J159+K256*K159+L256*L159+M256*M159+N256*N159+O256*O159+P256*P159+Q256*Q159+R256*R159+S256*S159+T256*T159+U256*U159+V256*V159+W256*W159+X256*X159+Y256*Y159+Z256*Z159+AA256*AA159+AB256*AB159+AC256*AC159+AD256*AD159+AE256*AE159+AF256*AF159+AG256*AG159+AH256*AH159+AI256*AI159+AJ256*AJ159+AK256*AK159+AL256*AL159+AM256*AM159+AN256*AN159+AO256*AO159+AP256*AP159+AQ256*AQ159+AR256*AR159+AS256*AS159+AT256*AT159+AU256*AU159+AV256*AV159+AW256*AW159+AX256*AX159+AY256*AY159+AZ256*AZ159+BA256*BA159+BB256*BB159+BC256*BC159+BD256*BD159+BE256*BE159+BF256*BF159+BG256*BG159+BH256*BH159+BI256*BI159+BJ256*BJ159+BK256*BK159+BL256*BL159+BM256*BM159+BN256*BN159+BO256*BO159+BP256*BP159+BQ256*BQ159+BR256*BR159+BS256*BS159+BT256*BT159+BU256*BU159+BV256*BV159+BW256*BW159+BX256*BX159+BY256*BY159+BZ256*BZ159+CA256*CA159+CB256*CB159+CC256*CC159+CD256*CD159+CE256*CE159+CF256*CF159+CG256*CG159+CH256*CH159+CI256*CI159+CJ256*CJ159+CK256*CK159+CL256*CL159+CM256*CM159+CN256*CN159</f>
        <v>0</v>
      </c>
      <c r="CZ159" s="2652">
        <f>E257*E159+F257*F159+G257*G159+H257*H159+I257*I159+J257*J159+K257*K159+L257*L159+M257*M159+N257*N159+O257*O159+P257*P159+Q257*Q159+R257*R159+S257*S159+T257*T159+U257*U159+V257*V159+W257*W159+X257*X159+Y257*Y159+Z257*Z159+AA257*AA159+AB257*AB159+AC257*AC159+AD257*AD159+AE257*AE159+AF257*AF159+AG257*AG159+AH257*AH159+AI257*AI159+AJ257*AJ159+AK257*AK159+AL257*AL159+AM257*AM159+AN257*AN159+AO257*AO159+AP257*AP159+AQ257*AQ159+AR257*AR159+AS257*AS159+AT257*AT159+AU257*AU159+AV257*AV159+AW257*AW159+AX257*AX159+AY257*AY159+AZ257*AZ159+BA257*BA159+BB257*BB159+BC257*BC159+BD257*BD159+BE257*BE159+BF257*BF159+BG257*BG159+BH257*BH159+BI257*BI159+BJ257*BJ159+BK257*BK159+BL257*BL159+BM257*BM159+BN257*BN159+BO257*BO159+BP257*BP159+BQ257*BQ159+BR257*BR159+BS257*BS159+BT257*BT159+BU257*BU159+BV257*BV159+BW257*BW159+BX257*BX159+BY257*BY159+BZ257*BZ159+CA257*CA159+CB257*CB159+CC257*CC159+CD257*CD159+CE257*CE159+CF257*CF159+CG257*CG159+CH257*CH159+CI257*CI159+CJ257*CJ159+CK257*CK159+CL257*CL159+CM257*CM159+CN257*CN159</f>
        <v>0</v>
      </c>
      <c r="DA159" s="2652">
        <f>E258*E159+F258*F159+G258*G159+H258*H159+I258*I159+J258*J159+K258*K159+L258*L159+M258*M159+N258*N159+O258*O159+P258*P159+Q258*Q159+R258*R159+S258*S159+T258*T159+U258*U159+V258*V159+W258*W159+X258*X159+Y258*Y159+Z258*Z159+AA258*AA159+AB258*AB159+AC258*AC159+AD258*AD159+AE258*AE159+AF258*AF159+AG258*AG159+AH258*AH159+AI258*AI159+AJ258*AJ159+AK258*AK159+AL258*AL159+AM258*AM159+AN258*AN159+AO258*AO159+AP258*AP159+AQ258*AQ159+AR258*AR159+AS258*AS159+AT258*AT159+AU258*AU159+AV258*AV159+AW258*AW159+AX258*AX159+AY258*AY159+AZ258*AZ159+BA258*BA159+BB258*BB159+BC258*BC159+BD258*BD159+BE258*BE159+BF258*BF159+BG258*BG159+BH258*BH159+BI258*BI159+BJ258*BJ159+BK258*BK159+BL258*BL159+BM258*BM159+BN258*BN159+BO258*BO159+BP258*BP159+BQ258*BQ159+BR258*BR159+BS258*BS159+BT258*BT159+BU258*BU159+BV258*BV159+BW258*BW159+BX258*BX159+BY258*BY159+BZ258*BZ159+CA258*CA159+CB258*CB159+CC258*CC159+CD258*CD159+CE258*CE159+CF258*CF159+CG258*CG159+CH258*CH159+CI258*CI159+CJ258*CJ159+CK258*CK159+CL258*CL159+CM258*CM159+CN258*CN159</f>
        <v>0</v>
      </c>
    </row>
    <row r="160" spans="2:105" ht="18" x14ac:dyDescent="0.25">
      <c r="B160" s="1083">
        <v>27</v>
      </c>
      <c r="C160" s="1073" t="s">
        <v>249</v>
      </c>
      <c r="D160" s="806" t="s">
        <v>1668</v>
      </c>
      <c r="E160" s="2678">
        <f>0</f>
        <v>0</v>
      </c>
      <c r="F160" s="2678">
        <f>0</f>
        <v>0</v>
      </c>
      <c r="G160" s="2678">
        <f>0</f>
        <v>0</v>
      </c>
      <c r="H160" s="2678">
        <f>0</f>
        <v>0</v>
      </c>
      <c r="I160" s="2678">
        <f>0</f>
        <v>0</v>
      </c>
      <c r="J160" s="2678">
        <f>0</f>
        <v>0</v>
      </c>
      <c r="K160" s="2678">
        <f>0</f>
        <v>0</v>
      </c>
      <c r="L160" s="2678">
        <f>0</f>
        <v>0</v>
      </c>
      <c r="M160" s="2678">
        <f>0</f>
        <v>0</v>
      </c>
      <c r="N160" s="2678">
        <f>0</f>
        <v>0</v>
      </c>
      <c r="O160" s="2678">
        <f>0</f>
        <v>0</v>
      </c>
      <c r="P160" s="2681">
        <f>-1/Y_PAO_PHA_ox</f>
        <v>-1.5649452269170578</v>
      </c>
      <c r="Q160" s="2681">
        <f>0</f>
        <v>0</v>
      </c>
      <c r="R160" s="2678">
        <f>0</f>
        <v>0</v>
      </c>
      <c r="S160" s="2678">
        <f>0</f>
        <v>0</v>
      </c>
      <c r="T160" s="2678">
        <f>0</f>
        <v>0</v>
      </c>
      <c r="U160" s="2678">
        <f>0</f>
        <v>0</v>
      </c>
      <c r="V160" s="2678">
        <f>1</f>
        <v>1</v>
      </c>
      <c r="W160" s="2678">
        <f>0</f>
        <v>0</v>
      </c>
      <c r="X160" s="2678">
        <f>0</f>
        <v>0</v>
      </c>
      <c r="Y160" s="2678">
        <f>0</f>
        <v>0</v>
      </c>
      <c r="Z160" s="2678">
        <f>0</f>
        <v>0</v>
      </c>
      <c r="AA160" s="2678">
        <f>0</f>
        <v>0</v>
      </c>
      <c r="AB160" s="2678">
        <f>0</f>
        <v>0</v>
      </c>
      <c r="AC160" s="2741">
        <f>0</f>
        <v>0</v>
      </c>
      <c r="AD160" s="2678">
        <f>-i_N_BIO</f>
        <v>-7.0000000000000007E-2</v>
      </c>
      <c r="AE160" s="2678">
        <f>0</f>
        <v>0</v>
      </c>
      <c r="AF160" s="2678">
        <f>0</f>
        <v>0</v>
      </c>
      <c r="AG160" s="2678">
        <f>0</f>
        <v>0</v>
      </c>
      <c r="AH160" s="2678">
        <f>0</f>
        <v>0</v>
      </c>
      <c r="AI160" s="2678">
        <f>0</f>
        <v>0</v>
      </c>
      <c r="AJ160" s="2678">
        <f>0</f>
        <v>0</v>
      </c>
      <c r="AK160" s="2678">
        <f>0</f>
        <v>0</v>
      </c>
      <c r="AL160" s="2681">
        <f>0</f>
        <v>0</v>
      </c>
      <c r="AM160" s="2681">
        <f>-i_P_BIO</f>
        <v>-0.02</v>
      </c>
      <c r="AN160" s="2678">
        <f>0</f>
        <v>0</v>
      </c>
      <c r="AO160" s="2678">
        <f>0</f>
        <v>0</v>
      </c>
      <c r="AP160" s="2678">
        <f>0</f>
        <v>0</v>
      </c>
      <c r="AQ160" s="2678">
        <f>0</f>
        <v>0</v>
      </c>
      <c r="AR160" s="2681">
        <f>-(1-Y_PAO_PHA_ox)/Y_PAO_PHA_ox</f>
        <v>-0.56494522691705784</v>
      </c>
      <c r="AS160" s="2681">
        <f>0</f>
        <v>0</v>
      </c>
      <c r="AT160" s="2681">
        <f>0</f>
        <v>0</v>
      </c>
      <c r="AU160" s="2681">
        <f>(i_CIT_PHA/Y_PAO_PHA_ox)-i_CIT_BIO</f>
        <v>0.16912676056338027</v>
      </c>
      <c r="AV160" s="2681">
        <f>i_INORG</f>
        <v>0.11</v>
      </c>
      <c r="AW160" s="2681">
        <f>-i_INORG*(1-i_Ca_INORG*(A_MCa+2*A_MCl)/A_MCa-i_Mg_INORG*(A_MMg+2*A_MCl)/A_MMg)*f_Na</f>
        <v>-2.8804303582798466E-2</v>
      </c>
      <c r="AX160" s="2681">
        <f>-i_INORG*(i_Ca_INORG*(2*A_MCl)/A_MCa+i_Mg_INORG*(2*A_MCl)/A_MMg)-i_INORG*(1-i_Ca_INORG*(A_MCa+2*A_MCl)/A_MCa-i_Mg_INORG*(A_MMg+2*A_MCl)/A_MMg)*(1-f_Na)</f>
        <v>-7.0195696417201539E-2</v>
      </c>
      <c r="AY160" s="2681">
        <f>-i_INORG*i_Ca_INORG+i_Ca_PP*A_MCa/A_MP*i_P_BIO</f>
        <v>-2.9121322594773459E-3</v>
      </c>
      <c r="AZ160" s="2681">
        <f>-i_INORG*i_Mg_INORG+i_Mg_PP*A_MMg/A_MP*i_P_BIO</f>
        <v>-7.1251305726128047E-6</v>
      </c>
      <c r="BA160" s="2681">
        <f>i_K_PP*A_MK/A_MP*i_P_BIO</f>
        <v>2.5246077468755158E-3</v>
      </c>
      <c r="BB160" s="2681">
        <f>0</f>
        <v>0</v>
      </c>
      <c r="BC160" s="2681">
        <f>0</f>
        <v>0</v>
      </c>
      <c r="BD160" s="2681">
        <f>0</f>
        <v>0</v>
      </c>
      <c r="BE160" s="2681">
        <f>0</f>
        <v>0</v>
      </c>
      <c r="BF160" s="2681">
        <f>0</f>
        <v>0</v>
      </c>
      <c r="BG160" s="2681">
        <f>0</f>
        <v>0</v>
      </c>
      <c r="BH160" s="2681">
        <f>0</f>
        <v>0</v>
      </c>
      <c r="BI160" s="2681">
        <f>0</f>
        <v>0</v>
      </c>
      <c r="BJ160" s="2766">
        <f>0</f>
        <v>0</v>
      </c>
      <c r="BK160" s="2766">
        <f>0</f>
        <v>0</v>
      </c>
      <c r="BL160" s="2766">
        <f>0</f>
        <v>0</v>
      </c>
      <c r="BM160" s="2766">
        <f>0</f>
        <v>0</v>
      </c>
      <c r="BN160" s="2766">
        <f>0</f>
        <v>0</v>
      </c>
      <c r="BO160" s="2766">
        <f>0</f>
        <v>0</v>
      </c>
      <c r="BP160" s="2766">
        <f>0</f>
        <v>0</v>
      </c>
      <c r="BQ160" s="2681">
        <f>0</f>
        <v>0</v>
      </c>
      <c r="BR160" s="2681">
        <f>0</f>
        <v>0</v>
      </c>
      <c r="BS160" s="2766">
        <f>0</f>
        <v>0</v>
      </c>
      <c r="BT160" s="2681">
        <f>0</f>
        <v>0</v>
      </c>
      <c r="BU160" s="2681">
        <f>0</f>
        <v>0</v>
      </c>
      <c r="BV160" s="2758">
        <f>0</f>
        <v>0</v>
      </c>
      <c r="BW160" s="2758">
        <f>0</f>
        <v>0</v>
      </c>
      <c r="BX160" s="2758">
        <f>0</f>
        <v>0</v>
      </c>
      <c r="BY160" s="2758">
        <f>0</f>
        <v>0</v>
      </c>
      <c r="BZ160" s="2681">
        <f>0</f>
        <v>0</v>
      </c>
      <c r="CA160" s="2681">
        <f>0</f>
        <v>0</v>
      </c>
      <c r="CB160" s="2728">
        <f>0</f>
        <v>0</v>
      </c>
      <c r="CC160" s="2681">
        <f>0</f>
        <v>0</v>
      </c>
      <c r="CD160" s="2681">
        <f>0</f>
        <v>0</v>
      </c>
      <c r="CE160" s="2681">
        <f>0</f>
        <v>0</v>
      </c>
      <c r="CF160" s="2681">
        <f>0</f>
        <v>0</v>
      </c>
      <c r="CG160" s="2681">
        <f>0</f>
        <v>0</v>
      </c>
      <c r="CH160" s="2681">
        <f>0</f>
        <v>0</v>
      </c>
      <c r="CI160" s="2681">
        <f>0</f>
        <v>0</v>
      </c>
      <c r="CJ160" s="2681">
        <f>0</f>
        <v>0</v>
      </c>
      <c r="CK160" s="2681">
        <f>0</f>
        <v>0</v>
      </c>
      <c r="CL160" s="2681">
        <f>0</f>
        <v>0</v>
      </c>
      <c r="CM160" s="2681">
        <f>0</f>
        <v>0</v>
      </c>
      <c r="CN160" s="2681">
        <f>0</f>
        <v>0</v>
      </c>
      <c r="CO160" s="2828">
        <f>µ_PAO_lim_T*X_PAO*M_RsatXPHA_XPAO_KPHA*M_satSO2_KO2_CASTO*M_satSNHx_KNHx_BIO*M_inhSPO4_KiPO4_lim*M_satXPP_KPP_lim*M_satSCAT_KCAT*M_satSAN_KAN*M_satSCa_KCa*M_satSMg_KMg*B_ellinhpH</f>
        <v>1.6759891744191493</v>
      </c>
      <c r="CQ160" s="2650">
        <f>E248*E160+F248*F160+G248*G160+H248*H160+I248*I160+J248*J160+K248*K160+L248*L160+M248*M160+N248*N160+O248*O160+P248*P160+Q248*Q160+R248*R160+S248*S160+T248*T160+U248*U160+V248*V160+W248*W160+X248*X160+Y248*Y160+Z248*Z160+AA248*AA160+AB248*AB160+AC248*AC160+AD248*AD160+AE248*AE160+AF248*AF160+AG248*AG160+AH248*AH160+AI248*AI160+AJ248*AJ160+AK248*AK160+AL248*AL160+AM248*AM160+AN248*AN160+AO248*AO160+AP248*AP160+AQ248*AQ160+AR248*AR160+AS248*AS160+AT248*AT160+AU248*AU160+AV248*AV160+AW248*AW160+AX248*AX160+AY248*AY160+AZ248*AZ160+BA248*BA160+BB248*BB160+BC248*BC160+BD248*BD160+BE248*BE160+BF248*BF160+BG248*BG160+BH248*BH160+BI248*BI160+BJ248*BJ160+BK248*BK160+BL248*BL160+BM248*BM160+BN248*BN160+BO248*BO160+BP248*BP160+BQ248*BQ160+BR248*BR160+BS248*BS160+BT248*BT160+BU248*BU160+BV248*BV160+BW248*BW160+BX248*BX160+BY248*BY160+BZ248*BZ160+CA248*CA160+CB248*CB160+CC248*CC160+CD248*CD160+CE248*CE160+CF248*CF160+CG248*CG160+CH248*CH160+CI248*CI160+CJ248*CJ160+CK248*CK160+CL248*CL160+CM248*CM160+CN248*CN160</f>
        <v>0</v>
      </c>
      <c r="CR160" s="2650">
        <f>E249*E160+F249*F160+G249*G160+H249*H160+I249*I160+J249*J160+K249*K160+L249*L160+M249*M160+N249*N160+O249*O160+P249*P160+Q249*Q160+R249*R160+S249*S160+T249*T160+U249*U160+V249*V160+W249*W160+X249*X160+Y249*Y160+Z249*Z160+AA249*AA160+AB249*AB160+AC249*AC160+AD249*AD160+AE249*AE160+AF249*AF160+AG249*AG160+AH249*AH160+AI249*AI160+AJ249*AJ160+AK249*AK160+AL249*AL160+AM249*AM160+AN249*AN160+AO249*AO160+AP249*AP160+AQ249*AQ160+AR249*AR160+AS249*AS160+AT249*AT160+AU249*AU160+AV249*AV160+AW249*AW160+AX249*AX160+AY249*AY160+AZ249*AZ160+BA249*BA160+BB249*BB160+BC249*BC160+BD249*BD160+BE249*BE160+BF249*BF160+BG249*BG160+BH249*BH160+BI249*BI160+BJ249*BJ160+BK249*BK160+BL249*BL160+BM249*BM160+BN249*BN160+BO249*BO160+BP249*BP160+BQ249*BQ160+BR249*BR160+BS249*BS160+BT249*BT160+BU249*BU160+BV249*BV160+BW249*BW160+BX249*BX160+BY249*BY160+BZ249*BZ160+CA249*CA160+CB249*CB160+CC249*CC160+CD249*CD160+CE249*CE160+CF249*CF160+CG249*CG160+CH249*CH160+CI249*CI160+CJ249*CJ160+CK249*CK160+CL249*CL160+CM249*CM160+CN249*CN160</f>
        <v>0</v>
      </c>
      <c r="CS160" s="2651">
        <f>E250*E160+F250*F160+G250*G160+H250*H160+I250*I160+J250*J160+K250*K160+L250*L160+M250*M160+N250*N160+O250*O160+P250*P160+Q250*Q160+R250*R160+S250*S160+T250*T160+U250*U160+V250*V160+W250*W160+X250*X160+Y250*Y160+Z250*Z160+AA250*AA160+AB250*AB160+AC250*AC160+AD250*AD160+AE250*AE160+AF250*AF160+AG250*AG160+AH250*AH160+AI250*AI160+AJ250*AJ160+AK250*AK160+AL250*AL160+AM250*AM160+AN250*AN160+AO250*AO160+AP250*AP160+AQ250*AQ160+AR250*AR160+AS250*AS160+AT250*AT160+AU250*AU160+AV250*AV160+AW250*AW160+AX250*AX160+AY250*AY160+AZ250*AZ160+BA250*BA160+BB250*BB160+BC250*BC160+BD250*BD160+BE250*BE160+BF250*BF160+BG250*BG160+BH250*BH160+BI250*BI160+BJ250*BJ160+BK250*BK160+BL250*BL160+BM250*BM160+BN250*BN160+BO250*BO160+BP250*BP160+BQ250*BQ160+BR250*BR160+BS250*BS160+BT250*BT160+BU250*BU160+BV250*BV160+BW250*BW160+BX250*BX160+BY250*BY160+BZ250*BZ160+CA250*CA160+CB250*CB160+CC250*CC160+CD250*CD160+CE250*CE160+CF250*CF160+CG250*CG160+CH250*CH160+CI250*CI160+CJ250*CJ160+CK250*CK160+CL250*CL160+CM250*CM160+CN250*CN160</f>
        <v>0</v>
      </c>
      <c r="CT160" s="2652">
        <f>E251*E160+F251*F160+G251*G160+H251*H160+I251*I160+J251*J160+K251*K160+L251*L160+M251*M160+N251*N160+O251*O160+P251*P160+Q251*Q160+R251*R160+S251*S160+T251*T160+U251*U160+V251*V160+W251*W160+X251*X160+Y251*Y160+Z251*Z160+AA251*AA160+AB251*AB160+AC251*AC160+AD251*AD160+AE251*AE160+AF251*AF160+AG251*AG160+AH251*AH160+AI251*AI160+AJ251*AJ160+AK251*AK160+AL251*AL160+AM251*AM160+AN251*AN160+AO251*AO160+AP251*AP160+AQ251*AQ160+AR251*AR160+AS251*AS160+AT251*AT160+AU251*AU160+AV251*AV160+AW251*AW160+AX251*AX160+AY251*AY160+AZ251*AZ160+BA251*BA160+BB251*BB160+BC251*BC160+BD251*BD160+BE251*BE160+BF251*BF160+BG251*BG160+BH251*BH160+BI251*BI160+BJ251*BJ160+BK251*BK160+BL251*BL160+BM251*BM160+BN251*BN160+BO251*BO160+BP251*BP160+BQ251*BQ160+BR251*BR160+BS251*BS160+BT251*BT160+BU251*BU160+BV251*BV160+BW251*BW160+BX251*BX160+BY251*BY160+BZ251*BZ160+CA251*CA160+CB251*CB160+CC251*CC160+CD251*CD160+CE251*CE160+CF251*CF160+CG251*CG160+CH251*CH160+CI251*CI160+CJ251*CJ160+CK251*CK160+CL251*CL160+CM251*CM160+CN251*CN160</f>
        <v>0</v>
      </c>
      <c r="CU160" s="2652">
        <f>E252*E160+F252*F160+G252*G160+H252*H160+I252*I160+J252*J160+K252*K160+L252*L160+M252*M160+N252*N160+O252*O160+P252*P160+Q252*Q160+R252*R160+S252*S160+T252*T160+U252*U160+V252*V160+W252*W160+X252*X160+Y252*Y160+Z252*Z160+AA252*AA160+AB252*AB160+AC252*AC160+AD252*AD160+AE252*AE160+AF252*AF160+AG252*AG160+AH252*AH160+AI252*AI160+AJ252*AJ160+AK252*AK160+AL252*AL160+AM252*AM160+AN252*AN160+AO252*AO160+AP252*AP160+AQ252*AQ160+AR252*AR160+AS252*AS160+AT252*AT160+AU252*AU160+AV252*AV160+AW252*AW160+AX252*AX160+AY252*AY160+AZ252*AZ160+BA252*BA160+BB252*BB160+BC252*BC160+BD252*BD160+BE252*BE160+BF252*BF160+BG252*BG160+BH252*BH160+BI252*BI160+BJ252*BJ160+BK252*BK160+BL252*BL160+BM252*BM160+BN252*BN160+BO252*BO160+BP252*BP160+BQ252*BQ160+BR252*BR160+BS252*BS160+BT252*BT160+BU252*BU160+BV252*BV160+BW252*BW160+BX252*BX160+BY252*BY160+BZ252*BZ160+CA252*CA160+CB252*CB160+CC252*CC160+CD252*CD160+CE252*CE160+CF252*CF160+CG252*CG160+CH252*CH160+CI252*CI160+CJ252*CJ160+CK252*CK160+CL252*CL160+CM252*CM160+CN252*CN160</f>
        <v>0</v>
      </c>
      <c r="CV160" s="2652">
        <f>E253*E160+F253*F160+G253*G160+H253*H160+I253*I160+J253*J160+K253*K160+L253*L160+M253*M160+N253*N160+O253*O160+P253*P160+Q253*Q160+R253*R160+S253*S160+T253*T160+U253*U160+V253*V160+W253*W160+X253*X160+Y253*Y160+Z253*Z160+AA253*AA160+AB253*AB160+AC253*AC160+AD253*AD160+AE253*AE160+AF253*AF160+AG253*AG160+AH253*AH160+AI253*AI160+AJ253*AJ160+AK253*AK160+AL253*AL160+AM253*AM160+AN253*AN160+AO253*AO160+AP253*AP160+AQ253*AQ160+AR253*AR160+AS253*AS160+AT253*AT160+AU253*AU160+AV253*AV160+AW253*AW160+AX253*AX160+AY253*AY160+AZ253*AZ160+BA253*BA160+BB253*BB160+BC253*BC160+BD253*BD160+BE253*BE160+BF253*BF160+BG253*BG160+BH253*BH160+BI253*BI160+BJ253*BJ160+BK253*BK160+BL253*BL160+BM253*BM160+BN253*BN160+BO253*BO160+BP253*BP160+BQ253*BQ160+BR253*BR160+BS253*BS160+BT253*BT160+BU253*BU160+BV253*BV160+BW253*BW160+BX253*BX160+BY253*BY160+BZ253*BZ160+CA253*CA160+CB253*CB160+CC253*CC160+CD253*CD160+CE253*CE160+CF253*CF160+CG253*CG160+CH253*CH160+CI253*CI160+CJ253*CJ160+CK253*CK160+CL253*CL160+CM253*CM160+CN253*CN160</f>
        <v>0</v>
      </c>
      <c r="CW160" s="2652">
        <f>E254*E160+F254*F160+G254*G160+H254*H160+I254*I160+J254*J160+K254*K160+L254*L160+M254*M160+N254*N160+O254*O160+P254*P160+Q254*Q160+R254*R160+S254*S160+T254*T160+U254*U160+V254*V160+W254*W160+X254*X160+Y254*Y160+Z254*Z160+AA254*AA160+AB254*AB160+AC254*AC160+AD254*AD160+AE254*AE160+AF254*AF160+AG254*AG160+AH254*AH160+AI254*AI160+AJ254*AJ160+AK254*AK160+AL254*AL160+AM254*AM160+AN254*AN160+AO254*AO160+AP254*AP160+AQ254*AQ160+AR254*AR160+AS254*AS160+AT254*AT160+AU254*AU160+AV254*AV160+AW254*AW160+AX254*AX160+AY254*AY160+AZ254*AZ160+BA254*BA160+BB254*BB160+BC254*BC160+BD254*BD160+BE254*BE160+BF254*BF160+BG254*BG160+BH254*BH160+BI254*BI160+BJ254*BJ160+BK254*BK160+BL254*BL160+BM254*BM160+BN254*BN160+BO254*BO160+BP254*BP160+BQ254*BQ160+BR254*BR160+BS254*BS160+BT254*BT160+BU254*BU160+BV254*BV160+BW254*BW160+BX254*BX160+BY254*BY160+BZ254*BZ160+CA254*CA160+CB254*CB160+CC254*CC160+CD254*CD160+CE254*CE160+CF254*CF160+CG254*CG160+CH254*CH160+CI254*CI160+CJ254*CJ160+CK254*CK160+CL254*CL160+CM254*CM160+CN254*CN160</f>
        <v>0</v>
      </c>
      <c r="CX160" s="2652">
        <f>E255*E160+F255*F160+G255*G160+H255*H160+I255*I160+J255*J160+K255*K160+L255*L160+M255*M160+N255*N160+O255*O160+P255*P160+Q255*Q160+R255*R160+S255*S160+T255*T160+U255*U160+V255*V160+W255*W160+X255*X160+Y255*Y160+Z255*Z160+AA255*AA160+AB255*AB160+AC255*AC160+AD255*AD160+AE255*AE160+AF255*AF160+AG255*AG160+AH255*AH160+AI255*AI160+AJ255*AJ160+AK255*AK160+AL255*AL160+AM255*AM160+AN255*AN160+AO255*AO160+AP255*AP160+AQ255*AQ160+AR255*AR160+AS255*AS160+AT255*AT160+AU255*AU160+AV255*AV160+AW255*AW160+AX255*AX160+AY255*AY160+AZ255*AZ160+BA255*BA160+BB255*BB160+BC255*BC160+BD255*BD160+BE255*BE160+BF255*BF160+BG255*BG160+BH255*BH160+BI255*BI160+BJ255*BJ160+BK255*BK160+BL255*BL160+BM255*BM160+BN255*BN160+BO255*BO160+BP255*BP160+BQ255*BQ160+BR255*BR160+BS255*BS160+BT255*BT160+BU255*BU160+BV255*BV160+BW255*BW160+BX255*BX160+BY255*BY160+BZ255*BZ160+CA255*CA160+CB255*CB160+CC255*CC160+CD255*CD160+CE255*CE160+CF255*CF160+CG255*CG160+CH255*CH160+CI255*CI160+CJ255*CJ160+CK255*CK160+CL255*CL160+CM255*CM160+CN255*CN160</f>
        <v>0</v>
      </c>
      <c r="CY160" s="2652">
        <f>E256*E160+F256*F160+G256*G160+H256*H160+I256*I160+J256*J160+K256*K160+L256*L160+M256*M160+N256*N160+O256*O160+P256*P160+Q256*Q160+R256*R160+S256*S160+T256*T160+U256*U160+V256*V160+W256*W160+X256*X160+Y256*Y160+Z256*Z160+AA256*AA160+AB256*AB160+AC256*AC160+AD256*AD160+AE256*AE160+AF256*AF160+AG256*AG160+AH256*AH160+AI256*AI160+AJ256*AJ160+AK256*AK160+AL256*AL160+AM256*AM160+AN256*AN160+AO256*AO160+AP256*AP160+AQ256*AQ160+AR256*AR160+AS256*AS160+AT256*AT160+AU256*AU160+AV256*AV160+AW256*AW160+AX256*AX160+AY256*AY160+AZ256*AZ160+BA256*BA160+BB256*BB160+BC256*BC160+BD256*BD160+BE256*BE160+BF256*BF160+BG256*BG160+BH256*BH160+BI256*BI160+BJ256*BJ160+BK256*BK160+BL256*BL160+BM256*BM160+BN256*BN160+BO256*BO160+BP256*BP160+BQ256*BQ160+BR256*BR160+BS256*BS160+BT256*BT160+BU256*BU160+BV256*BV160+BW256*BW160+BX256*BX160+BY256*BY160+BZ256*BZ160+CA256*CA160+CB256*CB160+CC256*CC160+CD256*CD160+CE256*CE160+CF256*CF160+CG256*CG160+CH256*CH160+CI256*CI160+CJ256*CJ160+CK256*CK160+CL256*CL160+CM256*CM160+CN256*CN160</f>
        <v>0</v>
      </c>
      <c r="CZ160" s="2652">
        <f>E257*E160+F257*F160+G257*G160+H257*H160+I257*I160+J257*J160+K257*K160+L257*L160+M257*M160+N257*N160+O257*O160+P257*P160+Q257*Q160+R257*R160+S257*S160+T257*T160+U257*U160+V257*V160+W257*W160+X257*X160+Y257*Y160+Z257*Z160+AA257*AA160+AB257*AB160+AC257*AC160+AD257*AD160+AE257*AE160+AF257*AF160+AG257*AG160+AH257*AH160+AI257*AI160+AJ257*AJ160+AK257*AK160+AL257*AL160+AM257*AM160+AN257*AN160+AO257*AO160+AP257*AP160+AQ257*AQ160+AR257*AR160+AS257*AS160+AT257*AT160+AU257*AU160+AV257*AV160+AW257*AW160+AX257*AX160+AY257*AY160+AZ257*AZ160+BA257*BA160+BB257*BB160+BC257*BC160+BD257*BD160+BE257*BE160+BF257*BF160+BG257*BG160+BH257*BH160+BI257*BI160+BJ257*BJ160+BK257*BK160+BL257*BL160+BM257*BM160+BN257*BN160+BO257*BO160+BP257*BP160+BQ257*BQ160+BR257*BR160+BS257*BS160+BT257*BT160+BU257*BU160+BV257*BV160+BW257*BW160+BX257*BX160+BY257*BY160+BZ257*BZ160+CA257*CA160+CB257*CB160+CC257*CC160+CD257*CD160+CE257*CE160+CF257*CF160+CG257*CG160+CH257*CH160+CI257*CI160+CJ257*CJ160+CK257*CK160+CL257*CL160+CM257*CM160+CN257*CN160</f>
        <v>0</v>
      </c>
      <c r="DA160" s="2652">
        <f>E258*E160+F258*F160+G258*G160+H258*H160+I258*I160+J258*J160+K258*K160+L258*L160+M258*M160+N258*N160+O258*O160+P258*P160+Q258*Q160+R258*R160+S258*S160+T258*T160+U258*U160+V258*V160+W258*W160+X258*X160+Y258*Y160+Z258*Z160+AA258*AA160+AB258*AB160+AC258*AC160+AD258*AD160+AE258*AE160+AF258*AF160+AG258*AG160+AH258*AH160+AI258*AI160+AJ258*AJ160+AK258*AK160+AL258*AL160+AM258*AM160+AN258*AN160+AO258*AO160+AP258*AP160+AQ258*AQ160+AR258*AR160+AS258*AS160+AT258*AT160+AU258*AU160+AV258*AV160+AW258*AW160+AX258*AX160+AY258*AY160+AZ258*AZ160+BA258*BA160+BB258*BB160+BC258*BC160+BD258*BD160+BE258*BE160+BF258*BF160+BG258*BG160+BH258*BH160+BI258*BI160+BJ258*BJ160+BK258*BK160+BL258*BL160+BM258*BM160+BN258*BN160+BO258*BO160+BP258*BP160+BQ258*BQ160+BR258*BR160+BS258*BS160+BT258*BT160+BU258*BU160+BV258*BV160+BW258*BW160+BX258*BX160+BY258*BY160+BZ258*BZ160+CA258*CA160+CB258*CB160+CC258*CC160+CD258*CD160+CE258*CE160+CF258*CF160+CG258*CG160+CH258*CH160+CI258*CI160+CJ258*CJ160+CK258*CK160+CL258*CL160+CM258*CM160+CN258*CN160</f>
        <v>0</v>
      </c>
    </row>
    <row r="161" spans="2:105" ht="18" x14ac:dyDescent="0.25">
      <c r="B161" s="1083">
        <v>28</v>
      </c>
      <c r="C161" s="1073" t="s">
        <v>250</v>
      </c>
      <c r="D161" s="806" t="s">
        <v>2203</v>
      </c>
      <c r="E161" s="2678">
        <f>0</f>
        <v>0</v>
      </c>
      <c r="F161" s="2678">
        <f>0</f>
        <v>0</v>
      </c>
      <c r="G161" s="2678">
        <f>0</f>
        <v>0</v>
      </c>
      <c r="H161" s="2678">
        <f>0</f>
        <v>0</v>
      </c>
      <c r="I161" s="2678">
        <f>0</f>
        <v>0</v>
      </c>
      <c r="J161" s="2678">
        <f>0</f>
        <v>0</v>
      </c>
      <c r="K161" s="2678">
        <f>0</f>
        <v>0</v>
      </c>
      <c r="L161" s="2678">
        <f>0</f>
        <v>0</v>
      </c>
      <c r="M161" s="2678">
        <f>0</f>
        <v>0</v>
      </c>
      <c r="N161" s="2678">
        <f>0</f>
        <v>0</v>
      </c>
      <c r="O161" s="2678">
        <f>0</f>
        <v>0</v>
      </c>
      <c r="P161" s="2681">
        <f>-1/Y_PAO_PHA_anox</f>
        <v>-1.9230769230769229</v>
      </c>
      <c r="Q161" s="2681">
        <f>0</f>
        <v>0</v>
      </c>
      <c r="R161" s="2678">
        <f>0</f>
        <v>0</v>
      </c>
      <c r="S161" s="2678">
        <f>0</f>
        <v>0</v>
      </c>
      <c r="T161" s="2678">
        <f>0</f>
        <v>0</v>
      </c>
      <c r="U161" s="2678">
        <f>0</f>
        <v>0</v>
      </c>
      <c r="V161" s="2678">
        <f>1</f>
        <v>1</v>
      </c>
      <c r="W161" s="2678">
        <f>0</f>
        <v>0</v>
      </c>
      <c r="X161" s="2678">
        <f>0</f>
        <v>0</v>
      </c>
      <c r="Y161" s="2678">
        <f>0</f>
        <v>0</v>
      </c>
      <c r="Z161" s="2678">
        <f>0</f>
        <v>0</v>
      </c>
      <c r="AA161" s="2678">
        <f>0</f>
        <v>0</v>
      </c>
      <c r="AB161" s="2678">
        <f>0</f>
        <v>0</v>
      </c>
      <c r="AC161" s="2741">
        <f>0</f>
        <v>0</v>
      </c>
      <c r="AD161" s="2678">
        <f>-i_N_BIO</f>
        <v>-7.0000000000000007E-2</v>
      </c>
      <c r="AE161" s="2681">
        <f>-(1-Y_PAO_PHA_anox)/(E_EQN2_NO2*Y_PAO_PHA_anox)</f>
        <v>-0.53873943349798692</v>
      </c>
      <c r="AF161" s="2681">
        <f>0</f>
        <v>0</v>
      </c>
      <c r="AG161" s="2681">
        <f>(1-Y_PAO_PHA_anox)/(E_EQN2_NO2*Y_PAO_PHA_anox)</f>
        <v>0.53873943349798692</v>
      </c>
      <c r="AH161" s="2678">
        <f>0</f>
        <v>0</v>
      </c>
      <c r="AI161" s="2678">
        <f>0</f>
        <v>0</v>
      </c>
      <c r="AJ161" s="2678">
        <f>0</f>
        <v>0</v>
      </c>
      <c r="AK161" s="2678">
        <f>0</f>
        <v>0</v>
      </c>
      <c r="AL161" s="2681">
        <f>0</f>
        <v>0</v>
      </c>
      <c r="AM161" s="2681">
        <f>-i_P_BIO</f>
        <v>-0.02</v>
      </c>
      <c r="AN161" s="2678">
        <f>0</f>
        <v>0</v>
      </c>
      <c r="AO161" s="2678">
        <f>0</f>
        <v>0</v>
      </c>
      <c r="AP161" s="2678">
        <f>0</f>
        <v>0</v>
      </c>
      <c r="AQ161" s="2678">
        <f>0</f>
        <v>0</v>
      </c>
      <c r="AR161" s="2681">
        <f>0</f>
        <v>0</v>
      </c>
      <c r="AS161" s="2681">
        <f>0</f>
        <v>0</v>
      </c>
      <c r="AT161" s="2681">
        <f>0</f>
        <v>0</v>
      </c>
      <c r="AU161" s="2681">
        <f>(i_CIT_PHA/Y_PAO_PHA_anox)-i_CIT_BIO</f>
        <v>0.28838461538461546</v>
      </c>
      <c r="AV161" s="2681">
        <f>i_INORG</f>
        <v>0.11</v>
      </c>
      <c r="AW161" s="2681">
        <f>-i_INORG*(1-i_Ca_INORG*(A_MCa+2*A_MCl)/A_MCa-i_Mg_INORG*(A_MMg+2*A_MCl)/A_MMg)*f_Na</f>
        <v>-2.8804303582798466E-2</v>
      </c>
      <c r="AX161" s="2681">
        <f>-i_INORG*(i_Ca_INORG*(2*A_MCl)/A_MCa+i_Mg_INORG*(2*A_MCl)/A_MMg)-i_INORG*(1-i_Ca_INORG*(A_MCa+2*A_MCl)/A_MCa-i_Mg_INORG*(A_MMg+2*A_MCl)/A_MMg)*(1-f_Na)</f>
        <v>-7.0195696417201539E-2</v>
      </c>
      <c r="AY161" s="2681">
        <f>-i_INORG*i_Ca_INORG+i_Ca_PP*A_MCa/A_MP*i_P_BIO</f>
        <v>-2.9121322594773459E-3</v>
      </c>
      <c r="AZ161" s="2681">
        <f>-i_INORG*i_Mg_INORG+i_Mg_PP*A_MMg/A_MP*i_P_BIO</f>
        <v>-7.1251305726128047E-6</v>
      </c>
      <c r="BA161" s="2681">
        <f>i_K_PP*A_MK/A_MP*i_P_BIO</f>
        <v>2.5246077468755158E-3</v>
      </c>
      <c r="BB161" s="2681">
        <f>0</f>
        <v>0</v>
      </c>
      <c r="BC161" s="2681">
        <f>0</f>
        <v>0</v>
      </c>
      <c r="BD161" s="2681">
        <f>0</f>
        <v>0</v>
      </c>
      <c r="BE161" s="2681">
        <f>0</f>
        <v>0</v>
      </c>
      <c r="BF161" s="2681">
        <f>0</f>
        <v>0</v>
      </c>
      <c r="BG161" s="2681">
        <f>0</f>
        <v>0</v>
      </c>
      <c r="BH161" s="2681">
        <f>0</f>
        <v>0</v>
      </c>
      <c r="BI161" s="2681">
        <f>0</f>
        <v>0</v>
      </c>
      <c r="BJ161" s="2766">
        <f>0</f>
        <v>0</v>
      </c>
      <c r="BK161" s="2766">
        <f>0</f>
        <v>0</v>
      </c>
      <c r="BL161" s="2766">
        <f>0</f>
        <v>0</v>
      </c>
      <c r="BM161" s="2766">
        <f>0</f>
        <v>0</v>
      </c>
      <c r="BN161" s="2766">
        <f>0</f>
        <v>0</v>
      </c>
      <c r="BO161" s="2766">
        <f>0</f>
        <v>0</v>
      </c>
      <c r="BP161" s="2766">
        <f>0</f>
        <v>0</v>
      </c>
      <c r="BQ161" s="2681">
        <f>0</f>
        <v>0</v>
      </c>
      <c r="BR161" s="2681">
        <f>0</f>
        <v>0</v>
      </c>
      <c r="BS161" s="2766">
        <f>0</f>
        <v>0</v>
      </c>
      <c r="BT161" s="2681">
        <f>0</f>
        <v>0</v>
      </c>
      <c r="BU161" s="2681">
        <f>0</f>
        <v>0</v>
      </c>
      <c r="BV161" s="2758">
        <f>0</f>
        <v>0</v>
      </c>
      <c r="BW161" s="2758">
        <f>0</f>
        <v>0</v>
      </c>
      <c r="BX161" s="2758">
        <f>0</f>
        <v>0</v>
      </c>
      <c r="BY161" s="2758">
        <f>0</f>
        <v>0</v>
      </c>
      <c r="BZ161" s="2681">
        <f>0</f>
        <v>0</v>
      </c>
      <c r="CA161" s="2681">
        <f>0</f>
        <v>0</v>
      </c>
      <c r="CB161" s="2728">
        <f>0</f>
        <v>0</v>
      </c>
      <c r="CC161" s="2681">
        <f>0</f>
        <v>0</v>
      </c>
      <c r="CD161" s="2681">
        <f>0</f>
        <v>0</v>
      </c>
      <c r="CE161" s="2681">
        <f>0</f>
        <v>0</v>
      </c>
      <c r="CF161" s="2681">
        <f>0</f>
        <v>0</v>
      </c>
      <c r="CG161" s="2681">
        <f>0</f>
        <v>0</v>
      </c>
      <c r="CH161" s="2681">
        <f>0</f>
        <v>0</v>
      </c>
      <c r="CI161" s="2681">
        <f>0</f>
        <v>0</v>
      </c>
      <c r="CJ161" s="2681">
        <f>0</f>
        <v>0</v>
      </c>
      <c r="CK161" s="2681">
        <f>0</f>
        <v>0</v>
      </c>
      <c r="CL161" s="2681">
        <f>0</f>
        <v>0</v>
      </c>
      <c r="CM161" s="2681">
        <f>0</f>
        <v>0</v>
      </c>
      <c r="CN161" s="2681">
        <f>0</f>
        <v>0</v>
      </c>
      <c r="CO161" s="2829">
        <f>µ_PAO_lim_T*X_PAO*η_CASTO_anox*M_RsatXPHA_XPAO_KPHA*M_inhSO2_KO2_CASTO*M_satSNO2_KNO2_CASTO*M_satSNHx_KNHx_BIO*M_inhSPO4_KiPO4_lim*M_satXPP_KPP_lim*M_satSCAT_KCAT*M_satSAN_KAN*M_satSCa_KCa*M_satSMg_KMg*B_ellinhpH</f>
        <v>1.8435880918610644E-2</v>
      </c>
      <c r="CQ161" s="2650">
        <f>E248*E161+F248*F161+G248*G161+H248*H161+I248*I161+J248*J161+K248*K161+L248*L161+M248*M161+N248*N161+O248*O161+P248*P161+Q248*Q161+R248*R161+S248*S161+T248*T161+U248*U161+V248*V161+W248*W161+X248*X161+Y248*Y161+Z248*Z161+AA248*AA161+AB248*AB161+AC248*AC161+AD248*AD161+AE248*AE161+AF248*AF161+AG248*AG161+AH248*AH161+AI248*AI161+AJ248*AJ161+AK248*AK161+AL248*AL161+AM248*AM161+AN248*AN161+AO248*AO161+AP248*AP161+AQ248*AQ161+AR248*AR161+AS248*AS161+AT248*AT161+AU248*AU161+AV248*AV161+AW248*AW161+AX248*AX161+AY248*AY161+AZ248*AZ161+BA248*BA161+BB248*BB161+BC248*BC161+BD248*BD161+BE248*BE161+BF248*BF161+BG248*BG161+BH248*BH161+BI248*BI161+BJ248*BJ161+BK248*BK161+BL248*BL161+BM248*BM161+BN248*BN161+BO248*BO161+BP248*BP161+BQ248*BQ161+BR248*BR161+BS248*BS161+BT248*BT161+BU248*BU161+BV248*BV161+BW248*BW161+BX248*BX161+BY248*BY161+BZ248*BZ161+CA248*CA161+CB248*CB161+CC248*CC161+CD248*CD161+CE248*CE161+CF248*CF161+CG248*CG161+CH248*CH161+CI248*CI161+CJ248*CJ161+CK248*CK161+CL248*CL161+CM248*CM161+CN248*CN161</f>
        <v>0</v>
      </c>
      <c r="CR161" s="2650">
        <f>E249*E161+F249*F161+G249*G161+H249*H161+I249*I161+J249*J161+K249*K161+L249*L161+M249*M161+N249*N161+O249*O161+P249*P161+Q249*Q161+R249*R161+S249*S161+T249*T161+U249*U161+V249*V161+W249*W161+X249*X161+Y249*Y161+Z249*Z161+AA249*AA161+AB249*AB161+AC249*AC161+AD249*AD161+AE249*AE161+AF249*AF161+AG249*AG161+AH249*AH161+AI249*AI161+AJ249*AJ161+AK249*AK161+AL249*AL161+AM249*AM161+AN249*AN161+AO249*AO161+AP249*AP161+AQ249*AQ161+AR249*AR161+AS249*AS161+AT249*AT161+AU249*AU161+AV249*AV161+AW249*AW161+AX249*AX161+AY249*AY161+AZ249*AZ161+BA249*BA161+BB249*BB161+BC249*BC161+BD249*BD161+BE249*BE161+BF249*BF161+BG249*BG161+BH249*BH161+BI249*BI161+BJ249*BJ161+BK249*BK161+BL249*BL161+BM249*BM161+BN249*BN161+BO249*BO161+BP249*BP161+BQ249*BQ161+BR249*BR161+BS249*BS161+BT249*BT161+BU249*BU161+BV249*BV161+BW249*BW161+BX249*BX161+BY249*BY161+BZ249*BZ161+CA249*CA161+CB249*CB161+CC249*CC161+CD249*CD161+CE249*CE161+CF249*CF161+CG249*CG161+CH249*CH161+CI249*CI161+CJ249*CJ161+CK249*CK161+CL249*CL161+CM249*CM161+CN249*CN161</f>
        <v>1.1102230246251565E-16</v>
      </c>
      <c r="CS161" s="2651">
        <f>E250*E161+F250*F161+G250*G161+H250*H161+I250*I161+J250*J161+K250*K161+L250*L161+M250*M161+N250*N161+O250*O161+P250*P161+Q250*Q161+R250*R161+S250*S161+T250*T161+U250*U161+V250*V161+W250*W161+X250*X161+Y250*Y161+Z250*Z161+AA250*AA161+AB250*AB161+AC250*AC161+AD250*AD161+AE250*AE161+AF250*AF161+AG250*AG161+AH250*AH161+AI250*AI161+AJ250*AJ161+AK250*AK161+AL250*AL161+AM250*AM161+AN250*AN161+AO250*AO161+AP250*AP161+AQ250*AQ161+AR250*AR161+AS250*AS161+AT250*AT161+AU250*AU161+AV250*AV161+AW250*AW161+AX250*AX161+AY250*AY161+AZ250*AZ161+BA250*BA161+BB250*BB161+BC250*BC161+BD250*BD161+BE250*BE161+BF250*BF161+BG250*BG161+BH250*BH161+BI250*BI161+BJ250*BJ161+BK250*BK161+BL250*BL161+BM250*BM161+BN250*BN161+BO250*BO161+BP250*BP161+BQ250*BQ161+BR250*BR161+BS250*BS161+BT250*BT161+BU250*BU161+BV250*BV161+BW250*BW161+BX250*BX161+BY250*BY161+BZ250*BZ161+CA250*CA161+CB250*CB161+CC250*CC161+CD250*CD161+CE250*CE161+CF250*CF161+CG250*CG161+CH250*CH161+CI250*CI161+CJ250*CJ161+CK250*CK161+CL250*CL161+CM250*CM161+CN250*CN161</f>
        <v>0</v>
      </c>
      <c r="CT161" s="2652">
        <f>E251*E161+F251*F161+G251*G161+H251*H161+I251*I161+J251*J161+K251*K161+L251*L161+M251*M161+N251*N161+O251*O161+P251*P161+Q251*Q161+R251*R161+S251*S161+T251*T161+U251*U161+V251*V161+W251*W161+X251*X161+Y251*Y161+Z251*Z161+AA251*AA161+AB251*AB161+AC251*AC161+AD251*AD161+AE251*AE161+AF251*AF161+AG251*AG161+AH251*AH161+AI251*AI161+AJ251*AJ161+AK251*AK161+AL251*AL161+AM251*AM161+AN251*AN161+AO251*AO161+AP251*AP161+AQ251*AQ161+AR251*AR161+AS251*AS161+AT251*AT161+AU251*AU161+AV251*AV161+AW251*AW161+AX251*AX161+AY251*AY161+AZ251*AZ161+BA251*BA161+BB251*BB161+BC251*BC161+BD251*BD161+BE251*BE161+BF251*BF161+BG251*BG161+BH251*BH161+BI251*BI161+BJ251*BJ161+BK251*BK161+BL251*BL161+BM251*BM161+BN251*BN161+BO251*BO161+BP251*BP161+BQ251*BQ161+BR251*BR161+BS251*BS161+BT251*BT161+BU251*BU161+BV251*BV161+BW251*BW161+BX251*BX161+BY251*BY161+BZ251*BZ161+CA251*CA161+CB251*CB161+CC251*CC161+CD251*CD161+CE251*CE161+CF251*CF161+CG251*CG161+CH251*CH161+CI251*CI161+CJ251*CJ161+CK251*CK161+CL251*CL161+CM251*CM161+CN251*CN161</f>
        <v>0</v>
      </c>
      <c r="CU161" s="2652">
        <f>E252*E161+F252*F161+G252*G161+H252*H161+I252*I161+J252*J161+K252*K161+L252*L161+M252*M161+N252*N161+O252*O161+P252*P161+Q252*Q161+R252*R161+S252*S161+T252*T161+U252*U161+V252*V161+W252*W161+X252*X161+Y252*Y161+Z252*Z161+AA252*AA161+AB252*AB161+AC252*AC161+AD252*AD161+AE252*AE161+AF252*AF161+AG252*AG161+AH252*AH161+AI252*AI161+AJ252*AJ161+AK252*AK161+AL252*AL161+AM252*AM161+AN252*AN161+AO252*AO161+AP252*AP161+AQ252*AQ161+AR252*AR161+AS252*AS161+AT252*AT161+AU252*AU161+AV252*AV161+AW252*AW161+AX252*AX161+AY252*AY161+AZ252*AZ161+BA252*BA161+BB252*BB161+BC252*BC161+BD252*BD161+BE252*BE161+BF252*BF161+BG252*BG161+BH252*BH161+BI252*BI161+BJ252*BJ161+BK252*BK161+BL252*BL161+BM252*BM161+BN252*BN161+BO252*BO161+BP252*BP161+BQ252*BQ161+BR252*BR161+BS252*BS161+BT252*BT161+BU252*BU161+BV252*BV161+BW252*BW161+BX252*BX161+BY252*BY161+BZ252*BZ161+CA252*CA161+CB252*CB161+CC252*CC161+CD252*CD161+CE252*CE161+CF252*CF161+CG252*CG161+CH252*CH161+CI252*CI161+CJ252*CJ161+CK252*CK161+CL252*CL161+CM252*CM161+CN252*CN161</f>
        <v>0</v>
      </c>
      <c r="CV161" s="2652">
        <f>E253*E161+F253*F161+G253*G161+H253*H161+I253*I161+J253*J161+K253*K161+L253*L161+M253*M161+N253*N161+O253*O161+P253*P161+Q253*Q161+R253*R161+S253*S161+T253*T161+U253*U161+V253*V161+W253*W161+X253*X161+Y253*Y161+Z253*Z161+AA253*AA161+AB253*AB161+AC253*AC161+AD253*AD161+AE253*AE161+AF253*AF161+AG253*AG161+AH253*AH161+AI253*AI161+AJ253*AJ161+AK253*AK161+AL253*AL161+AM253*AM161+AN253*AN161+AO253*AO161+AP253*AP161+AQ253*AQ161+AR253*AR161+AS253*AS161+AT253*AT161+AU253*AU161+AV253*AV161+AW253*AW161+AX253*AX161+AY253*AY161+AZ253*AZ161+BA253*BA161+BB253*BB161+BC253*BC161+BD253*BD161+BE253*BE161+BF253*BF161+BG253*BG161+BH253*BH161+BI253*BI161+BJ253*BJ161+BK253*BK161+BL253*BL161+BM253*BM161+BN253*BN161+BO253*BO161+BP253*BP161+BQ253*BQ161+BR253*BR161+BS253*BS161+BT253*BT161+BU253*BU161+BV253*BV161+BW253*BW161+BX253*BX161+BY253*BY161+BZ253*BZ161+CA253*CA161+CB253*CB161+CC253*CC161+CD253*CD161+CE253*CE161+CF253*CF161+CG253*CG161+CH253*CH161+CI253*CI161+CJ253*CJ161+CK253*CK161+CL253*CL161+CM253*CM161+CN253*CN161</f>
        <v>0</v>
      </c>
      <c r="CW161" s="2652">
        <f>E254*E161+F254*F161+G254*G161+H254*H161+I254*I161+J254*J161+K254*K161+L254*L161+M254*M161+N254*N161+O254*O161+P254*P161+Q254*Q161+R254*R161+S254*S161+T254*T161+U254*U161+V254*V161+W254*W161+X254*X161+Y254*Y161+Z254*Z161+AA254*AA161+AB254*AB161+AC254*AC161+AD254*AD161+AE254*AE161+AF254*AF161+AG254*AG161+AH254*AH161+AI254*AI161+AJ254*AJ161+AK254*AK161+AL254*AL161+AM254*AM161+AN254*AN161+AO254*AO161+AP254*AP161+AQ254*AQ161+AR254*AR161+AS254*AS161+AT254*AT161+AU254*AU161+AV254*AV161+AW254*AW161+AX254*AX161+AY254*AY161+AZ254*AZ161+BA254*BA161+BB254*BB161+BC254*BC161+BD254*BD161+BE254*BE161+BF254*BF161+BG254*BG161+BH254*BH161+BI254*BI161+BJ254*BJ161+BK254*BK161+BL254*BL161+BM254*BM161+BN254*BN161+BO254*BO161+BP254*BP161+BQ254*BQ161+BR254*BR161+BS254*BS161+BT254*BT161+BU254*BU161+BV254*BV161+BW254*BW161+BX254*BX161+BY254*BY161+BZ254*BZ161+CA254*CA161+CB254*CB161+CC254*CC161+CD254*CD161+CE254*CE161+CF254*CF161+CG254*CG161+CH254*CH161+CI254*CI161+CJ254*CJ161+CK254*CK161+CL254*CL161+CM254*CM161+CN254*CN161</f>
        <v>0</v>
      </c>
      <c r="CX161" s="2652">
        <f>E255*E161+F255*F161+G255*G161+H255*H161+I255*I161+J255*J161+K255*K161+L255*L161+M255*M161+N255*N161+O255*O161+P255*P161+Q255*Q161+R255*R161+S255*S161+T255*T161+U255*U161+V255*V161+W255*W161+X255*X161+Y255*Y161+Z255*Z161+AA255*AA161+AB255*AB161+AC255*AC161+AD255*AD161+AE255*AE161+AF255*AF161+AG255*AG161+AH255*AH161+AI255*AI161+AJ255*AJ161+AK255*AK161+AL255*AL161+AM255*AM161+AN255*AN161+AO255*AO161+AP255*AP161+AQ255*AQ161+AR255*AR161+AS255*AS161+AT255*AT161+AU255*AU161+AV255*AV161+AW255*AW161+AX255*AX161+AY255*AY161+AZ255*AZ161+BA255*BA161+BB255*BB161+BC255*BC161+BD255*BD161+BE255*BE161+BF255*BF161+BG255*BG161+BH255*BH161+BI255*BI161+BJ255*BJ161+BK255*BK161+BL255*BL161+BM255*BM161+BN255*BN161+BO255*BO161+BP255*BP161+BQ255*BQ161+BR255*BR161+BS255*BS161+BT255*BT161+BU255*BU161+BV255*BV161+BW255*BW161+BX255*BX161+BY255*BY161+BZ255*BZ161+CA255*CA161+CB255*CB161+CC255*CC161+CD255*CD161+CE255*CE161+CF255*CF161+CG255*CG161+CH255*CH161+CI255*CI161+CJ255*CJ161+CK255*CK161+CL255*CL161+CM255*CM161+CN255*CN161</f>
        <v>0</v>
      </c>
      <c r="CY161" s="2652">
        <f>E256*E161+F256*F161+G256*G161+H256*H161+I256*I161+J256*J161+K256*K161+L256*L161+M256*M161+N256*N161+O256*O161+P256*P161+Q256*Q161+R256*R161+S256*S161+T256*T161+U256*U161+V256*V161+W256*W161+X256*X161+Y256*Y161+Z256*Z161+AA256*AA161+AB256*AB161+AC256*AC161+AD256*AD161+AE256*AE161+AF256*AF161+AG256*AG161+AH256*AH161+AI256*AI161+AJ256*AJ161+AK256*AK161+AL256*AL161+AM256*AM161+AN256*AN161+AO256*AO161+AP256*AP161+AQ256*AQ161+AR256*AR161+AS256*AS161+AT256*AT161+AU256*AU161+AV256*AV161+AW256*AW161+AX256*AX161+AY256*AY161+AZ256*AZ161+BA256*BA161+BB256*BB161+BC256*BC161+BD256*BD161+BE256*BE161+BF256*BF161+BG256*BG161+BH256*BH161+BI256*BI161+BJ256*BJ161+BK256*BK161+BL256*BL161+BM256*BM161+BN256*BN161+BO256*BO161+BP256*BP161+BQ256*BQ161+BR256*BR161+BS256*BS161+BT256*BT161+BU256*BU161+BV256*BV161+BW256*BW161+BX256*BX161+BY256*BY161+BZ256*BZ161+CA256*CA161+CB256*CB161+CC256*CC161+CD256*CD161+CE256*CE161+CF256*CF161+CG256*CG161+CH256*CH161+CI256*CI161+CJ256*CJ161+CK256*CK161+CL256*CL161+CM256*CM161+CN256*CN161</f>
        <v>0</v>
      </c>
      <c r="CZ161" s="2652">
        <f>E257*E161+F257*F161+G257*G161+H257*H161+I257*I161+J257*J161+K257*K161+L257*L161+M257*M161+N257*N161+O257*O161+P257*P161+Q257*Q161+R257*R161+S257*S161+T257*T161+U257*U161+V257*V161+W257*W161+X257*X161+Y257*Y161+Z257*Z161+AA257*AA161+AB257*AB161+AC257*AC161+AD257*AD161+AE257*AE161+AF257*AF161+AG257*AG161+AH257*AH161+AI257*AI161+AJ257*AJ161+AK257*AK161+AL257*AL161+AM257*AM161+AN257*AN161+AO257*AO161+AP257*AP161+AQ257*AQ161+AR257*AR161+AS257*AS161+AT257*AT161+AU257*AU161+AV257*AV161+AW257*AW161+AX257*AX161+AY257*AY161+AZ257*AZ161+BA257*BA161+BB257*BB161+BC257*BC161+BD257*BD161+BE257*BE161+BF257*BF161+BG257*BG161+BH257*BH161+BI257*BI161+BJ257*BJ161+BK257*BK161+BL257*BL161+BM257*BM161+BN257*BN161+BO257*BO161+BP257*BP161+BQ257*BQ161+BR257*BR161+BS257*BS161+BT257*BT161+BU257*BU161+BV257*BV161+BW257*BW161+BX257*BX161+BY257*BY161+BZ257*BZ161+CA257*CA161+CB257*CB161+CC257*CC161+CD257*CD161+CE257*CE161+CF257*CF161+CG257*CG161+CH257*CH161+CI257*CI161+CJ257*CJ161+CK257*CK161+CL257*CL161+CM257*CM161+CN257*CN161</f>
        <v>0</v>
      </c>
      <c r="DA161" s="2652">
        <f>E258*E161+F258*F161+G258*G161+H258*H161+I258*I161+J258*J161+K258*K161+L258*L161+M258*M161+N258*N161+O258*O161+P258*P161+Q258*Q161+R258*R161+S258*S161+T258*T161+U258*U161+V258*V161+W258*W161+X258*X161+Y258*Y161+Z258*Z161+AA258*AA161+AB258*AB161+AC258*AC161+AD258*AD161+AE258*AE161+AF258*AF161+AG258*AG161+AH258*AH161+AI258*AI161+AJ258*AJ161+AK258*AK161+AL258*AL161+AM258*AM161+AN258*AN161+AO258*AO161+AP258*AP161+AQ258*AQ161+AR258*AR161+AS258*AS161+AT258*AT161+AU258*AU161+AV258*AV161+AW258*AW161+AX258*AX161+AY258*AY161+AZ258*AZ161+BA258*BA161+BB258*BB161+BC258*BC161+BD258*BD161+BE258*BE161+BF258*BF161+BG258*BG161+BH258*BH161+BI258*BI161+BJ258*BJ161+BK258*BK161+BL258*BL161+BM258*BM161+BN258*BN161+BO258*BO161+BP258*BP161+BQ258*BQ161+BR258*BR161+BS258*BS161+BT258*BT161+BU258*BU161+BV258*BV161+BW258*BW161+BX258*BX161+BY258*BY161+BZ258*BZ161+CA258*CA161+CB258*CB161+CC258*CC161+CD258*CD161+CE258*CE161+CF258*CF161+CG258*CG161+CH258*CH161+CI258*CI161+CJ258*CJ161+CK258*CK161+CL258*CL161+CM258*CM161+CN258*CN161</f>
        <v>0</v>
      </c>
    </row>
    <row r="162" spans="2:105" ht="18" x14ac:dyDescent="0.25">
      <c r="B162" s="1083">
        <v>29</v>
      </c>
      <c r="C162" s="1073" t="s">
        <v>251</v>
      </c>
      <c r="D162" s="806" t="s">
        <v>1670</v>
      </c>
      <c r="E162" s="2678">
        <f>0</f>
        <v>0</v>
      </c>
      <c r="F162" s="2678">
        <f>0</f>
        <v>0</v>
      </c>
      <c r="G162" s="2678">
        <f>0</f>
        <v>0</v>
      </c>
      <c r="H162" s="2678">
        <f>0</f>
        <v>0</v>
      </c>
      <c r="I162" s="2678">
        <f>0</f>
        <v>0</v>
      </c>
      <c r="J162" s="2678">
        <f>0</f>
        <v>0</v>
      </c>
      <c r="K162" s="2678">
        <f>0</f>
        <v>0</v>
      </c>
      <c r="L162" s="2678">
        <f>0</f>
        <v>0</v>
      </c>
      <c r="M162" s="2678">
        <f>0</f>
        <v>0</v>
      </c>
      <c r="N162" s="2678">
        <f>0</f>
        <v>0</v>
      </c>
      <c r="O162" s="2678">
        <f>0</f>
        <v>0</v>
      </c>
      <c r="P162" s="2681">
        <f>-1/Y_PAO_PHA_anox</f>
        <v>-1.9230769230769229</v>
      </c>
      <c r="Q162" s="2681">
        <f>0</f>
        <v>0</v>
      </c>
      <c r="R162" s="2678">
        <f>0</f>
        <v>0</v>
      </c>
      <c r="S162" s="2678">
        <f>0</f>
        <v>0</v>
      </c>
      <c r="T162" s="2678">
        <f>0</f>
        <v>0</v>
      </c>
      <c r="U162" s="2678">
        <f>0</f>
        <v>0</v>
      </c>
      <c r="V162" s="2678">
        <f>1</f>
        <v>1</v>
      </c>
      <c r="W162" s="2678">
        <f>0</f>
        <v>0</v>
      </c>
      <c r="X162" s="2678">
        <f>0</f>
        <v>0</v>
      </c>
      <c r="Y162" s="2678">
        <f>0</f>
        <v>0</v>
      </c>
      <c r="Z162" s="2678">
        <f>0</f>
        <v>0</v>
      </c>
      <c r="AA162" s="2678">
        <f>0</f>
        <v>0</v>
      </c>
      <c r="AB162" s="2678">
        <f>0</f>
        <v>0</v>
      </c>
      <c r="AC162" s="2741">
        <f>0</f>
        <v>0</v>
      </c>
      <c r="AD162" s="2678">
        <f>-i_N_BIO</f>
        <v>-7.0000000000000007E-2</v>
      </c>
      <c r="AE162" s="2681">
        <f>(1-Y_PAO_PHA_anox)/(E_EQNO2_NO3*Y_PAO_PHA_anox)</f>
        <v>0.80810915024698038</v>
      </c>
      <c r="AF162" s="2681">
        <f>-(1-Y_PAO_PHA_anox)/(E_EQNO2_NO3*Y_PAO_PHA_anox)</f>
        <v>-0.80810915024698038</v>
      </c>
      <c r="AG162" s="2681">
        <f>0</f>
        <v>0</v>
      </c>
      <c r="AH162" s="2678">
        <f>0</f>
        <v>0</v>
      </c>
      <c r="AI162" s="2678">
        <f>0</f>
        <v>0</v>
      </c>
      <c r="AJ162" s="2678">
        <f>0</f>
        <v>0</v>
      </c>
      <c r="AK162" s="2678">
        <f>0</f>
        <v>0</v>
      </c>
      <c r="AL162" s="2681">
        <f>0</f>
        <v>0</v>
      </c>
      <c r="AM162" s="2681">
        <f>-i_P_BIO</f>
        <v>-0.02</v>
      </c>
      <c r="AN162" s="2678">
        <f>0</f>
        <v>0</v>
      </c>
      <c r="AO162" s="2678">
        <f>0</f>
        <v>0</v>
      </c>
      <c r="AP162" s="2678">
        <f>0</f>
        <v>0</v>
      </c>
      <c r="AQ162" s="2678">
        <f>0</f>
        <v>0</v>
      </c>
      <c r="AR162" s="2678">
        <f>0</f>
        <v>0</v>
      </c>
      <c r="AS162" s="2678">
        <f>0</f>
        <v>0</v>
      </c>
      <c r="AT162" s="2678">
        <f>0</f>
        <v>0</v>
      </c>
      <c r="AU162" s="2681">
        <f>(i_CIT_PHA/Y_PAO_PHA_anox)-i_CIT_BIO</f>
        <v>0.28838461538461546</v>
      </c>
      <c r="AV162" s="2681">
        <f>i_INORG</f>
        <v>0.11</v>
      </c>
      <c r="AW162" s="2681">
        <f>-i_INORG*(1-i_Ca_INORG*(A_MCa+2*A_MCl)/A_MCa-i_Mg_INORG*(A_MMg+2*A_MCl)/A_MMg)*f_Na</f>
        <v>-2.8804303582798466E-2</v>
      </c>
      <c r="AX162" s="2681">
        <f>-i_INORG*(i_Ca_INORG*(2*A_MCl)/A_MCa+i_Mg_INORG*(2*A_MCl)/A_MMg)-i_INORG*(1-i_Ca_INORG*(A_MCa+2*A_MCl)/A_MCa-i_Mg_INORG*(A_MMg+2*A_MCl)/A_MMg)*(1-f_Na)</f>
        <v>-7.0195696417201539E-2</v>
      </c>
      <c r="AY162" s="2681">
        <f>-i_INORG*i_Ca_INORG+i_Ca_PP*A_MCa/A_MP*i_P_BIO</f>
        <v>-2.9121322594773459E-3</v>
      </c>
      <c r="AZ162" s="2681">
        <f>-i_INORG*i_Mg_INORG+i_Mg_PP*A_MMg/A_MP*i_P_BIO</f>
        <v>-7.1251305726128047E-6</v>
      </c>
      <c r="BA162" s="2681">
        <f>i_K_PP*A_MK/A_MP*i_P_BIO</f>
        <v>2.5246077468755158E-3</v>
      </c>
      <c r="BB162" s="2681">
        <f>0</f>
        <v>0</v>
      </c>
      <c r="BC162" s="2681">
        <f>0</f>
        <v>0</v>
      </c>
      <c r="BD162" s="2681">
        <f>0</f>
        <v>0</v>
      </c>
      <c r="BE162" s="2681">
        <f>0</f>
        <v>0</v>
      </c>
      <c r="BF162" s="2681">
        <f>0</f>
        <v>0</v>
      </c>
      <c r="BG162" s="2681">
        <f>0</f>
        <v>0</v>
      </c>
      <c r="BH162" s="2681">
        <f>0</f>
        <v>0</v>
      </c>
      <c r="BI162" s="2681">
        <f>0</f>
        <v>0</v>
      </c>
      <c r="BJ162" s="2766">
        <f>0</f>
        <v>0</v>
      </c>
      <c r="BK162" s="2766">
        <f>0</f>
        <v>0</v>
      </c>
      <c r="BL162" s="2766">
        <f>0</f>
        <v>0</v>
      </c>
      <c r="BM162" s="2766">
        <f>0</f>
        <v>0</v>
      </c>
      <c r="BN162" s="2766">
        <f>0</f>
        <v>0</v>
      </c>
      <c r="BO162" s="2766">
        <f>0</f>
        <v>0</v>
      </c>
      <c r="BP162" s="2766">
        <f>0</f>
        <v>0</v>
      </c>
      <c r="BQ162" s="2681">
        <f>0</f>
        <v>0</v>
      </c>
      <c r="BR162" s="2681">
        <f>0</f>
        <v>0</v>
      </c>
      <c r="BS162" s="2766">
        <f>0</f>
        <v>0</v>
      </c>
      <c r="BT162" s="2681">
        <f>0</f>
        <v>0</v>
      </c>
      <c r="BU162" s="2681">
        <f>0</f>
        <v>0</v>
      </c>
      <c r="BV162" s="2758">
        <f>0</f>
        <v>0</v>
      </c>
      <c r="BW162" s="2758">
        <f>0</f>
        <v>0</v>
      </c>
      <c r="BX162" s="2758">
        <f>0</f>
        <v>0</v>
      </c>
      <c r="BY162" s="2758">
        <f>0</f>
        <v>0</v>
      </c>
      <c r="BZ162" s="2681">
        <f>0</f>
        <v>0</v>
      </c>
      <c r="CA162" s="2681">
        <f>0</f>
        <v>0</v>
      </c>
      <c r="CB162" s="2728">
        <f>0</f>
        <v>0</v>
      </c>
      <c r="CC162" s="2681">
        <f>0</f>
        <v>0</v>
      </c>
      <c r="CD162" s="2681">
        <f>0</f>
        <v>0</v>
      </c>
      <c r="CE162" s="2681">
        <f>0</f>
        <v>0</v>
      </c>
      <c r="CF162" s="2681">
        <f>0</f>
        <v>0</v>
      </c>
      <c r="CG162" s="2681">
        <f>0</f>
        <v>0</v>
      </c>
      <c r="CH162" s="2681">
        <f>0</f>
        <v>0</v>
      </c>
      <c r="CI162" s="2681">
        <f>0</f>
        <v>0</v>
      </c>
      <c r="CJ162" s="2681">
        <f>0</f>
        <v>0</v>
      </c>
      <c r="CK162" s="2681">
        <f>0</f>
        <v>0</v>
      </c>
      <c r="CL162" s="2681">
        <f>0</f>
        <v>0</v>
      </c>
      <c r="CM162" s="2681">
        <f>0</f>
        <v>0</v>
      </c>
      <c r="CN162" s="2681">
        <f>0</f>
        <v>0</v>
      </c>
      <c r="CO162" s="2829">
        <f>µ_PAO_lim_T*X_PAO*η_CASTO_anox*M_RsatXPHA_XPAO_KPHA*M_inhSO2_KO2_CASTO*M_satSNO3_KNO3_CASTO*M_inhSNO2_KNO2_CASTO*M_satSNHx_KNHx_BIO*M_inhSPO4_KiPO4_lim*M_satXPP_KPP_lim*M_satSCAT_KCAT*M_satSAN_KAN*M_satSCa_KCa*M_satSMg_KMg*B_ellinhpH</f>
        <v>9.0371965287307059E-3</v>
      </c>
      <c r="CQ162" s="2650">
        <f>E248*E162+F248*F162+G248*G162+H248*H162+I248*I162+J248*J162+K248*K162+L248*L162+M248*M162+N248*N162+O248*O162+P248*P162+Q248*Q162+R248*R162+S248*S162+T248*T162+U248*U162+V248*V162+W248*W162+X248*X162+Y248*Y162+Z248*Z162+AA248*AA162+AB248*AB162+AC248*AC162+AD248*AD162+AE248*AE162+AF248*AF162+AG248*AG162+AH248*AH162+AI248*AI162+AJ248*AJ162+AK248*AK162+AL248*AL162+AM248*AM162+AN248*AN162+AO248*AO162+AP248*AP162+AQ248*AQ162+AR248*AR162+AS248*AS162+AT248*AT162+AU248*AU162+AV248*AV162+AW248*AW162+AX248*AX162+AY248*AY162+AZ248*AZ162+BA248*BA162+BB248*BB162+BC248*BC162+BD248*BD162+BE248*BE162+BF248*BF162+BG248*BG162+BH248*BH162+BI248*BI162+BJ248*BJ162+BK248*BK162+BL248*BL162+BM248*BM162+BN248*BN162+BO248*BO162+BP248*BP162+BQ248*BQ162+BR248*BR162+BS248*BS162+BT248*BT162+BU248*BU162+BV248*BV162+BW248*BW162+BX248*BX162+BY248*BY162+BZ248*BZ162+CA248*CA162+CB248*CB162+CC248*CC162+CD248*CD162+CE248*CE162+CF248*CF162+CG248*CG162+CH248*CH162+CI248*CI162+CJ248*CJ162+CK248*CK162+CL248*CL162+CM248*CM162+CN248*CN162</f>
        <v>0</v>
      </c>
      <c r="CR162" s="2650">
        <f>E249*E162+F249*F162+G249*G162+H249*H162+I249*I162+J249*J162+K249*K162+L249*L162+M249*M162+N249*N162+O249*O162+P249*P162+Q249*Q162+R249*R162+S249*S162+T249*T162+U249*U162+V249*V162+W249*W162+X249*X162+Y249*Y162+Z249*Z162+AA249*AA162+AB249*AB162+AC249*AC162+AD249*AD162+AE249*AE162+AF249*AF162+AG249*AG162+AH249*AH162+AI249*AI162+AJ249*AJ162+AK249*AK162+AL249*AL162+AM249*AM162+AN249*AN162+AO249*AO162+AP249*AP162+AQ249*AQ162+AR249*AR162+AS249*AS162+AT249*AT162+AU249*AU162+AV249*AV162+AW249*AW162+AX249*AX162+AY249*AY162+AZ249*AZ162+BA249*BA162+BB249*BB162+BC249*BC162+BD249*BD162+BE249*BE162+BF249*BF162+BG249*BG162+BH249*BH162+BI249*BI162+BJ249*BJ162+BK249*BK162+BL249*BL162+BM249*BM162+BN249*BN162+BO249*BO162+BP249*BP162+BQ249*BQ162+BR249*BR162+BS249*BS162+BT249*BT162+BU249*BU162+BV249*BV162+BW249*BW162+BX249*BX162+BY249*BY162+BZ249*BZ162+CA249*CA162+CB249*CB162+CC249*CC162+CD249*CD162+CE249*CE162+CF249*CF162+CG249*CG162+CH249*CH162+CI249*CI162+CJ249*CJ162+CK249*CK162+CL249*CL162+CM249*CM162+CN249*CN162</f>
        <v>1.1102230246251565E-16</v>
      </c>
      <c r="CS162" s="2651">
        <f>E250*E162+F250*F162+G250*G162+H250*H162+I250*I162+J250*J162+K250*K162+L250*L162+M250*M162+N250*N162+O250*O162+P250*P162+Q250*Q162+R250*R162+S250*S162+T250*T162+U250*U162+V250*V162+W250*W162+X250*X162+Y250*Y162+Z250*Z162+AA250*AA162+AB250*AB162+AC250*AC162+AD250*AD162+AE250*AE162+AF250*AF162+AG250*AG162+AH250*AH162+AI250*AI162+AJ250*AJ162+AK250*AK162+AL250*AL162+AM250*AM162+AN250*AN162+AO250*AO162+AP250*AP162+AQ250*AQ162+AR250*AR162+AS250*AS162+AT250*AT162+AU250*AU162+AV250*AV162+AW250*AW162+AX250*AX162+AY250*AY162+AZ250*AZ162+BA250*BA162+BB250*BB162+BC250*BC162+BD250*BD162+BE250*BE162+BF250*BF162+BG250*BG162+BH250*BH162+BI250*BI162+BJ250*BJ162+BK250*BK162+BL250*BL162+BM250*BM162+BN250*BN162+BO250*BO162+BP250*BP162+BQ250*BQ162+BR250*BR162+BS250*BS162+BT250*BT162+BU250*BU162+BV250*BV162+BW250*BW162+BX250*BX162+BY250*BY162+BZ250*BZ162+CA250*CA162+CB250*CB162+CC250*CC162+CD250*CD162+CE250*CE162+CF250*CF162+CG250*CG162+CH250*CH162+CI250*CI162+CJ250*CJ162+CK250*CK162+CL250*CL162+CM250*CM162+CN250*CN162</f>
        <v>0</v>
      </c>
      <c r="CT162" s="2652">
        <f>E251*E162+F251*F162+G251*G162+H251*H162+I251*I162+J251*J162+K251*K162+L251*L162+M251*M162+N251*N162+O251*O162+P251*P162+Q251*Q162+R251*R162+S251*S162+T251*T162+U251*U162+V251*V162+W251*W162+X251*X162+Y251*Y162+Z251*Z162+AA251*AA162+AB251*AB162+AC251*AC162+AD251*AD162+AE251*AE162+AF251*AF162+AG251*AG162+AH251*AH162+AI251*AI162+AJ251*AJ162+AK251*AK162+AL251*AL162+AM251*AM162+AN251*AN162+AO251*AO162+AP251*AP162+AQ251*AQ162+AR251*AR162+AS251*AS162+AT251*AT162+AU251*AU162+AV251*AV162+AW251*AW162+AX251*AX162+AY251*AY162+AZ251*AZ162+BA251*BA162+BB251*BB162+BC251*BC162+BD251*BD162+BE251*BE162+BF251*BF162+BG251*BG162+BH251*BH162+BI251*BI162+BJ251*BJ162+BK251*BK162+BL251*BL162+BM251*BM162+BN251*BN162+BO251*BO162+BP251*BP162+BQ251*BQ162+BR251*BR162+BS251*BS162+BT251*BT162+BU251*BU162+BV251*BV162+BW251*BW162+BX251*BX162+BY251*BY162+BZ251*BZ162+CA251*CA162+CB251*CB162+CC251*CC162+CD251*CD162+CE251*CE162+CF251*CF162+CG251*CG162+CH251*CH162+CI251*CI162+CJ251*CJ162+CK251*CK162+CL251*CL162+CM251*CM162+CN251*CN162</f>
        <v>0</v>
      </c>
      <c r="CU162" s="2652">
        <f>E252*E162+F252*F162+G252*G162+H252*H162+I252*I162+J252*J162+K252*K162+L252*L162+M252*M162+N252*N162+O252*O162+P252*P162+Q252*Q162+R252*R162+S252*S162+T252*T162+U252*U162+V252*V162+W252*W162+X252*X162+Y252*Y162+Z252*Z162+AA252*AA162+AB252*AB162+AC252*AC162+AD252*AD162+AE252*AE162+AF252*AF162+AG252*AG162+AH252*AH162+AI252*AI162+AJ252*AJ162+AK252*AK162+AL252*AL162+AM252*AM162+AN252*AN162+AO252*AO162+AP252*AP162+AQ252*AQ162+AR252*AR162+AS252*AS162+AT252*AT162+AU252*AU162+AV252*AV162+AW252*AW162+AX252*AX162+AY252*AY162+AZ252*AZ162+BA252*BA162+BB252*BB162+BC252*BC162+BD252*BD162+BE252*BE162+BF252*BF162+BG252*BG162+BH252*BH162+BI252*BI162+BJ252*BJ162+BK252*BK162+BL252*BL162+BM252*BM162+BN252*BN162+BO252*BO162+BP252*BP162+BQ252*BQ162+BR252*BR162+BS252*BS162+BT252*BT162+BU252*BU162+BV252*BV162+BW252*BW162+BX252*BX162+BY252*BY162+BZ252*BZ162+CA252*CA162+CB252*CB162+CC252*CC162+CD252*CD162+CE252*CE162+CF252*CF162+CG252*CG162+CH252*CH162+CI252*CI162+CJ252*CJ162+CK252*CK162+CL252*CL162+CM252*CM162+CN252*CN162</f>
        <v>0</v>
      </c>
      <c r="CV162" s="2652">
        <f>E253*E162+F253*F162+G253*G162+H253*H162+I253*I162+J253*J162+K253*K162+L253*L162+M253*M162+N253*N162+O253*O162+P253*P162+Q253*Q162+R253*R162+S253*S162+T253*T162+U253*U162+V253*V162+W253*W162+X253*X162+Y253*Y162+Z253*Z162+AA253*AA162+AB253*AB162+AC253*AC162+AD253*AD162+AE253*AE162+AF253*AF162+AG253*AG162+AH253*AH162+AI253*AI162+AJ253*AJ162+AK253*AK162+AL253*AL162+AM253*AM162+AN253*AN162+AO253*AO162+AP253*AP162+AQ253*AQ162+AR253*AR162+AS253*AS162+AT253*AT162+AU253*AU162+AV253*AV162+AW253*AW162+AX253*AX162+AY253*AY162+AZ253*AZ162+BA253*BA162+BB253*BB162+BC253*BC162+BD253*BD162+BE253*BE162+BF253*BF162+BG253*BG162+BH253*BH162+BI253*BI162+BJ253*BJ162+BK253*BK162+BL253*BL162+BM253*BM162+BN253*BN162+BO253*BO162+BP253*BP162+BQ253*BQ162+BR253*BR162+BS253*BS162+BT253*BT162+BU253*BU162+BV253*BV162+BW253*BW162+BX253*BX162+BY253*BY162+BZ253*BZ162+CA253*CA162+CB253*CB162+CC253*CC162+CD253*CD162+CE253*CE162+CF253*CF162+CG253*CG162+CH253*CH162+CI253*CI162+CJ253*CJ162+CK253*CK162+CL253*CL162+CM253*CM162+CN253*CN162</f>
        <v>0</v>
      </c>
      <c r="CW162" s="2652">
        <f>E254*E162+F254*F162+G254*G162+H254*H162+I254*I162+J254*J162+K254*K162+L254*L162+M254*M162+N254*N162+O254*O162+P254*P162+Q254*Q162+R254*R162+S254*S162+T254*T162+U254*U162+V254*V162+W254*W162+X254*X162+Y254*Y162+Z254*Z162+AA254*AA162+AB254*AB162+AC254*AC162+AD254*AD162+AE254*AE162+AF254*AF162+AG254*AG162+AH254*AH162+AI254*AI162+AJ254*AJ162+AK254*AK162+AL254*AL162+AM254*AM162+AN254*AN162+AO254*AO162+AP254*AP162+AQ254*AQ162+AR254*AR162+AS254*AS162+AT254*AT162+AU254*AU162+AV254*AV162+AW254*AW162+AX254*AX162+AY254*AY162+AZ254*AZ162+BA254*BA162+BB254*BB162+BC254*BC162+BD254*BD162+BE254*BE162+BF254*BF162+BG254*BG162+BH254*BH162+BI254*BI162+BJ254*BJ162+BK254*BK162+BL254*BL162+BM254*BM162+BN254*BN162+BO254*BO162+BP254*BP162+BQ254*BQ162+BR254*BR162+BS254*BS162+BT254*BT162+BU254*BU162+BV254*BV162+BW254*BW162+BX254*BX162+BY254*BY162+BZ254*BZ162+CA254*CA162+CB254*CB162+CC254*CC162+CD254*CD162+CE254*CE162+CF254*CF162+CG254*CG162+CH254*CH162+CI254*CI162+CJ254*CJ162+CK254*CK162+CL254*CL162+CM254*CM162+CN254*CN162</f>
        <v>0</v>
      </c>
      <c r="CX162" s="2652">
        <f>E255*E162+F255*F162+G255*G162+H255*H162+I255*I162+J255*J162+K255*K162+L255*L162+M255*M162+N255*N162+O255*O162+P255*P162+Q255*Q162+R255*R162+S255*S162+T255*T162+U255*U162+V255*V162+W255*W162+X255*X162+Y255*Y162+Z255*Z162+AA255*AA162+AB255*AB162+AC255*AC162+AD255*AD162+AE255*AE162+AF255*AF162+AG255*AG162+AH255*AH162+AI255*AI162+AJ255*AJ162+AK255*AK162+AL255*AL162+AM255*AM162+AN255*AN162+AO255*AO162+AP255*AP162+AQ255*AQ162+AR255*AR162+AS255*AS162+AT255*AT162+AU255*AU162+AV255*AV162+AW255*AW162+AX255*AX162+AY255*AY162+AZ255*AZ162+BA255*BA162+BB255*BB162+BC255*BC162+BD255*BD162+BE255*BE162+BF255*BF162+BG255*BG162+BH255*BH162+BI255*BI162+BJ255*BJ162+BK255*BK162+BL255*BL162+BM255*BM162+BN255*BN162+BO255*BO162+BP255*BP162+BQ255*BQ162+BR255*BR162+BS255*BS162+BT255*BT162+BU255*BU162+BV255*BV162+BW255*BW162+BX255*BX162+BY255*BY162+BZ255*BZ162+CA255*CA162+CB255*CB162+CC255*CC162+CD255*CD162+CE255*CE162+CF255*CF162+CG255*CG162+CH255*CH162+CI255*CI162+CJ255*CJ162+CK255*CK162+CL255*CL162+CM255*CM162+CN255*CN162</f>
        <v>0</v>
      </c>
      <c r="CY162" s="2652">
        <f>E256*E162+F256*F162+G256*G162+H256*H162+I256*I162+J256*J162+K256*K162+L256*L162+M256*M162+N256*N162+O256*O162+P256*P162+Q256*Q162+R256*R162+S256*S162+T256*T162+U256*U162+V256*V162+W256*W162+X256*X162+Y256*Y162+Z256*Z162+AA256*AA162+AB256*AB162+AC256*AC162+AD256*AD162+AE256*AE162+AF256*AF162+AG256*AG162+AH256*AH162+AI256*AI162+AJ256*AJ162+AK256*AK162+AL256*AL162+AM256*AM162+AN256*AN162+AO256*AO162+AP256*AP162+AQ256*AQ162+AR256*AR162+AS256*AS162+AT256*AT162+AU256*AU162+AV256*AV162+AW256*AW162+AX256*AX162+AY256*AY162+AZ256*AZ162+BA256*BA162+BB256*BB162+BC256*BC162+BD256*BD162+BE256*BE162+BF256*BF162+BG256*BG162+BH256*BH162+BI256*BI162+BJ256*BJ162+BK256*BK162+BL256*BL162+BM256*BM162+BN256*BN162+BO256*BO162+BP256*BP162+BQ256*BQ162+BR256*BR162+BS256*BS162+BT256*BT162+BU256*BU162+BV256*BV162+BW256*BW162+BX256*BX162+BY256*BY162+BZ256*BZ162+CA256*CA162+CB256*CB162+CC256*CC162+CD256*CD162+CE256*CE162+CF256*CF162+CG256*CG162+CH256*CH162+CI256*CI162+CJ256*CJ162+CK256*CK162+CL256*CL162+CM256*CM162+CN256*CN162</f>
        <v>0</v>
      </c>
      <c r="CZ162" s="2652">
        <f>E257*E162+F257*F162+G257*G162+H257*H162+I257*I162+J257*J162+K257*K162+L257*L162+M257*M162+N257*N162+O257*O162+P257*P162+Q257*Q162+R257*R162+S257*S162+T257*T162+U257*U162+V257*V162+W257*W162+X257*X162+Y257*Y162+Z257*Z162+AA257*AA162+AB257*AB162+AC257*AC162+AD257*AD162+AE257*AE162+AF257*AF162+AG257*AG162+AH257*AH162+AI257*AI162+AJ257*AJ162+AK257*AK162+AL257*AL162+AM257*AM162+AN257*AN162+AO257*AO162+AP257*AP162+AQ257*AQ162+AR257*AR162+AS257*AS162+AT257*AT162+AU257*AU162+AV257*AV162+AW257*AW162+AX257*AX162+AY257*AY162+AZ257*AZ162+BA257*BA162+BB257*BB162+BC257*BC162+BD257*BD162+BE257*BE162+BF257*BF162+BG257*BG162+BH257*BH162+BI257*BI162+BJ257*BJ162+BK257*BK162+BL257*BL162+BM257*BM162+BN257*BN162+BO257*BO162+BP257*BP162+BQ257*BQ162+BR257*BR162+BS257*BS162+BT257*BT162+BU257*BU162+BV257*BV162+BW257*BW162+BX257*BX162+BY257*BY162+BZ257*BZ162+CA257*CA162+CB257*CB162+CC257*CC162+CD257*CD162+CE257*CE162+CF257*CF162+CG257*CG162+CH257*CH162+CI257*CI162+CJ257*CJ162+CK257*CK162+CL257*CL162+CM257*CM162+CN257*CN162</f>
        <v>0</v>
      </c>
      <c r="DA162" s="2652">
        <f>E258*E162+F258*F162+G258*G162+H258*H162+I258*I162+J258*J162+K258*K162+L258*L162+M258*M162+N258*N162+O258*O162+P258*P162+Q258*Q162+R258*R162+S258*S162+T258*T162+U258*U162+V258*V162+W258*W162+X258*X162+Y258*Y162+Z258*Z162+AA258*AA162+AB258*AB162+AC258*AC162+AD258*AD162+AE258*AE162+AF258*AF162+AG258*AG162+AH258*AH162+AI258*AI162+AJ258*AJ162+AK258*AK162+AL258*AL162+AM258*AM162+AN258*AN162+AO258*AO162+AP258*AP162+AQ258*AQ162+AR258*AR162+AS258*AS162+AT258*AT162+AU258*AU162+AV258*AV162+AW258*AW162+AX258*AX162+AY258*AY162+AZ258*AZ162+BA258*BA162+BB258*BB162+BC258*BC162+BD258*BD162+BE258*BE162+BF258*BF162+BG258*BG162+BH258*BH162+BI258*BI162+BJ258*BJ162+BK258*BK162+BL258*BL162+BM258*BM162+BN258*BN162+BO258*BO162+BP258*BP162+BQ258*BQ162+BR258*BR162+BS258*BS162+BT258*BT162+BU258*BU162+BV258*BV162+BW258*BW162+BX258*BX162+BY258*BY162+BZ258*BZ162+CA258*CA162+CB258*CB162+CC258*CC162+CD258*CD162+CE258*CE162+CF258*CF162+CG258*CG162+CH258*CH162+CI258*CI162+CJ258*CJ162+CK258*CK162+CL258*CL162+CM258*CM162+CN258*CN162</f>
        <v>0</v>
      </c>
    </row>
    <row r="163" spans="2:105" ht="18" x14ac:dyDescent="0.25">
      <c r="B163" s="1083">
        <v>30</v>
      </c>
      <c r="C163" s="1073" t="s">
        <v>1361</v>
      </c>
      <c r="D163" s="806" t="s">
        <v>4098</v>
      </c>
      <c r="E163" s="2678">
        <f>-1</f>
        <v>-1</v>
      </c>
      <c r="F163" s="2678">
        <f>0</f>
        <v>0</v>
      </c>
      <c r="G163" s="2678">
        <f>0</f>
        <v>0</v>
      </c>
      <c r="H163" s="2678">
        <f>0</f>
        <v>0</v>
      </c>
      <c r="I163" s="2678">
        <f>0</f>
        <v>0</v>
      </c>
      <c r="J163" s="2678">
        <f>0</f>
        <v>0</v>
      </c>
      <c r="K163" s="2678">
        <f>0</f>
        <v>0</v>
      </c>
      <c r="L163" s="2678">
        <f>0</f>
        <v>0</v>
      </c>
      <c r="M163" s="2678">
        <f>0</f>
        <v>0</v>
      </c>
      <c r="N163" s="2678">
        <f>0</f>
        <v>0</v>
      </c>
      <c r="O163" s="2678">
        <f>0</f>
        <v>0</v>
      </c>
      <c r="P163" s="2678">
        <f>1</f>
        <v>1</v>
      </c>
      <c r="Q163" s="2678">
        <f>0</f>
        <v>0</v>
      </c>
      <c r="R163" s="2678">
        <f>0</f>
        <v>0</v>
      </c>
      <c r="S163" s="2678">
        <f>0</f>
        <v>0</v>
      </c>
      <c r="T163" s="2678">
        <f>0</f>
        <v>0</v>
      </c>
      <c r="U163" s="2678">
        <f>0</f>
        <v>0</v>
      </c>
      <c r="V163" s="2678">
        <f>0</f>
        <v>0</v>
      </c>
      <c r="W163" s="2678">
        <f>0</f>
        <v>0</v>
      </c>
      <c r="X163" s="2678">
        <f>0</f>
        <v>0</v>
      </c>
      <c r="Y163" s="2678">
        <f>0</f>
        <v>0</v>
      </c>
      <c r="Z163" s="2678">
        <f>0</f>
        <v>0</v>
      </c>
      <c r="AA163" s="2678">
        <f>0</f>
        <v>0</v>
      </c>
      <c r="AB163" s="2678">
        <f>0</f>
        <v>0</v>
      </c>
      <c r="AC163" s="2741">
        <f>0</f>
        <v>0</v>
      </c>
      <c r="AD163" s="2678">
        <f>0</f>
        <v>0</v>
      </c>
      <c r="AE163" s="2681">
        <f>0</f>
        <v>0</v>
      </c>
      <c r="AF163" s="2681">
        <f>0</f>
        <v>0</v>
      </c>
      <c r="AG163" s="2681">
        <f>0</f>
        <v>0</v>
      </c>
      <c r="AH163" s="2678">
        <f>0</f>
        <v>0</v>
      </c>
      <c r="AI163" s="2678">
        <f>0</f>
        <v>0</v>
      </c>
      <c r="AJ163" s="2678">
        <f>0</f>
        <v>0</v>
      </c>
      <c r="AK163" s="2678">
        <f>0</f>
        <v>0</v>
      </c>
      <c r="AL163" s="2678">
        <f>f_P_VFA</f>
        <v>0.65</v>
      </c>
      <c r="AM163" s="2681">
        <f>-f_P_VFA</f>
        <v>-0.65</v>
      </c>
      <c r="AN163" s="2678">
        <f>0</f>
        <v>0</v>
      </c>
      <c r="AO163" s="2678">
        <f>0</f>
        <v>0</v>
      </c>
      <c r="AP163" s="2678">
        <f>0</f>
        <v>0</v>
      </c>
      <c r="AQ163" s="2678">
        <f>0</f>
        <v>0</v>
      </c>
      <c r="AR163" s="2678">
        <f>0</f>
        <v>0</v>
      </c>
      <c r="AS163" s="2678">
        <f>0</f>
        <v>0</v>
      </c>
      <c r="AT163" s="2678">
        <f>0</f>
        <v>0</v>
      </c>
      <c r="AU163" s="2678">
        <f>i_CIT_VFA-i_CIT_PHA</f>
        <v>4.1999999999999982E-2</v>
      </c>
      <c r="AV163" s="2678">
        <f>0</f>
        <v>0</v>
      </c>
      <c r="AW163" s="2678">
        <f>0</f>
        <v>0</v>
      </c>
      <c r="AX163" s="2678">
        <f>0</f>
        <v>0</v>
      </c>
      <c r="AY163" s="2681">
        <f>i_Ca_PP*A_MCa/A_MP*f_P_VFA</f>
        <v>8.4105701566986282E-2</v>
      </c>
      <c r="AZ163" s="2681">
        <f>i_Mg_PP*A_MMg/A_MP*f_P_VFA</f>
        <v>0.17851843325639011</v>
      </c>
      <c r="BA163" s="2681">
        <f>i_K_PP*A_MK/A_MP*f_P_VFA</f>
        <v>8.2049751773454263E-2</v>
      </c>
      <c r="BB163" s="2678">
        <f>0</f>
        <v>0</v>
      </c>
      <c r="BC163" s="2678">
        <f>0</f>
        <v>0</v>
      </c>
      <c r="BD163" s="2678">
        <f>0</f>
        <v>0</v>
      </c>
      <c r="BE163" s="2678">
        <f>0</f>
        <v>0</v>
      </c>
      <c r="BF163" s="2678">
        <f>0</f>
        <v>0</v>
      </c>
      <c r="BG163" s="2678">
        <f>0</f>
        <v>0</v>
      </c>
      <c r="BH163" s="2678">
        <f>0</f>
        <v>0</v>
      </c>
      <c r="BI163" s="2678">
        <f>0</f>
        <v>0</v>
      </c>
      <c r="BJ163" s="2767">
        <f>0</f>
        <v>0</v>
      </c>
      <c r="BK163" s="2767">
        <f>0</f>
        <v>0</v>
      </c>
      <c r="BL163" s="2767">
        <f>0</f>
        <v>0</v>
      </c>
      <c r="BM163" s="2767">
        <f>0</f>
        <v>0</v>
      </c>
      <c r="BN163" s="2767">
        <f>0</f>
        <v>0</v>
      </c>
      <c r="BO163" s="2767">
        <f>0</f>
        <v>0</v>
      </c>
      <c r="BP163" s="2767">
        <f>0</f>
        <v>0</v>
      </c>
      <c r="BQ163" s="2678">
        <f>0</f>
        <v>0</v>
      </c>
      <c r="BR163" s="2678">
        <f>0</f>
        <v>0</v>
      </c>
      <c r="BS163" s="2767">
        <f>0</f>
        <v>0</v>
      </c>
      <c r="BT163" s="2678">
        <f>0</f>
        <v>0</v>
      </c>
      <c r="BU163" s="2678">
        <f>0</f>
        <v>0</v>
      </c>
      <c r="BV163" s="2741">
        <f>0</f>
        <v>0</v>
      </c>
      <c r="BW163" s="2741">
        <f>0</f>
        <v>0</v>
      </c>
      <c r="BX163" s="2741">
        <f>0</f>
        <v>0</v>
      </c>
      <c r="BY163" s="2741">
        <f>0</f>
        <v>0</v>
      </c>
      <c r="BZ163" s="2678">
        <f>0</f>
        <v>0</v>
      </c>
      <c r="CA163" s="2678">
        <f>0</f>
        <v>0</v>
      </c>
      <c r="CB163" s="2679">
        <f>0</f>
        <v>0</v>
      </c>
      <c r="CC163" s="2678">
        <f>0</f>
        <v>0</v>
      </c>
      <c r="CD163" s="2678">
        <f>0</f>
        <v>0</v>
      </c>
      <c r="CE163" s="2678">
        <f>0</f>
        <v>0</v>
      </c>
      <c r="CF163" s="2678">
        <f>0</f>
        <v>0</v>
      </c>
      <c r="CG163" s="2678">
        <f>0</f>
        <v>0</v>
      </c>
      <c r="CH163" s="2678">
        <f>0</f>
        <v>0</v>
      </c>
      <c r="CI163" s="2678">
        <f>0</f>
        <v>0</v>
      </c>
      <c r="CJ163" s="2678">
        <f>0</f>
        <v>0</v>
      </c>
      <c r="CK163" s="2678">
        <f>0</f>
        <v>0</v>
      </c>
      <c r="CL163" s="2678">
        <f>0</f>
        <v>0</v>
      </c>
      <c r="CM163" s="2678">
        <f>0</f>
        <v>0</v>
      </c>
      <c r="CN163" s="2678">
        <f>0</f>
        <v>0</v>
      </c>
      <c r="CO163" s="2828">
        <f>q_PAO_PHA_T*X_CASTO*actsto_PAO_ORP*M_satSVFA_KVFA_CASTO*M_RsatXPP_XPAO_KPP*L_oginhXPHA_XPAO_max</f>
        <v>0.33972825925009087</v>
      </c>
      <c r="CQ163" s="2650">
        <f>E248*E163+F248*F163+G248*G163+H248*H163+I248*I163+J248*J163+K248*K163+L248*L163+M248*M163+N248*N163+O248*O163+P248*P163+Q248*Q163+R248*R163+S248*S163+T248*T163+U248*U163+V248*V163+W248*W163+X248*X163+Y248*Y163+Z248*Z163+AA248*AA163+AB248*AB163+AC248*AC163+AD248*AD163+AE248*AE163+AF248*AF163+AG248*AG163+AH248*AH163+AI248*AI163+AJ248*AJ163+AK248*AK163+AL248*AL163+AM248*AM163+AN248*AN163+AO248*AO163+AP248*AP163+AQ248*AQ163+AR248*AR163+AS248*AS163+AT248*AT163+AU248*AU163+AV248*AV163+AW248*AW163+AX248*AX163+AY248*AY163+AZ248*AZ163+BA248*BA163+BB248*BB163+BC248*BC163+BD248*BD163+BE248*BE163+BF248*BF163+BG248*BG163+BH248*BH163+BI248*BI163+BJ248*BJ163+BK248*BK163+BL248*BL163+BM248*BM163+BN248*BN163+BO248*BO163+BP248*BP163+BQ248*BQ163+BR248*BR163+BS248*BS163+BT248*BT163+BU248*BU163+BV248*BV163+BW248*BW163+BX248*BX163+BY248*BY163+BZ248*BZ163+CA248*CA163+CB248*CB163+CC248*CC163+CD248*CD163+CE248*CE163+CF248*CF163+CG248*CG163+CH248*CH163+CI248*CI163+CJ248*CJ163+CK248*CK163+CL248*CL163+CM248*CM163+CN248*CN163</f>
        <v>0</v>
      </c>
      <c r="CR163" s="2650">
        <f>E249*E163+F249*F163+G249*G163+H249*H163+I249*I163+J249*J163+K249*K163+L249*L163+M249*M163+N249*N163+O249*O163+P249*P163+Q249*Q163+R249*R163+S249*S163+T249*T163+U249*U163+V249*V163+W249*W163+X249*X163+Y249*Y163+Z249*Z163+AA249*AA163+AB249*AB163+AC249*AC163+AD249*AD163+AE249*AE163+AF249*AF163+AG249*AG163+AH249*AH163+AI249*AI163+AJ249*AJ163+AK249*AK163+AL249*AL163+AM249*AM163+AN249*AN163+AO249*AO163+AP249*AP163+AQ249*AQ163+AR249*AR163+AS249*AS163+AT249*AT163+AU249*AU163+AV249*AV163+AW249*AW163+AX249*AX163+AY249*AY163+AZ249*AZ163+BA249*BA163+BB249*BB163+BC249*BC163+BD249*BD163+BE249*BE163+BF249*BF163+BG249*BG163+BH249*BH163+BI249*BI163+BJ249*BJ163+BK249*BK163+BL249*BL163+BM249*BM163+BN249*BN163+BO249*BO163+BP249*BP163+BQ249*BQ163+BR249*BR163+BS249*BS163+BT249*BT163+BU249*BU163+BV249*BV163+BW249*BW163+BX249*BX163+BY249*BY163+BZ249*BZ163+CA249*CA163+CB249*CB163+CC249*CC163+CD249*CD163+CE249*CE163+CF249*CF163+CG249*CG163+CH249*CH163+CI249*CI163+CJ249*CJ163+CK249*CK163+CL249*CL163+CM249*CM163+CN249*CN163</f>
        <v>0</v>
      </c>
      <c r="CS163" s="2651">
        <f>E250*E163+F250*F163+G250*G163+H250*H163+I250*I163+J250*J163+K250*K163+L250*L163+M250*M163+N250*N163+O250*O163+P250*P163+Q250*Q163+R250*R163+S250*S163+T250*T163+U250*U163+V250*V163+W250*W163+X250*X163+Y250*Y163+Z250*Z163+AA250*AA163+AB250*AB163+AC250*AC163+AD250*AD163+AE250*AE163+AF250*AF163+AG250*AG163+AH250*AH163+AI250*AI163+AJ250*AJ163+AK250*AK163+AL250*AL163+AM250*AM163+AN250*AN163+AO250*AO163+AP250*AP163+AQ250*AQ163+AR250*AR163+AS250*AS163+AT250*AT163+AU250*AU163+AV250*AV163+AW250*AW163+AX250*AX163+AY250*AY163+AZ250*AZ163+BA250*BA163+BB250*BB163+BC250*BC163+BD250*BD163+BE250*BE163+BF250*BF163+BG250*BG163+BH250*BH163+BI250*BI163+BJ250*BJ163+BK250*BK163+BL250*BL163+BM250*BM163+BN250*BN163+BO250*BO163+BP250*BP163+BQ250*BQ163+BR250*BR163+BS250*BS163+BT250*BT163+BU250*BU163+BV250*BV163+BW250*BW163+BX250*BX163+BY250*BY163+BZ250*BZ163+CA250*CA163+CB250*CB163+CC250*CC163+CD250*CD163+CE250*CE163+CF250*CF163+CG250*CG163+CH250*CH163+CI250*CI163+CJ250*CJ163+CK250*CK163+CL250*CL163+CM250*CM163+CN250*CN163</f>
        <v>0</v>
      </c>
      <c r="CT163" s="2652">
        <f>E251*E163+F251*F163+G251*G163+H251*H163+I251*I163+J251*J163+K251*K163+L251*L163+M251*M163+N251*N163+O251*O163+P251*P163+Q251*Q163+R251*R163+S251*S163+T251*T163+U251*U163+V251*V163+W251*W163+X251*X163+Y251*Y163+Z251*Z163+AA251*AA163+AB251*AB163+AC251*AC163+AD251*AD163+AE251*AE163+AF251*AF163+AG251*AG163+AH251*AH163+AI251*AI163+AJ251*AJ163+AK251*AK163+AL251*AL163+AM251*AM163+AN251*AN163+AO251*AO163+AP251*AP163+AQ251*AQ163+AR251*AR163+AS251*AS163+AT251*AT163+AU251*AU163+AV251*AV163+AW251*AW163+AX251*AX163+AY251*AY163+AZ251*AZ163+BA251*BA163+BB251*BB163+BC251*BC163+BD251*BD163+BE251*BE163+BF251*BF163+BG251*BG163+BH251*BH163+BI251*BI163+BJ251*BJ163+BK251*BK163+BL251*BL163+BM251*BM163+BN251*BN163+BO251*BO163+BP251*BP163+BQ251*BQ163+BR251*BR163+BS251*BS163+BT251*BT163+BU251*BU163+BV251*BV163+BW251*BW163+BX251*BX163+BY251*BY163+BZ251*BZ163+CA251*CA163+CB251*CB163+CC251*CC163+CD251*CD163+CE251*CE163+CF251*CF163+CG251*CG163+CH251*CH163+CI251*CI163+CJ251*CJ163+CK251*CK163+CL251*CL163+CM251*CM163+CN251*CN163</f>
        <v>0</v>
      </c>
      <c r="CU163" s="2652">
        <f>E252*E163+F252*F163+G252*G163+H252*H163+I252*I163+J252*J163+K252*K163+L252*L163+M252*M163+N252*N163+O252*O163+P252*P163+Q252*Q163+R252*R163+S252*S163+T252*T163+U252*U163+V252*V163+W252*W163+X252*X163+Y252*Y163+Z252*Z163+AA252*AA163+AB252*AB163+AC252*AC163+AD252*AD163+AE252*AE163+AF252*AF163+AG252*AG163+AH252*AH163+AI252*AI163+AJ252*AJ163+AK252*AK163+AL252*AL163+AM252*AM163+AN252*AN163+AO252*AO163+AP252*AP163+AQ252*AQ163+AR252*AR163+AS252*AS163+AT252*AT163+AU252*AU163+AV252*AV163+AW252*AW163+AX252*AX163+AY252*AY163+AZ252*AZ163+BA252*BA163+BB252*BB163+BC252*BC163+BD252*BD163+BE252*BE163+BF252*BF163+BG252*BG163+BH252*BH163+BI252*BI163+BJ252*BJ163+BK252*BK163+BL252*BL163+BM252*BM163+BN252*BN163+BO252*BO163+BP252*BP163+BQ252*BQ163+BR252*BR163+BS252*BS163+BT252*BT163+BU252*BU163+BV252*BV163+BW252*BW163+BX252*BX163+BY252*BY163+BZ252*BZ163+CA252*CA163+CB252*CB163+CC252*CC163+CD252*CD163+CE252*CE163+CF252*CF163+CG252*CG163+CH252*CH163+CI252*CI163+CJ252*CJ163+CK252*CK163+CL252*CL163+CM252*CM163+CN252*CN163</f>
        <v>0</v>
      </c>
      <c r="CV163" s="2652">
        <f>E253*E163+F253*F163+G253*G163+H253*H163+I253*I163+J253*J163+K253*K163+L253*L163+M253*M163+N253*N163+O253*O163+P253*P163+Q253*Q163+R253*R163+S253*S163+T253*T163+U253*U163+V253*V163+W253*W163+X253*X163+Y253*Y163+Z253*Z163+AA253*AA163+AB253*AB163+AC253*AC163+AD253*AD163+AE253*AE163+AF253*AF163+AG253*AG163+AH253*AH163+AI253*AI163+AJ253*AJ163+AK253*AK163+AL253*AL163+AM253*AM163+AN253*AN163+AO253*AO163+AP253*AP163+AQ253*AQ163+AR253*AR163+AS253*AS163+AT253*AT163+AU253*AU163+AV253*AV163+AW253*AW163+AX253*AX163+AY253*AY163+AZ253*AZ163+BA253*BA163+BB253*BB163+BC253*BC163+BD253*BD163+BE253*BE163+BF253*BF163+BG253*BG163+BH253*BH163+BI253*BI163+BJ253*BJ163+BK253*BK163+BL253*BL163+BM253*BM163+BN253*BN163+BO253*BO163+BP253*BP163+BQ253*BQ163+BR253*BR163+BS253*BS163+BT253*BT163+BU253*BU163+BV253*BV163+BW253*BW163+BX253*BX163+BY253*BY163+BZ253*BZ163+CA253*CA163+CB253*CB163+CC253*CC163+CD253*CD163+CE253*CE163+CF253*CF163+CG253*CG163+CH253*CH163+CI253*CI163+CJ253*CJ163+CK253*CK163+CL253*CL163+CM253*CM163+CN253*CN163</f>
        <v>0</v>
      </c>
      <c r="CW163" s="2652">
        <f>E254*E163+F254*F163+G254*G163+H254*H163+I254*I163+J254*J163+K254*K163+L254*L163+M254*M163+N254*N163+O254*O163+P254*P163+Q254*Q163+R254*R163+S254*S163+T254*T163+U254*U163+V254*V163+W254*W163+X254*X163+Y254*Y163+Z254*Z163+AA254*AA163+AB254*AB163+AC254*AC163+AD254*AD163+AE254*AE163+AF254*AF163+AG254*AG163+AH254*AH163+AI254*AI163+AJ254*AJ163+AK254*AK163+AL254*AL163+AM254*AM163+AN254*AN163+AO254*AO163+AP254*AP163+AQ254*AQ163+AR254*AR163+AS254*AS163+AT254*AT163+AU254*AU163+AV254*AV163+AW254*AW163+AX254*AX163+AY254*AY163+AZ254*AZ163+BA254*BA163+BB254*BB163+BC254*BC163+BD254*BD163+BE254*BE163+BF254*BF163+BG254*BG163+BH254*BH163+BI254*BI163+BJ254*BJ163+BK254*BK163+BL254*BL163+BM254*BM163+BN254*BN163+BO254*BO163+BP254*BP163+BQ254*BQ163+BR254*BR163+BS254*BS163+BT254*BT163+BU254*BU163+BV254*BV163+BW254*BW163+BX254*BX163+BY254*BY163+BZ254*BZ163+CA254*CA163+CB254*CB163+CC254*CC163+CD254*CD163+CE254*CE163+CF254*CF163+CG254*CG163+CH254*CH163+CI254*CI163+CJ254*CJ163+CK254*CK163+CL254*CL163+CM254*CM163+CN254*CN163</f>
        <v>0</v>
      </c>
      <c r="CX163" s="2652">
        <f>E255*E163+F255*F163+G255*G163+H255*H163+I255*I163+J255*J163+K255*K163+L255*L163+M255*M163+N255*N163+O255*O163+P255*P163+Q255*Q163+R255*R163+S255*S163+T255*T163+U255*U163+V255*V163+W255*W163+X255*X163+Y255*Y163+Z255*Z163+AA255*AA163+AB255*AB163+AC255*AC163+AD255*AD163+AE255*AE163+AF255*AF163+AG255*AG163+AH255*AH163+AI255*AI163+AJ255*AJ163+AK255*AK163+AL255*AL163+AM255*AM163+AN255*AN163+AO255*AO163+AP255*AP163+AQ255*AQ163+AR255*AR163+AS255*AS163+AT255*AT163+AU255*AU163+AV255*AV163+AW255*AW163+AX255*AX163+AY255*AY163+AZ255*AZ163+BA255*BA163+BB255*BB163+BC255*BC163+BD255*BD163+BE255*BE163+BF255*BF163+BG255*BG163+BH255*BH163+BI255*BI163+BJ255*BJ163+BK255*BK163+BL255*BL163+BM255*BM163+BN255*BN163+BO255*BO163+BP255*BP163+BQ255*BQ163+BR255*BR163+BS255*BS163+BT255*BT163+BU255*BU163+BV255*BV163+BW255*BW163+BX255*BX163+BY255*BY163+BZ255*BZ163+CA255*CA163+CB255*CB163+CC255*CC163+CD255*CD163+CE255*CE163+CF255*CF163+CG255*CG163+CH255*CH163+CI255*CI163+CJ255*CJ163+CK255*CK163+CL255*CL163+CM255*CM163+CN255*CN163</f>
        <v>0</v>
      </c>
      <c r="CY163" s="2652">
        <f>E256*E163+F256*F163+G256*G163+H256*H163+I256*I163+J256*J163+K256*K163+L256*L163+M256*M163+N256*N163+O256*O163+P256*P163+Q256*Q163+R256*R163+S256*S163+T256*T163+U256*U163+V256*V163+W256*W163+X256*X163+Y256*Y163+Z256*Z163+AA256*AA163+AB256*AB163+AC256*AC163+AD256*AD163+AE256*AE163+AF256*AF163+AG256*AG163+AH256*AH163+AI256*AI163+AJ256*AJ163+AK256*AK163+AL256*AL163+AM256*AM163+AN256*AN163+AO256*AO163+AP256*AP163+AQ256*AQ163+AR256*AR163+AS256*AS163+AT256*AT163+AU256*AU163+AV256*AV163+AW256*AW163+AX256*AX163+AY256*AY163+AZ256*AZ163+BA256*BA163+BB256*BB163+BC256*BC163+BD256*BD163+BE256*BE163+BF256*BF163+BG256*BG163+BH256*BH163+BI256*BI163+BJ256*BJ163+BK256*BK163+BL256*BL163+BM256*BM163+BN256*BN163+BO256*BO163+BP256*BP163+BQ256*BQ163+BR256*BR163+BS256*BS163+BT256*BT163+BU256*BU163+BV256*BV163+BW256*BW163+BX256*BX163+BY256*BY163+BZ256*BZ163+CA256*CA163+CB256*CB163+CC256*CC163+CD256*CD163+CE256*CE163+CF256*CF163+CG256*CG163+CH256*CH163+CI256*CI163+CJ256*CJ163+CK256*CK163+CL256*CL163+CM256*CM163+CN256*CN163</f>
        <v>0</v>
      </c>
      <c r="CZ163" s="2652">
        <f>E257*E163+F257*F163+G257*G163+H257*H163+I257*I163+J257*J163+K257*K163+L257*L163+M257*M163+N257*N163+O257*O163+P257*P163+Q257*Q163+R257*R163+S257*S163+T257*T163+U257*U163+V257*V163+W257*W163+X257*X163+Y257*Y163+Z257*Z163+AA257*AA163+AB257*AB163+AC257*AC163+AD257*AD163+AE257*AE163+AF257*AF163+AG257*AG163+AH257*AH163+AI257*AI163+AJ257*AJ163+AK257*AK163+AL257*AL163+AM257*AM163+AN257*AN163+AO257*AO163+AP257*AP163+AQ257*AQ163+AR257*AR163+AS257*AS163+AT257*AT163+AU257*AU163+AV257*AV163+AW257*AW163+AX257*AX163+AY257*AY163+AZ257*AZ163+BA257*BA163+BB257*BB163+BC257*BC163+BD257*BD163+BE257*BE163+BF257*BF163+BG257*BG163+BH257*BH163+BI257*BI163+BJ257*BJ163+BK257*BK163+BL257*BL163+BM257*BM163+BN257*BN163+BO257*BO163+BP257*BP163+BQ257*BQ163+BR257*BR163+BS257*BS163+BT257*BT163+BU257*BU163+BV257*BV163+BW257*BW163+BX257*BX163+BY257*BY163+BZ257*BZ163+CA257*CA163+CB257*CB163+CC257*CC163+CD257*CD163+CE257*CE163+CF257*CF163+CG257*CG163+CH257*CH163+CI257*CI163+CJ257*CJ163+CK257*CK163+CL257*CL163+CM257*CM163+CN257*CN163</f>
        <v>0</v>
      </c>
      <c r="DA163" s="2652">
        <f>E258*E163+F258*F163+G258*G163+H258*H163+I258*I163+J258*J163+K258*K163+L258*L163+M258*M163+N258*N163+O258*O163+P258*P163+Q258*Q163+R258*R163+S258*S163+T258*T163+U258*U163+V258*V163+W258*W163+X258*X163+Y258*Y163+Z258*Z163+AA258*AA163+AB258*AB163+AC258*AC163+AD258*AD163+AE258*AE163+AF258*AF163+AG258*AG163+AH258*AH163+AI258*AI163+AJ258*AJ163+AK258*AK163+AL258*AL163+AM258*AM163+AN258*AN163+AO258*AO163+AP258*AP163+AQ258*AQ163+AR258*AR163+AS258*AS163+AT258*AT163+AU258*AU163+AV258*AV163+AW258*AW163+AX258*AX163+AY258*AY163+AZ258*AZ163+BA258*BA163+BB258*BB163+BC258*BC163+BD258*BD163+BE258*BE163+BF258*BF163+BG258*BG163+BH258*BH163+BI258*BI163+BJ258*BJ163+BK258*BK163+BL258*BL163+BM258*BM163+BN258*BN163+BO258*BO163+BP258*BP163+BQ258*BQ163+BR258*BR163+BS258*BS163+BT258*BT163+BU258*BU163+BV258*BV163+BW258*BW163+BX258*BX163+BY258*BY163+BZ258*BZ163+CA258*CA163+CB258*CB163+CC258*CC163+CD258*CD163+CE258*CE163+CF258*CF163+CG258*CG163+CH258*CH163+CI258*CI163+CJ258*CJ163+CK258*CK163+CL258*CL163+CM258*CM163+CN258*CN163</f>
        <v>0</v>
      </c>
    </row>
    <row r="164" spans="2:105" ht="18" x14ac:dyDescent="0.25">
      <c r="B164" s="2100">
        <v>31</v>
      </c>
      <c r="C164" s="2101" t="s">
        <v>1362</v>
      </c>
      <c r="D164" s="2590" t="s">
        <v>5305</v>
      </c>
      <c r="E164" s="2679">
        <f>-1</f>
        <v>-1</v>
      </c>
      <c r="F164" s="2679">
        <f>0</f>
        <v>0</v>
      </c>
      <c r="G164" s="2679">
        <f>0</f>
        <v>0</v>
      </c>
      <c r="H164" s="2679">
        <f>0</f>
        <v>0</v>
      </c>
      <c r="I164" s="2679">
        <f>0</f>
        <v>0</v>
      </c>
      <c r="J164" s="2679">
        <f>0</f>
        <v>0</v>
      </c>
      <c r="K164" s="2679">
        <f>0</f>
        <v>0</v>
      </c>
      <c r="L164" s="2679">
        <f>0</f>
        <v>0</v>
      </c>
      <c r="M164" s="2679">
        <f>0</f>
        <v>0</v>
      </c>
      <c r="N164" s="2679">
        <f>0</f>
        <v>0</v>
      </c>
      <c r="O164" s="2679">
        <f>0</f>
        <v>0</v>
      </c>
      <c r="P164" s="2679">
        <f>0</f>
        <v>0</v>
      </c>
      <c r="Q164" s="2679">
        <f>1</f>
        <v>1</v>
      </c>
      <c r="R164" s="2679">
        <f>0</f>
        <v>0</v>
      </c>
      <c r="S164" s="2679">
        <f>0</f>
        <v>0</v>
      </c>
      <c r="T164" s="2679">
        <f>0</f>
        <v>0</v>
      </c>
      <c r="U164" s="2679">
        <f>0</f>
        <v>0</v>
      </c>
      <c r="V164" s="2679">
        <f>0</f>
        <v>0</v>
      </c>
      <c r="W164" s="2679">
        <f>0</f>
        <v>0</v>
      </c>
      <c r="X164" s="2679">
        <f>0</f>
        <v>0</v>
      </c>
      <c r="Y164" s="2679">
        <f>0</f>
        <v>0</v>
      </c>
      <c r="Z164" s="2679">
        <f>0</f>
        <v>0</v>
      </c>
      <c r="AA164" s="2679">
        <f>0</f>
        <v>0</v>
      </c>
      <c r="AB164" s="2679">
        <f>0</f>
        <v>0</v>
      </c>
      <c r="AC164" s="2741">
        <f>0</f>
        <v>0</v>
      </c>
      <c r="AD164" s="2679">
        <f>0</f>
        <v>0</v>
      </c>
      <c r="AE164" s="2728">
        <f>0</f>
        <v>0</v>
      </c>
      <c r="AF164" s="2728">
        <f>0</f>
        <v>0</v>
      </c>
      <c r="AG164" s="2679">
        <f>0</f>
        <v>0</v>
      </c>
      <c r="AH164" s="2679">
        <f>0</f>
        <v>0</v>
      </c>
      <c r="AI164" s="2679">
        <f>0</f>
        <v>0</v>
      </c>
      <c r="AJ164" s="2679">
        <f>0</f>
        <v>0</v>
      </c>
      <c r="AK164" s="2679">
        <f>0</f>
        <v>0</v>
      </c>
      <c r="AL164" s="2679">
        <f>0</f>
        <v>0</v>
      </c>
      <c r="AM164" s="2728">
        <f>0</f>
        <v>0</v>
      </c>
      <c r="AN164" s="2679">
        <f>0</f>
        <v>0</v>
      </c>
      <c r="AO164" s="2679">
        <f>0</f>
        <v>0</v>
      </c>
      <c r="AP164" s="2679">
        <f>0</f>
        <v>0</v>
      </c>
      <c r="AQ164" s="2679">
        <f>0</f>
        <v>0</v>
      </c>
      <c r="AR164" s="2679">
        <f>0</f>
        <v>0</v>
      </c>
      <c r="AS164" s="2679">
        <f>0</f>
        <v>0</v>
      </c>
      <c r="AT164" s="2679">
        <f>0</f>
        <v>0</v>
      </c>
      <c r="AU164" s="2679">
        <f>i_CIT_VFA-i_CIT_PHA</f>
        <v>4.1999999999999982E-2</v>
      </c>
      <c r="AV164" s="2728">
        <f>0</f>
        <v>0</v>
      </c>
      <c r="AW164" s="2728">
        <f>0</f>
        <v>0</v>
      </c>
      <c r="AX164" s="2728">
        <f>0</f>
        <v>0</v>
      </c>
      <c r="AY164" s="2728">
        <f>0</f>
        <v>0</v>
      </c>
      <c r="AZ164" s="2728">
        <f>0</f>
        <v>0</v>
      </c>
      <c r="BA164" s="2728">
        <f>0</f>
        <v>0</v>
      </c>
      <c r="BB164" s="2679">
        <f>0</f>
        <v>0</v>
      </c>
      <c r="BC164" s="2679">
        <f>0</f>
        <v>0</v>
      </c>
      <c r="BD164" s="2679">
        <f>0</f>
        <v>0</v>
      </c>
      <c r="BE164" s="2679">
        <f>0</f>
        <v>0</v>
      </c>
      <c r="BF164" s="2679">
        <f>0</f>
        <v>0</v>
      </c>
      <c r="BG164" s="2679">
        <f>0</f>
        <v>0</v>
      </c>
      <c r="BH164" s="2679">
        <f>0</f>
        <v>0</v>
      </c>
      <c r="BI164" s="2679">
        <f>0</f>
        <v>0</v>
      </c>
      <c r="BJ164" s="2679">
        <f>0</f>
        <v>0</v>
      </c>
      <c r="BK164" s="2679">
        <f>0</f>
        <v>0</v>
      </c>
      <c r="BL164" s="2679">
        <f>0</f>
        <v>0</v>
      </c>
      <c r="BM164" s="2679">
        <f>0</f>
        <v>0</v>
      </c>
      <c r="BN164" s="2679">
        <f>0</f>
        <v>0</v>
      </c>
      <c r="BO164" s="2679">
        <f>0</f>
        <v>0</v>
      </c>
      <c r="BP164" s="2679">
        <f>0</f>
        <v>0</v>
      </c>
      <c r="BQ164" s="2679">
        <f>0</f>
        <v>0</v>
      </c>
      <c r="BR164" s="2679">
        <f>0</f>
        <v>0</v>
      </c>
      <c r="BS164" s="2679">
        <f>0</f>
        <v>0</v>
      </c>
      <c r="BT164" s="2679">
        <f>0</f>
        <v>0</v>
      </c>
      <c r="BU164" s="2679">
        <f>0</f>
        <v>0</v>
      </c>
      <c r="BV164" s="2741">
        <f>0</f>
        <v>0</v>
      </c>
      <c r="BW164" s="2741">
        <f>0</f>
        <v>0</v>
      </c>
      <c r="BX164" s="2741">
        <f>0</f>
        <v>0</v>
      </c>
      <c r="BY164" s="2741">
        <f>0</f>
        <v>0</v>
      </c>
      <c r="BZ164" s="2679">
        <f>0</f>
        <v>0</v>
      </c>
      <c r="CA164" s="2679">
        <f>0</f>
        <v>0</v>
      </c>
      <c r="CB164" s="2679">
        <f>0</f>
        <v>0</v>
      </c>
      <c r="CC164" s="2679">
        <f>0</f>
        <v>0</v>
      </c>
      <c r="CD164" s="2679">
        <f>0</f>
        <v>0</v>
      </c>
      <c r="CE164" s="2679">
        <f>0</f>
        <v>0</v>
      </c>
      <c r="CF164" s="2679">
        <f>0</f>
        <v>0</v>
      </c>
      <c r="CG164" s="2679">
        <f>0</f>
        <v>0</v>
      </c>
      <c r="CH164" s="2679">
        <f>0</f>
        <v>0</v>
      </c>
      <c r="CI164" s="2679">
        <f>0</f>
        <v>0</v>
      </c>
      <c r="CJ164" s="2679">
        <f>0</f>
        <v>0</v>
      </c>
      <c r="CK164" s="2679">
        <f>0</f>
        <v>0</v>
      </c>
      <c r="CL164" s="2679">
        <f>0</f>
        <v>0</v>
      </c>
      <c r="CM164" s="2679">
        <f>0</f>
        <v>0</v>
      </c>
      <c r="CN164" s="2679">
        <f>0</f>
        <v>0</v>
      </c>
      <c r="CO164" s="2830">
        <f>q_GAO_PHA_T*X_CASTO*actsto_GAO_ORP*M_satSVFA_KVFA_CASTO*L_oginhXPHA_XGAO_max</f>
        <v>3.7838181114634031</v>
      </c>
      <c r="CQ164" s="2650">
        <f>E248*E164+F248*F164+G248*G164+H248*H164+I248*I164+J248*J164+K248*K164+L248*L164+M248*M164+N248*N164+O248*O164+P248*P164+Q248*Q164+R248*R164+S248*S164+T248*T164+U248*U164+V248*V164+W248*W164+X248*X164+Y248*Y164+Z248*Z164+AA248*AA164+AB248*AB164+AC248*AC164+AD248*AD164+AE248*AE164+AF248*AF164+AG248*AG164+AH248*AH164+AI248*AI164+AJ248*AJ164+AK248*AK164+AL248*AL164+AM248*AM164+AN248*AN164+AO248*AO164+AP248*AP164+AQ248*AQ164+AR248*AR164+AS248*AS164+AT248*AT164+AU248*AU164+AV248*AV164+AW248*AW164+AX248*AX164+AY248*AY164+AZ248*AZ164+BA248*BA164+BB248*BB164+BC248*BC164+BD248*BD164+BE248*BE164+BF248*BF164+BG248*BG164+BH248*BH164+BI248*BI164+BJ248*BJ164+BK248*BK164+BL248*BL164+BM248*BM164+BN248*BN164+BO248*BO164+BP248*BP164+BQ248*BQ164+BR248*BR164+BS248*BS164+BT248*BT164+BU248*BU164+BV248*BV164+BW248*BW164+BX248*BX164+BY248*BY164+BZ248*BZ164+CA248*CA164+CB248*CB164+CC248*CC164+CD248*CD164+CE248*CE164+CF248*CF164+CG248*CG164+CH248*CH164+CI248*CI164+CJ248*CJ164+CK248*CK164+CL248*CL164+CM248*CM164+CN248*CN164</f>
        <v>0</v>
      </c>
      <c r="CR164" s="2650">
        <f>E249*E164+F249*F164+G249*G164+H249*H164+I249*I164+J249*J164+K249*K164+L249*L164+M249*M164+N249*N164+O249*O164+P249*P164+Q249*Q164+R249*R164+S249*S164+T249*T164+U249*U164+V249*V164+W249*W164+X249*X164+Y249*Y164+Z249*Z164+AA249*AA164+AB249*AB164+AC249*AC164+AD249*AD164+AE249*AE164+AF249*AF164+AG249*AG164+AH249*AH164+AI249*AI164+AJ249*AJ164+AK249*AK164+AL249*AL164+AM249*AM164+AN249*AN164+AO249*AO164+AP249*AP164+AQ249*AQ164+AR249*AR164+AS249*AS164+AT249*AT164+AU249*AU164+AV249*AV164+AW249*AW164+AX249*AX164+AY249*AY164+AZ249*AZ164+BA249*BA164+BB249*BB164+BC249*BC164+BD249*BD164+BE249*BE164+BF249*BF164+BG249*BG164+BH249*BH164+BI249*BI164+BJ249*BJ164+BK249*BK164+BL249*BL164+BM249*BM164+BN249*BN164+BO249*BO164+BP249*BP164+BQ249*BQ164+BR249*BR164+BS249*BS164+BT249*BT164+BU249*BU164+BV249*BV164+BW249*BW164+BX249*BX164+BY249*BY164+BZ249*BZ164+CA249*CA164+CB249*CB164+CC249*CC164+CD249*CD164+CE249*CE164+CF249*CF164+CG249*CG164+CH249*CH164+CI249*CI164+CJ249*CJ164+CK249*CK164+CL249*CL164+CM249*CM164+CN249*CN164</f>
        <v>0</v>
      </c>
      <c r="CS164" s="2651">
        <f>E250*E164+F250*F164+G250*G164+H250*H164+I250*I164+J250*J164+K250*K164+L250*L164+M250*M164+N250*N164+O250*O164+P250*P164+Q250*Q164+R250*R164+S250*S164+T250*T164+U250*U164+V250*V164+W250*W164+X250*X164+Y250*Y164+Z250*Z164+AA250*AA164+AB250*AB164+AC250*AC164+AD250*AD164+AE250*AE164+AF250*AF164+AG250*AG164+AH250*AH164+AI250*AI164+AJ250*AJ164+AK250*AK164+AL250*AL164+AM250*AM164+AN250*AN164+AO250*AO164+AP250*AP164+AQ250*AQ164+AR250*AR164+AS250*AS164+AT250*AT164+AU250*AU164+AV250*AV164+AW250*AW164+AX250*AX164+AY250*AY164+AZ250*AZ164+BA250*BA164+BB250*BB164+BC250*BC164+BD250*BD164+BE250*BE164+BF250*BF164+BG250*BG164+BH250*BH164+BI250*BI164+BJ250*BJ164+BK250*BK164+BL250*BL164+BM250*BM164+BN250*BN164+BO250*BO164+BP250*BP164+BQ250*BQ164+BR250*BR164+BS250*BS164+BT250*BT164+BU250*BU164+BV250*BV164+BW250*BW164+BX250*BX164+BY250*BY164+BZ250*BZ164+CA250*CA164+CB250*CB164+CC250*CC164+CD250*CD164+CE250*CE164+CF250*CF164+CG250*CG164+CH250*CH164+CI250*CI164+CJ250*CJ164+CK250*CK164+CL250*CL164+CM250*CM164+CN250*CN164</f>
        <v>0</v>
      </c>
      <c r="CT164" s="2652">
        <f>E251*E164+F251*F164+G251*G164+H251*H164+I251*I164+J251*J164+K251*K164+L251*L164+M251*M164+N251*N164+O251*O164+P251*P164+Q251*Q164+R251*R164+S251*S164+T251*T164+U251*U164+V251*V164+W251*W164+X251*X164+Y251*Y164+Z251*Z164+AA251*AA164+AB251*AB164+AC251*AC164+AD251*AD164+AE251*AE164+AF251*AF164+AG251*AG164+AH251*AH164+AI251*AI164+AJ251*AJ164+AK251*AK164+AL251*AL164+AM251*AM164+AN251*AN164+AO251*AO164+AP251*AP164+AQ251*AQ164+AR251*AR164+AS251*AS164+AT251*AT164+AU251*AU164+AV251*AV164+AW251*AW164+AX251*AX164+AY251*AY164+AZ251*AZ164+BA251*BA164+BB251*BB164+BC251*BC164+BD251*BD164+BE251*BE164+BF251*BF164+BG251*BG164+BH251*BH164+BI251*BI164+BJ251*BJ164+BK251*BK164+BL251*BL164+BM251*BM164+BN251*BN164+BO251*BO164+BP251*BP164+BQ251*BQ164+BR251*BR164+BS251*BS164+BT251*BT164+BU251*BU164+BV251*BV164+BW251*BW164+BX251*BX164+BY251*BY164+BZ251*BZ164+CA251*CA164+CB251*CB164+CC251*CC164+CD251*CD164+CE251*CE164+CF251*CF164+CG251*CG164+CH251*CH164+CI251*CI164+CJ251*CJ164+CK251*CK164+CL251*CL164+CM251*CM164+CN251*CN164</f>
        <v>0</v>
      </c>
      <c r="CU164" s="2652">
        <f>E252*E164+F252*F164+G252*G164+H252*H164+I252*I164+J252*J164+K252*K164+L252*L164+M252*M164+N252*N164+O252*O164+P252*P164+Q252*Q164+R252*R164+S252*S164+T252*T164+U252*U164+V252*V164+W252*W164+X252*X164+Y252*Y164+Z252*Z164+AA252*AA164+AB252*AB164+AC252*AC164+AD252*AD164+AE252*AE164+AF252*AF164+AG252*AG164+AH252*AH164+AI252*AI164+AJ252*AJ164+AK252*AK164+AL252*AL164+AM252*AM164+AN252*AN164+AO252*AO164+AP252*AP164+AQ252*AQ164+AR252*AR164+AS252*AS164+AT252*AT164+AU252*AU164+AV252*AV164+AW252*AW164+AX252*AX164+AY252*AY164+AZ252*AZ164+BA252*BA164+BB252*BB164+BC252*BC164+BD252*BD164+BE252*BE164+BF252*BF164+BG252*BG164+BH252*BH164+BI252*BI164+BJ252*BJ164+BK252*BK164+BL252*BL164+BM252*BM164+BN252*BN164+BO252*BO164+BP252*BP164+BQ252*BQ164+BR252*BR164+BS252*BS164+BT252*BT164+BU252*BU164+BV252*BV164+BW252*BW164+BX252*BX164+BY252*BY164+BZ252*BZ164+CA252*CA164+CB252*CB164+CC252*CC164+CD252*CD164+CE252*CE164+CF252*CF164+CG252*CG164+CH252*CH164+CI252*CI164+CJ252*CJ164+CK252*CK164+CL252*CL164+CM252*CM164+CN252*CN164</f>
        <v>0</v>
      </c>
      <c r="CV164" s="2652">
        <f>E253*E164+F253*F164+G253*G164+H253*H164+I253*I164+J253*J164+K253*K164+L253*L164+M253*M164+N253*N164+O253*O164+P253*P164+Q253*Q164+R253*R164+S253*S164+T253*T164+U253*U164+V253*V164+W253*W164+X253*X164+Y253*Y164+Z253*Z164+AA253*AA164+AB253*AB164+AC253*AC164+AD253*AD164+AE253*AE164+AF253*AF164+AG253*AG164+AH253*AH164+AI253*AI164+AJ253*AJ164+AK253*AK164+AL253*AL164+AM253*AM164+AN253*AN164+AO253*AO164+AP253*AP164+AQ253*AQ164+AR253*AR164+AS253*AS164+AT253*AT164+AU253*AU164+AV253*AV164+AW253*AW164+AX253*AX164+AY253*AY164+AZ253*AZ164+BA253*BA164+BB253*BB164+BC253*BC164+BD253*BD164+BE253*BE164+BF253*BF164+BG253*BG164+BH253*BH164+BI253*BI164+BJ253*BJ164+BK253*BK164+BL253*BL164+BM253*BM164+BN253*BN164+BO253*BO164+BP253*BP164+BQ253*BQ164+BR253*BR164+BS253*BS164+BT253*BT164+BU253*BU164+BV253*BV164+BW253*BW164+BX253*BX164+BY253*BY164+BZ253*BZ164+CA253*CA164+CB253*CB164+CC253*CC164+CD253*CD164+CE253*CE164+CF253*CF164+CG253*CG164+CH253*CH164+CI253*CI164+CJ253*CJ164+CK253*CK164+CL253*CL164+CM253*CM164+CN253*CN164</f>
        <v>0</v>
      </c>
      <c r="CW164" s="2652">
        <f>E254*E164+F254*F164+G254*G164+H254*H164+I254*I164+J254*J164+K254*K164+L254*L164+M254*M164+N254*N164+O254*O164+P254*P164+Q254*Q164+R254*R164+S254*S164+T254*T164+U254*U164+V254*V164+W254*W164+X254*X164+Y254*Y164+Z254*Z164+AA254*AA164+AB254*AB164+AC254*AC164+AD254*AD164+AE254*AE164+AF254*AF164+AG254*AG164+AH254*AH164+AI254*AI164+AJ254*AJ164+AK254*AK164+AL254*AL164+AM254*AM164+AN254*AN164+AO254*AO164+AP254*AP164+AQ254*AQ164+AR254*AR164+AS254*AS164+AT254*AT164+AU254*AU164+AV254*AV164+AW254*AW164+AX254*AX164+AY254*AY164+AZ254*AZ164+BA254*BA164+BB254*BB164+BC254*BC164+BD254*BD164+BE254*BE164+BF254*BF164+BG254*BG164+BH254*BH164+BI254*BI164+BJ254*BJ164+BK254*BK164+BL254*BL164+BM254*BM164+BN254*BN164+BO254*BO164+BP254*BP164+BQ254*BQ164+BR254*BR164+BS254*BS164+BT254*BT164+BU254*BU164+BV254*BV164+BW254*BW164+BX254*BX164+BY254*BY164+BZ254*BZ164+CA254*CA164+CB254*CB164+CC254*CC164+CD254*CD164+CE254*CE164+CF254*CF164+CG254*CG164+CH254*CH164+CI254*CI164+CJ254*CJ164+CK254*CK164+CL254*CL164+CM254*CM164+CN254*CN164</f>
        <v>0</v>
      </c>
      <c r="CX164" s="2652">
        <f>E255*E164+F255*F164+G255*G164+H255*H164+I255*I164+J255*J164+K255*K164+L255*L164+M255*M164+N255*N164+O255*O164+P255*P164+Q255*Q164+R255*R164+S255*S164+T255*T164+U255*U164+V255*V164+W255*W164+X255*X164+Y255*Y164+Z255*Z164+AA255*AA164+AB255*AB164+AC255*AC164+AD255*AD164+AE255*AE164+AF255*AF164+AG255*AG164+AH255*AH164+AI255*AI164+AJ255*AJ164+AK255*AK164+AL255*AL164+AM255*AM164+AN255*AN164+AO255*AO164+AP255*AP164+AQ255*AQ164+AR255*AR164+AS255*AS164+AT255*AT164+AU255*AU164+AV255*AV164+AW255*AW164+AX255*AX164+AY255*AY164+AZ255*AZ164+BA255*BA164+BB255*BB164+BC255*BC164+BD255*BD164+BE255*BE164+BF255*BF164+BG255*BG164+BH255*BH164+BI255*BI164+BJ255*BJ164+BK255*BK164+BL255*BL164+BM255*BM164+BN255*BN164+BO255*BO164+BP255*BP164+BQ255*BQ164+BR255*BR164+BS255*BS164+BT255*BT164+BU255*BU164+BV255*BV164+BW255*BW164+BX255*BX164+BY255*BY164+BZ255*BZ164+CA255*CA164+CB255*CB164+CC255*CC164+CD255*CD164+CE255*CE164+CF255*CF164+CG255*CG164+CH255*CH164+CI255*CI164+CJ255*CJ164+CK255*CK164+CL255*CL164+CM255*CM164+CN255*CN164</f>
        <v>0</v>
      </c>
      <c r="CY164" s="2652">
        <f>E256*E164+F256*F164+G256*G164+H256*H164+I256*I164+J256*J164+K256*K164+L256*L164+M256*M164+N256*N164+O256*O164+P256*P164+Q256*Q164+R256*R164+S256*S164+T256*T164+U256*U164+V256*V164+W256*W164+X256*X164+Y256*Y164+Z256*Z164+AA256*AA164+AB256*AB164+AC256*AC164+AD256*AD164+AE256*AE164+AF256*AF164+AG256*AG164+AH256*AH164+AI256*AI164+AJ256*AJ164+AK256*AK164+AL256*AL164+AM256*AM164+AN256*AN164+AO256*AO164+AP256*AP164+AQ256*AQ164+AR256*AR164+AS256*AS164+AT256*AT164+AU256*AU164+AV256*AV164+AW256*AW164+AX256*AX164+AY256*AY164+AZ256*AZ164+BA256*BA164+BB256*BB164+BC256*BC164+BD256*BD164+BE256*BE164+BF256*BF164+BG256*BG164+BH256*BH164+BI256*BI164+BJ256*BJ164+BK256*BK164+BL256*BL164+BM256*BM164+BN256*BN164+BO256*BO164+BP256*BP164+BQ256*BQ164+BR256*BR164+BS256*BS164+BT256*BT164+BU256*BU164+BV256*BV164+BW256*BW164+BX256*BX164+BY256*BY164+BZ256*BZ164+CA256*CA164+CB256*CB164+CC256*CC164+CD256*CD164+CE256*CE164+CF256*CF164+CG256*CG164+CH256*CH164+CI256*CI164+CJ256*CJ164+CK256*CK164+CL256*CL164+CM256*CM164+CN256*CN164</f>
        <v>0</v>
      </c>
      <c r="CZ164" s="2652">
        <f>E257*E164+F257*F164+G257*G164+H257*H164+I257*I164+J257*J164+K257*K164+L257*L164+M257*M164+N257*N164+O257*O164+P257*P164+Q257*Q164+R257*R164+S257*S164+T257*T164+U257*U164+V257*V164+W257*W164+X257*X164+Y257*Y164+Z257*Z164+AA257*AA164+AB257*AB164+AC257*AC164+AD257*AD164+AE257*AE164+AF257*AF164+AG257*AG164+AH257*AH164+AI257*AI164+AJ257*AJ164+AK257*AK164+AL257*AL164+AM257*AM164+AN257*AN164+AO257*AO164+AP257*AP164+AQ257*AQ164+AR257*AR164+AS257*AS164+AT257*AT164+AU257*AU164+AV257*AV164+AW257*AW164+AX257*AX164+AY257*AY164+AZ257*AZ164+BA257*BA164+BB257*BB164+BC257*BC164+BD257*BD164+BE257*BE164+BF257*BF164+BG257*BG164+BH257*BH164+BI257*BI164+BJ257*BJ164+BK257*BK164+BL257*BL164+BM257*BM164+BN257*BN164+BO257*BO164+BP257*BP164+BQ257*BQ164+BR257*BR164+BS257*BS164+BT257*BT164+BU257*BU164+BV257*BV164+BW257*BW164+BX257*BX164+BY257*BY164+BZ257*BZ164+CA257*CA164+CB257*CB164+CC257*CC164+CD257*CD164+CE257*CE164+CF257*CF164+CG257*CG164+CH257*CH164+CI257*CI164+CJ257*CJ164+CK257*CK164+CL257*CL164+CM257*CM164+CN257*CN164</f>
        <v>0</v>
      </c>
      <c r="DA164" s="2652">
        <f>E258*E164+F258*F164+G258*G164+H258*H164+I258*I164+J258*J164+K258*K164+L258*L164+M258*M164+N258*N164+O258*O164+P258*P164+Q258*Q164+R258*R164+S258*S164+T258*T164+U258*U164+V258*V164+W258*W164+X258*X164+Y258*Y164+Z258*Z164+AA258*AA164+AB258*AB164+AC258*AC164+AD258*AD164+AE258*AE164+AF258*AF164+AG258*AG164+AH258*AH164+AI258*AI164+AJ258*AJ164+AK258*AK164+AL258*AL164+AM258*AM164+AN258*AN164+AO258*AO164+AP258*AP164+AQ258*AQ164+AR258*AR164+AS258*AS164+AT258*AT164+AU258*AU164+AV258*AV164+AW258*AW164+AX258*AX164+AY258*AY164+AZ258*AZ164+BA258*BA164+BB258*BB164+BC258*BC164+BD258*BD164+BE258*BE164+BF258*BF164+BG258*BG164+BH258*BH164+BI258*BI164+BJ258*BJ164+BK258*BK164+BL258*BL164+BM258*BM164+BN258*BN164+BO258*BO164+BP258*BP164+BQ258*BQ164+BR258*BR164+BS258*BS164+BT258*BT164+BU258*BU164+BV258*BV164+BW258*BW164+BX258*BX164+BY258*BY164+BZ258*BZ164+CA258*CA164+CB258*CB164+CC258*CC164+CD258*CD164+CE258*CE164+CF258*CF164+CG258*CG164+CH258*CH164+CI258*CI164+CJ258*CJ164+CK258*CK164+CL258*CL164+CM258*CM164+CN258*CN164</f>
        <v>0</v>
      </c>
    </row>
    <row r="165" spans="2:105" ht="18" x14ac:dyDescent="0.25">
      <c r="B165" s="2113">
        <v>32</v>
      </c>
      <c r="C165" s="2114" t="s">
        <v>252</v>
      </c>
      <c r="D165" s="2120" t="s">
        <v>4099</v>
      </c>
      <c r="E165" s="2680">
        <f>0</f>
        <v>0</v>
      </c>
      <c r="F165" s="2680">
        <f>0</f>
        <v>0</v>
      </c>
      <c r="G165" s="2680">
        <f>0</f>
        <v>0</v>
      </c>
      <c r="H165" s="2680">
        <f>0</f>
        <v>0</v>
      </c>
      <c r="I165" s="2680">
        <f>0</f>
        <v>0</v>
      </c>
      <c r="J165" s="2680">
        <f>0</f>
        <v>0</v>
      </c>
      <c r="K165" s="2680">
        <f>0</f>
        <v>0</v>
      </c>
      <c r="L165" s="2680">
        <f>0</f>
        <v>0</v>
      </c>
      <c r="M165" s="2680">
        <f>0</f>
        <v>0</v>
      </c>
      <c r="N165" s="2680">
        <f>0</f>
        <v>0</v>
      </c>
      <c r="O165" s="2680">
        <f>0</f>
        <v>0</v>
      </c>
      <c r="P165" s="2727">
        <f>-X_PHA_PAO/X_STC</f>
        <v>-0.86956521739130432</v>
      </c>
      <c r="Q165" s="2727">
        <f>-X_PHA_GAO/X_STC</f>
        <v>-0.13043478260869565</v>
      </c>
      <c r="R165" s="2680">
        <f>0</f>
        <v>0</v>
      </c>
      <c r="S165" s="2680">
        <f>0</f>
        <v>0</v>
      </c>
      <c r="T165" s="2680">
        <f>0</f>
        <v>0</v>
      </c>
      <c r="U165" s="2680">
        <f>0</f>
        <v>0</v>
      </c>
      <c r="V165" s="2680">
        <f>0</f>
        <v>0</v>
      </c>
      <c r="W165" s="2680">
        <f>0</f>
        <v>0</v>
      </c>
      <c r="X165" s="2680">
        <f>0</f>
        <v>0</v>
      </c>
      <c r="Y165" s="2680">
        <f>0</f>
        <v>0</v>
      </c>
      <c r="Z165" s="2680">
        <f>0</f>
        <v>0</v>
      </c>
      <c r="AA165" s="2680">
        <f>0</f>
        <v>0</v>
      </c>
      <c r="AB165" s="2680">
        <f>0</f>
        <v>0</v>
      </c>
      <c r="AC165" s="2742">
        <f>0</f>
        <v>0</v>
      </c>
      <c r="AD165" s="2680">
        <f>0</f>
        <v>0</v>
      </c>
      <c r="AE165" s="2680">
        <f>0</f>
        <v>0</v>
      </c>
      <c r="AF165" s="2680">
        <f>0</f>
        <v>0</v>
      </c>
      <c r="AG165" s="2680">
        <f>0</f>
        <v>0</v>
      </c>
      <c r="AH165" s="2680">
        <f>0</f>
        <v>0</v>
      </c>
      <c r="AI165" s="2680">
        <f>0</f>
        <v>0</v>
      </c>
      <c r="AJ165" s="2680">
        <f>0</f>
        <v>0</v>
      </c>
      <c r="AK165" s="2680">
        <f>0</f>
        <v>0</v>
      </c>
      <c r="AL165" s="2680">
        <f>0</f>
        <v>0</v>
      </c>
      <c r="AM165" s="2727">
        <f>0</f>
        <v>0</v>
      </c>
      <c r="AN165" s="2680">
        <f>0</f>
        <v>0</v>
      </c>
      <c r="AO165" s="2680">
        <f>0</f>
        <v>0</v>
      </c>
      <c r="AP165" s="2680">
        <f>0</f>
        <v>0</v>
      </c>
      <c r="AQ165" s="2680">
        <f>0</f>
        <v>0</v>
      </c>
      <c r="AR165" s="2680">
        <f>-1</f>
        <v>-1</v>
      </c>
      <c r="AS165" s="2680">
        <f>0</f>
        <v>0</v>
      </c>
      <c r="AT165" s="2680">
        <f>0</f>
        <v>0</v>
      </c>
      <c r="AU165" s="2680">
        <f>i_CIT_STC</f>
        <v>0.33300000000000002</v>
      </c>
      <c r="AV165" s="2680">
        <f>0</f>
        <v>0</v>
      </c>
      <c r="AW165" s="2680">
        <f>0</f>
        <v>0</v>
      </c>
      <c r="AX165" s="2680">
        <f>0</f>
        <v>0</v>
      </c>
      <c r="AY165" s="2727">
        <f>0</f>
        <v>0</v>
      </c>
      <c r="AZ165" s="2727">
        <f>0</f>
        <v>0</v>
      </c>
      <c r="BA165" s="2727">
        <f>0</f>
        <v>0</v>
      </c>
      <c r="BB165" s="2680">
        <f>0</f>
        <v>0</v>
      </c>
      <c r="BC165" s="2680">
        <f>0</f>
        <v>0</v>
      </c>
      <c r="BD165" s="2680">
        <f>0</f>
        <v>0</v>
      </c>
      <c r="BE165" s="2680">
        <f>0</f>
        <v>0</v>
      </c>
      <c r="BF165" s="2680">
        <f>0</f>
        <v>0</v>
      </c>
      <c r="BG165" s="2680">
        <f>0</f>
        <v>0</v>
      </c>
      <c r="BH165" s="2680">
        <f>0</f>
        <v>0</v>
      </c>
      <c r="BI165" s="2680">
        <f>0</f>
        <v>0</v>
      </c>
      <c r="BJ165" s="2680">
        <f>0</f>
        <v>0</v>
      </c>
      <c r="BK165" s="2680">
        <f>0</f>
        <v>0</v>
      </c>
      <c r="BL165" s="2680">
        <f>0</f>
        <v>0</v>
      </c>
      <c r="BM165" s="2680">
        <f>0</f>
        <v>0</v>
      </c>
      <c r="BN165" s="2680">
        <f>0</f>
        <v>0</v>
      </c>
      <c r="BO165" s="2680">
        <f>0</f>
        <v>0</v>
      </c>
      <c r="BP165" s="2680">
        <f>0</f>
        <v>0</v>
      </c>
      <c r="BQ165" s="2680">
        <f>0</f>
        <v>0</v>
      </c>
      <c r="BR165" s="2680">
        <f>0</f>
        <v>0</v>
      </c>
      <c r="BS165" s="2680">
        <f>0</f>
        <v>0</v>
      </c>
      <c r="BT165" s="2680">
        <f>0</f>
        <v>0</v>
      </c>
      <c r="BU165" s="2680">
        <f>0</f>
        <v>0</v>
      </c>
      <c r="BV165" s="2742">
        <f>0</f>
        <v>0</v>
      </c>
      <c r="BW165" s="2742">
        <f>0</f>
        <v>0</v>
      </c>
      <c r="BX165" s="2742">
        <f>0</f>
        <v>0</v>
      </c>
      <c r="BY165" s="2742">
        <f>0</f>
        <v>0</v>
      </c>
      <c r="BZ165" s="2680">
        <f>0</f>
        <v>0</v>
      </c>
      <c r="CA165" s="2680">
        <f>0</f>
        <v>0</v>
      </c>
      <c r="CB165" s="2680">
        <f>0</f>
        <v>0</v>
      </c>
      <c r="CC165" s="2680">
        <f>0</f>
        <v>0</v>
      </c>
      <c r="CD165" s="2680">
        <f>0</f>
        <v>0</v>
      </c>
      <c r="CE165" s="2680">
        <f>0</f>
        <v>0</v>
      </c>
      <c r="CF165" s="2680">
        <f>0</f>
        <v>0</v>
      </c>
      <c r="CG165" s="2680">
        <f>0</f>
        <v>0</v>
      </c>
      <c r="CH165" s="2680">
        <f>0</f>
        <v>0</v>
      </c>
      <c r="CI165" s="2680">
        <f>0</f>
        <v>0</v>
      </c>
      <c r="CJ165" s="2680">
        <f>0</f>
        <v>0</v>
      </c>
      <c r="CK165" s="2680">
        <f>0</f>
        <v>0</v>
      </c>
      <c r="CL165" s="2680">
        <f>0</f>
        <v>0</v>
      </c>
      <c r="CM165" s="2680">
        <f>0</f>
        <v>0</v>
      </c>
      <c r="CN165" s="2680">
        <f>0</f>
        <v>0</v>
      </c>
      <c r="CO165" s="2831">
        <f>b_STC_T*X_CASTO*M_satSO2_KO2_CASTO*M_RsatXSTC_XCASTO_KSTC</f>
        <v>10.7584363514868</v>
      </c>
      <c r="CQ165" s="2650">
        <f>E248*E165+F248*F165+G248*G165+H248*H165+I248*I165+J248*J165+K248*K165+L248*L165+M248*M165+N248*N165+O248*O165+P248*P165+Q248*Q165+R248*R165+S248*S165+T248*T165+U248*U165+V248*V165+W248*W165+X248*X165+Y248*Y165+Z248*Z165+AA248*AA165+AB248*AB165+AC248*AC165+AD248*AD165+AE248*AE165+AF248*AF165+AG248*AG165+AH248*AH165+AI248*AI165+AJ248*AJ165+AK248*AK165+AL248*AL165+AM248*AM165+AN248*AN165+AO248*AO165+AP248*AP165+AQ248*AQ165+AR248*AR165+AS248*AS165+AT248*AT165+AU248*AU165+AV248*AV165+AW248*AW165+AX248*AX165+AY248*AY165+AZ248*AZ165+BA248*BA165+BB248*BB165+BC248*BC165+BD248*BD165+BE248*BE165+BF248*BF165+BG248*BG165+BH248*BH165+BI248*BI165+BJ248*BJ165+BK248*BK165+BL248*BL165+BM248*BM165+BN248*BN165+BO248*BO165+BP248*BP165+BQ248*BQ165+BR248*BR165+BS248*BS165+BT248*BT165+BU248*BU165+BV248*BV165+BW248*BW165+BX248*BX165+BY248*BY165+BZ248*BZ165+CA248*CA165+CB248*CB165+CC248*CC165+CD248*CD165+CE248*CE165+CF248*CF165+CG248*CG165+CH248*CH165+CI248*CI165+CJ248*CJ165+CK248*CK165+CL248*CL165+CM248*CM165+CN248*CN165</f>
        <v>0</v>
      </c>
      <c r="CR165" s="2650">
        <f>E249*E165+F249*F165+G249*G165+H249*H165+I249*I165+J249*J165+K249*K165+L249*L165+M249*M165+N249*N165+O249*O165+P249*P165+Q249*Q165+R249*R165+S249*S165+T249*T165+U249*U165+V249*V165+W249*W165+X249*X165+Y249*Y165+Z249*Z165+AA249*AA165+AB249*AB165+AC249*AC165+AD249*AD165+AE249*AE165+AF249*AF165+AG249*AG165+AH249*AH165+AI249*AI165+AJ249*AJ165+AK249*AK165+AL249*AL165+AM249*AM165+AN249*AN165+AO249*AO165+AP249*AP165+AQ249*AQ165+AR249*AR165+AS249*AS165+AT249*AT165+AU249*AU165+AV249*AV165+AW249*AW165+AX249*AX165+AY249*AY165+AZ249*AZ165+BA249*BA165+BB249*BB165+BC249*BC165+BD249*BD165+BE249*BE165+BF249*BF165+BG249*BG165+BH249*BH165+BI249*BI165+BJ249*BJ165+BK249*BK165+BL249*BL165+BM249*BM165+BN249*BN165+BO249*BO165+BP249*BP165+BQ249*BQ165+BR249*BR165+BS249*BS165+BT249*BT165+BU249*BU165+BV249*BV165+BW249*BW165+BX249*BX165+BY249*BY165+BZ249*BZ165+CA249*CA165+CB249*CB165+CC249*CC165+CD249*CD165+CE249*CE165+CF249*CF165+CG249*CG165+CH249*CH165+CI249*CI165+CJ249*CJ165+CK249*CK165+CL249*CL165+CM249*CM165+CN249*CN165</f>
        <v>0</v>
      </c>
      <c r="CS165" s="2651">
        <f>E250*E165+F250*F165+G250*G165+H250*H165+I250*I165+J250*J165+K250*K165+L250*L165+M250*M165+N250*N165+O250*O165+P250*P165+Q250*Q165+R250*R165+S250*S165+T250*T165+U250*U165+V250*V165+W250*W165+X250*X165+Y250*Y165+Z250*Z165+AA250*AA165+AB250*AB165+AC250*AC165+AD250*AD165+AE250*AE165+AF250*AF165+AG250*AG165+AH250*AH165+AI250*AI165+AJ250*AJ165+AK250*AK165+AL250*AL165+AM250*AM165+AN250*AN165+AO250*AO165+AP250*AP165+AQ250*AQ165+AR250*AR165+AS250*AS165+AT250*AT165+AU250*AU165+AV250*AV165+AW250*AW165+AX250*AX165+AY250*AY165+AZ250*AZ165+BA250*BA165+BB250*BB165+BC250*BC165+BD250*BD165+BE250*BE165+BF250*BF165+BG250*BG165+BH250*BH165+BI250*BI165+BJ250*BJ165+BK250*BK165+BL250*BL165+BM250*BM165+BN250*BN165+BO250*BO165+BP250*BP165+BQ250*BQ165+BR250*BR165+BS250*BS165+BT250*BT165+BU250*BU165+BV250*BV165+BW250*BW165+BX250*BX165+BY250*BY165+BZ250*BZ165+CA250*CA165+CB250*CB165+CC250*CC165+CD250*CD165+CE250*CE165+CF250*CF165+CG250*CG165+CH250*CH165+CI250*CI165+CJ250*CJ165+CK250*CK165+CL250*CL165+CM250*CM165+CN250*CN165</f>
        <v>0</v>
      </c>
      <c r="CT165" s="2652">
        <f>E251*E165+F251*F165+G251*G165+H251*H165+I251*I165+J251*J165+K251*K165+L251*L165+M251*M165+N251*N165+O251*O165+P251*P165+Q251*Q165+R251*R165+S251*S165+T251*T165+U251*U165+V251*V165+W251*W165+X251*X165+Y251*Y165+Z251*Z165+AA251*AA165+AB251*AB165+AC251*AC165+AD251*AD165+AE251*AE165+AF251*AF165+AG251*AG165+AH251*AH165+AI251*AI165+AJ251*AJ165+AK251*AK165+AL251*AL165+AM251*AM165+AN251*AN165+AO251*AO165+AP251*AP165+AQ251*AQ165+AR251*AR165+AS251*AS165+AT251*AT165+AU251*AU165+AV251*AV165+AW251*AW165+AX251*AX165+AY251*AY165+AZ251*AZ165+BA251*BA165+BB251*BB165+BC251*BC165+BD251*BD165+BE251*BE165+BF251*BF165+BG251*BG165+BH251*BH165+BI251*BI165+BJ251*BJ165+BK251*BK165+BL251*BL165+BM251*BM165+BN251*BN165+BO251*BO165+BP251*BP165+BQ251*BQ165+BR251*BR165+BS251*BS165+BT251*BT165+BU251*BU165+BV251*BV165+BW251*BW165+BX251*BX165+BY251*BY165+BZ251*BZ165+CA251*CA165+CB251*CB165+CC251*CC165+CD251*CD165+CE251*CE165+CF251*CF165+CG251*CG165+CH251*CH165+CI251*CI165+CJ251*CJ165+CK251*CK165+CL251*CL165+CM251*CM165+CN251*CN165</f>
        <v>0</v>
      </c>
      <c r="CU165" s="2652">
        <f>E252*E165+F252*F165+G252*G165+H252*H165+I252*I165+J252*J165+K252*K165+L252*L165+M252*M165+N252*N165+O252*O165+P252*P165+Q252*Q165+R252*R165+S252*S165+T252*T165+U252*U165+V252*V165+W252*W165+X252*X165+Y252*Y165+Z252*Z165+AA252*AA165+AB252*AB165+AC252*AC165+AD252*AD165+AE252*AE165+AF252*AF165+AG252*AG165+AH252*AH165+AI252*AI165+AJ252*AJ165+AK252*AK165+AL252*AL165+AM252*AM165+AN252*AN165+AO252*AO165+AP252*AP165+AQ252*AQ165+AR252*AR165+AS252*AS165+AT252*AT165+AU252*AU165+AV252*AV165+AW252*AW165+AX252*AX165+AY252*AY165+AZ252*AZ165+BA252*BA165+BB252*BB165+BC252*BC165+BD252*BD165+BE252*BE165+BF252*BF165+BG252*BG165+BH252*BH165+BI252*BI165+BJ252*BJ165+BK252*BK165+BL252*BL165+BM252*BM165+BN252*BN165+BO252*BO165+BP252*BP165+BQ252*BQ165+BR252*BR165+BS252*BS165+BT252*BT165+BU252*BU165+BV252*BV165+BW252*BW165+BX252*BX165+BY252*BY165+BZ252*BZ165+CA252*CA165+CB252*CB165+CC252*CC165+CD252*CD165+CE252*CE165+CF252*CF165+CG252*CG165+CH252*CH165+CI252*CI165+CJ252*CJ165+CK252*CK165+CL252*CL165+CM252*CM165+CN252*CN165</f>
        <v>0</v>
      </c>
      <c r="CV165" s="2652">
        <f>E253*E165+F253*F165+G253*G165+H253*H165+I253*I165+J253*J165+K253*K165+L253*L165+M253*M165+N253*N165+O253*O165+P253*P165+Q253*Q165+R253*R165+S253*S165+T253*T165+U253*U165+V253*V165+W253*W165+X253*X165+Y253*Y165+Z253*Z165+AA253*AA165+AB253*AB165+AC253*AC165+AD253*AD165+AE253*AE165+AF253*AF165+AG253*AG165+AH253*AH165+AI253*AI165+AJ253*AJ165+AK253*AK165+AL253*AL165+AM253*AM165+AN253*AN165+AO253*AO165+AP253*AP165+AQ253*AQ165+AR253*AR165+AS253*AS165+AT253*AT165+AU253*AU165+AV253*AV165+AW253*AW165+AX253*AX165+AY253*AY165+AZ253*AZ165+BA253*BA165+BB253*BB165+BC253*BC165+BD253*BD165+BE253*BE165+BF253*BF165+BG253*BG165+BH253*BH165+BI253*BI165+BJ253*BJ165+BK253*BK165+BL253*BL165+BM253*BM165+BN253*BN165+BO253*BO165+BP253*BP165+BQ253*BQ165+BR253*BR165+BS253*BS165+BT253*BT165+BU253*BU165+BV253*BV165+BW253*BW165+BX253*BX165+BY253*BY165+BZ253*BZ165+CA253*CA165+CB253*CB165+CC253*CC165+CD253*CD165+CE253*CE165+CF253*CF165+CG253*CG165+CH253*CH165+CI253*CI165+CJ253*CJ165+CK253*CK165+CL253*CL165+CM253*CM165+CN253*CN165</f>
        <v>0</v>
      </c>
      <c r="CW165" s="2652">
        <f>E254*E165+F254*F165+G254*G165+H254*H165+I254*I165+J254*J165+K254*K165+L254*L165+M254*M165+N254*N165+O254*O165+P254*P165+Q254*Q165+R254*R165+S254*S165+T254*T165+U254*U165+V254*V165+W254*W165+X254*X165+Y254*Y165+Z254*Z165+AA254*AA165+AB254*AB165+AC254*AC165+AD254*AD165+AE254*AE165+AF254*AF165+AG254*AG165+AH254*AH165+AI254*AI165+AJ254*AJ165+AK254*AK165+AL254*AL165+AM254*AM165+AN254*AN165+AO254*AO165+AP254*AP165+AQ254*AQ165+AR254*AR165+AS254*AS165+AT254*AT165+AU254*AU165+AV254*AV165+AW254*AW165+AX254*AX165+AY254*AY165+AZ254*AZ165+BA254*BA165+BB254*BB165+BC254*BC165+BD254*BD165+BE254*BE165+BF254*BF165+BG254*BG165+BH254*BH165+BI254*BI165+BJ254*BJ165+BK254*BK165+BL254*BL165+BM254*BM165+BN254*BN165+BO254*BO165+BP254*BP165+BQ254*BQ165+BR254*BR165+BS254*BS165+BT254*BT165+BU254*BU165+BV254*BV165+BW254*BW165+BX254*BX165+BY254*BY165+BZ254*BZ165+CA254*CA165+CB254*CB165+CC254*CC165+CD254*CD165+CE254*CE165+CF254*CF165+CG254*CG165+CH254*CH165+CI254*CI165+CJ254*CJ165+CK254*CK165+CL254*CL165+CM254*CM165+CN254*CN165</f>
        <v>0</v>
      </c>
      <c r="CX165" s="2652">
        <f>E255*E165+F255*F165+G255*G165+H255*H165+I255*I165+J255*J165+K255*K165+L255*L165+M255*M165+N255*N165+O255*O165+P255*P165+Q255*Q165+R255*R165+S255*S165+T255*T165+U255*U165+V255*V165+W255*W165+X255*X165+Y255*Y165+Z255*Z165+AA255*AA165+AB255*AB165+AC255*AC165+AD255*AD165+AE255*AE165+AF255*AF165+AG255*AG165+AH255*AH165+AI255*AI165+AJ255*AJ165+AK255*AK165+AL255*AL165+AM255*AM165+AN255*AN165+AO255*AO165+AP255*AP165+AQ255*AQ165+AR255*AR165+AS255*AS165+AT255*AT165+AU255*AU165+AV255*AV165+AW255*AW165+AX255*AX165+AY255*AY165+AZ255*AZ165+BA255*BA165+BB255*BB165+BC255*BC165+BD255*BD165+BE255*BE165+BF255*BF165+BG255*BG165+BH255*BH165+BI255*BI165+BJ255*BJ165+BK255*BK165+BL255*BL165+BM255*BM165+BN255*BN165+BO255*BO165+BP255*BP165+BQ255*BQ165+BR255*BR165+BS255*BS165+BT255*BT165+BU255*BU165+BV255*BV165+BW255*BW165+BX255*BX165+BY255*BY165+BZ255*BZ165+CA255*CA165+CB255*CB165+CC255*CC165+CD255*CD165+CE255*CE165+CF255*CF165+CG255*CG165+CH255*CH165+CI255*CI165+CJ255*CJ165+CK255*CK165+CL255*CL165+CM255*CM165+CN255*CN165</f>
        <v>0</v>
      </c>
      <c r="CY165" s="2652">
        <f>E256*E165+F256*F165+G256*G165+H256*H165+I256*I165+J256*J165+K256*K165+L256*L165+M256*M165+N256*N165+O256*O165+P256*P165+Q256*Q165+R256*R165+S256*S165+T256*T165+U256*U165+V256*V165+W256*W165+X256*X165+Y256*Y165+Z256*Z165+AA256*AA165+AB256*AB165+AC256*AC165+AD256*AD165+AE256*AE165+AF256*AF165+AG256*AG165+AH256*AH165+AI256*AI165+AJ256*AJ165+AK256*AK165+AL256*AL165+AM256*AM165+AN256*AN165+AO256*AO165+AP256*AP165+AQ256*AQ165+AR256*AR165+AS256*AS165+AT256*AT165+AU256*AU165+AV256*AV165+AW256*AW165+AX256*AX165+AY256*AY165+AZ256*AZ165+BA256*BA165+BB256*BB165+BC256*BC165+BD256*BD165+BE256*BE165+BF256*BF165+BG256*BG165+BH256*BH165+BI256*BI165+BJ256*BJ165+BK256*BK165+BL256*BL165+BM256*BM165+BN256*BN165+BO256*BO165+BP256*BP165+BQ256*BQ165+BR256*BR165+BS256*BS165+BT256*BT165+BU256*BU165+BV256*BV165+BW256*BW165+BX256*BX165+BY256*BY165+BZ256*BZ165+CA256*CA165+CB256*CB165+CC256*CC165+CD256*CD165+CE256*CE165+CF256*CF165+CG256*CG165+CH256*CH165+CI256*CI165+CJ256*CJ165+CK256*CK165+CL256*CL165+CM256*CM165+CN256*CN165</f>
        <v>0</v>
      </c>
      <c r="CZ165" s="2652">
        <f>E257*E165+F257*F165+G257*G165+H257*H165+I257*I165+J257*J165+K257*K165+L257*L165+M257*M165+N257*N165+O257*O165+P257*P165+Q257*Q165+R257*R165+S257*S165+T257*T165+U257*U165+V257*V165+W257*W165+X257*X165+Y257*Y165+Z257*Z165+AA257*AA165+AB257*AB165+AC257*AC165+AD257*AD165+AE257*AE165+AF257*AF165+AG257*AG165+AH257*AH165+AI257*AI165+AJ257*AJ165+AK257*AK165+AL257*AL165+AM257*AM165+AN257*AN165+AO257*AO165+AP257*AP165+AQ257*AQ165+AR257*AR165+AS257*AS165+AT257*AT165+AU257*AU165+AV257*AV165+AW257*AW165+AX257*AX165+AY257*AY165+AZ257*AZ165+BA257*BA165+BB257*BB165+BC257*BC165+BD257*BD165+BE257*BE165+BF257*BF165+BG257*BG165+BH257*BH165+BI257*BI165+BJ257*BJ165+BK257*BK165+BL257*BL165+BM257*BM165+BN257*BN165+BO257*BO165+BP257*BP165+BQ257*BQ165+BR257*BR165+BS257*BS165+BT257*BT165+BU257*BU165+BV257*BV165+BW257*BW165+BX257*BX165+BY257*BY165+BZ257*BZ165+CA257*CA165+CB257*CB165+CC257*CC165+CD257*CD165+CE257*CE165+CF257*CF165+CG257*CG165+CH257*CH165+CI257*CI165+CJ257*CJ165+CK257*CK165+CL257*CL165+CM257*CM165+CN257*CN165</f>
        <v>0</v>
      </c>
      <c r="DA165" s="2652">
        <f>E258*E165+F258*F165+G258*G165+H258*H165+I258*I165+J258*J165+K258*K165+L258*L165+M258*M165+N258*N165+O258*O165+P258*P165+Q258*Q165+R258*R165+S258*S165+T258*T165+U258*U165+V258*V165+W258*W165+X258*X165+Y258*Y165+Z258*Z165+AA258*AA165+AB258*AB165+AC258*AC165+AD258*AD165+AE258*AE165+AF258*AF165+AG258*AG165+AH258*AH165+AI258*AI165+AJ258*AJ165+AK258*AK165+AL258*AL165+AM258*AM165+AN258*AN165+AO258*AO165+AP258*AP165+AQ258*AQ165+AR258*AR165+AS258*AS165+AT258*AT165+AU258*AU165+AV258*AV165+AW258*AW165+AX258*AX165+AY258*AY165+AZ258*AZ165+BA258*BA165+BB258*BB165+BC258*BC165+BD258*BD165+BE258*BE165+BF258*BF165+BG258*BG165+BH258*BH165+BI258*BI165+BJ258*BJ165+BK258*BK165+BL258*BL165+BM258*BM165+BN258*BN165+BO258*BO165+BP258*BP165+BQ258*BQ165+BR258*BR165+BS258*BS165+BT258*BT165+BU258*BU165+BV258*BV165+BW258*BW165+BX258*BX165+BY258*BY165+BZ258*BZ165+CA258*CA165+CB258*CB165+CC258*CC165+CD258*CD165+CE258*CE165+CF258*CF165+CG258*CG165+CH258*CH165+CI258*CI165+CJ258*CJ165+CK258*CK165+CL258*CL165+CM258*CM165+CN258*CN165</f>
        <v>0</v>
      </c>
    </row>
    <row r="166" spans="2:105" ht="18" x14ac:dyDescent="0.25">
      <c r="B166" s="1083">
        <v>33</v>
      </c>
      <c r="C166" s="1073" t="s">
        <v>253</v>
      </c>
      <c r="D166" s="806" t="s">
        <v>4100</v>
      </c>
      <c r="E166" s="2678">
        <f>0</f>
        <v>0</v>
      </c>
      <c r="F166" s="2678">
        <f>0</f>
        <v>0</v>
      </c>
      <c r="G166" s="2678">
        <f>0</f>
        <v>0</v>
      </c>
      <c r="H166" s="2678">
        <f>0</f>
        <v>0</v>
      </c>
      <c r="I166" s="2678">
        <f>0</f>
        <v>0</v>
      </c>
      <c r="J166" s="2678">
        <f>0</f>
        <v>0</v>
      </c>
      <c r="K166" s="2678">
        <f>0</f>
        <v>0</v>
      </c>
      <c r="L166" s="2678">
        <f>0</f>
        <v>0</v>
      </c>
      <c r="M166" s="2678">
        <f>0</f>
        <v>0</v>
      </c>
      <c r="N166" s="2678">
        <f>0</f>
        <v>0</v>
      </c>
      <c r="O166" s="2678">
        <f>0</f>
        <v>0</v>
      </c>
      <c r="P166" s="2681">
        <f>-X_PHA_PAO/X_STC</f>
        <v>-0.86956521739130432</v>
      </c>
      <c r="Q166" s="2681">
        <f>-X_PHA_GAO/X_STC</f>
        <v>-0.13043478260869565</v>
      </c>
      <c r="R166" s="2678">
        <f>0</f>
        <v>0</v>
      </c>
      <c r="S166" s="2678">
        <f>0</f>
        <v>0</v>
      </c>
      <c r="T166" s="2678">
        <f>0</f>
        <v>0</v>
      </c>
      <c r="U166" s="2678">
        <f>0</f>
        <v>0</v>
      </c>
      <c r="V166" s="2678">
        <f>0</f>
        <v>0</v>
      </c>
      <c r="W166" s="2678">
        <f>0</f>
        <v>0</v>
      </c>
      <c r="X166" s="2678">
        <f>0</f>
        <v>0</v>
      </c>
      <c r="Y166" s="2678">
        <f>0</f>
        <v>0</v>
      </c>
      <c r="Z166" s="2678">
        <f>0</f>
        <v>0</v>
      </c>
      <c r="AA166" s="2678">
        <f>0</f>
        <v>0</v>
      </c>
      <c r="AB166" s="2678">
        <f>0</f>
        <v>0</v>
      </c>
      <c r="AC166" s="2741">
        <f>0</f>
        <v>0</v>
      </c>
      <c r="AD166" s="2678">
        <f>0</f>
        <v>0</v>
      </c>
      <c r="AE166" s="2681">
        <f>-1/E_EQN2_NO2</f>
        <v>-0.58363438628948594</v>
      </c>
      <c r="AF166" s="2681">
        <f>0</f>
        <v>0</v>
      </c>
      <c r="AG166" s="2681">
        <f>1/E_EQN2_NO2</f>
        <v>0.58363438628948594</v>
      </c>
      <c r="AH166" s="2678">
        <f>0</f>
        <v>0</v>
      </c>
      <c r="AI166" s="2678">
        <f>0</f>
        <v>0</v>
      </c>
      <c r="AJ166" s="2678">
        <f>0</f>
        <v>0</v>
      </c>
      <c r="AK166" s="2678">
        <f>0</f>
        <v>0</v>
      </c>
      <c r="AL166" s="2678">
        <f>0</f>
        <v>0</v>
      </c>
      <c r="AM166" s="2681">
        <f>0</f>
        <v>0</v>
      </c>
      <c r="AN166" s="2678">
        <f>0</f>
        <v>0</v>
      </c>
      <c r="AO166" s="2678">
        <f>0</f>
        <v>0</v>
      </c>
      <c r="AP166" s="2678">
        <f>0</f>
        <v>0</v>
      </c>
      <c r="AQ166" s="2678">
        <f>0</f>
        <v>0</v>
      </c>
      <c r="AR166" s="2678">
        <f>0</f>
        <v>0</v>
      </c>
      <c r="AS166" s="2678">
        <f>0</f>
        <v>0</v>
      </c>
      <c r="AT166" s="2678">
        <f>0</f>
        <v>0</v>
      </c>
      <c r="AU166" s="2678">
        <f>i_CIT_STC</f>
        <v>0.33300000000000002</v>
      </c>
      <c r="AV166" s="2678">
        <f>0</f>
        <v>0</v>
      </c>
      <c r="AW166" s="2678">
        <f>0</f>
        <v>0</v>
      </c>
      <c r="AX166" s="2678">
        <f>0</f>
        <v>0</v>
      </c>
      <c r="AY166" s="2681">
        <f>0</f>
        <v>0</v>
      </c>
      <c r="AZ166" s="2681">
        <f>0</f>
        <v>0</v>
      </c>
      <c r="BA166" s="2681">
        <f>0</f>
        <v>0</v>
      </c>
      <c r="BB166" s="2678">
        <f>0</f>
        <v>0</v>
      </c>
      <c r="BC166" s="2678">
        <f>0</f>
        <v>0</v>
      </c>
      <c r="BD166" s="2678">
        <f>0</f>
        <v>0</v>
      </c>
      <c r="BE166" s="2678">
        <f>0</f>
        <v>0</v>
      </c>
      <c r="BF166" s="2678">
        <f>0</f>
        <v>0</v>
      </c>
      <c r="BG166" s="2678">
        <f>0</f>
        <v>0</v>
      </c>
      <c r="BH166" s="2678">
        <f>0</f>
        <v>0</v>
      </c>
      <c r="BI166" s="2678">
        <f>0</f>
        <v>0</v>
      </c>
      <c r="BJ166" s="2767">
        <f>0</f>
        <v>0</v>
      </c>
      <c r="BK166" s="2767">
        <f>0</f>
        <v>0</v>
      </c>
      <c r="BL166" s="2767">
        <f>0</f>
        <v>0</v>
      </c>
      <c r="BM166" s="2767">
        <f>0</f>
        <v>0</v>
      </c>
      <c r="BN166" s="2767">
        <f>0</f>
        <v>0</v>
      </c>
      <c r="BO166" s="2767">
        <f>0</f>
        <v>0</v>
      </c>
      <c r="BP166" s="2767">
        <f>0</f>
        <v>0</v>
      </c>
      <c r="BQ166" s="2678">
        <f>0</f>
        <v>0</v>
      </c>
      <c r="BR166" s="2678">
        <f>0</f>
        <v>0</v>
      </c>
      <c r="BS166" s="2767">
        <f>0</f>
        <v>0</v>
      </c>
      <c r="BT166" s="2678">
        <f>0</f>
        <v>0</v>
      </c>
      <c r="BU166" s="2678">
        <f>0</f>
        <v>0</v>
      </c>
      <c r="BV166" s="2741">
        <f>0</f>
        <v>0</v>
      </c>
      <c r="BW166" s="2741">
        <f>0</f>
        <v>0</v>
      </c>
      <c r="BX166" s="2741">
        <f>0</f>
        <v>0</v>
      </c>
      <c r="BY166" s="2741">
        <f>0</f>
        <v>0</v>
      </c>
      <c r="BZ166" s="2678">
        <f>0</f>
        <v>0</v>
      </c>
      <c r="CA166" s="2678">
        <f>0</f>
        <v>0</v>
      </c>
      <c r="CB166" s="2679">
        <f>0</f>
        <v>0</v>
      </c>
      <c r="CC166" s="2678">
        <f>0</f>
        <v>0</v>
      </c>
      <c r="CD166" s="2678">
        <f>0</f>
        <v>0</v>
      </c>
      <c r="CE166" s="2678">
        <f>0</f>
        <v>0</v>
      </c>
      <c r="CF166" s="2678">
        <f>0</f>
        <v>0</v>
      </c>
      <c r="CG166" s="2678">
        <f>0</f>
        <v>0</v>
      </c>
      <c r="CH166" s="2678">
        <f>0</f>
        <v>0</v>
      </c>
      <c r="CI166" s="2678">
        <f>0</f>
        <v>0</v>
      </c>
      <c r="CJ166" s="2678">
        <f>0</f>
        <v>0</v>
      </c>
      <c r="CK166" s="2678">
        <f>0</f>
        <v>0</v>
      </c>
      <c r="CL166" s="2678">
        <f>0</f>
        <v>0</v>
      </c>
      <c r="CM166" s="2678">
        <f>0</f>
        <v>0</v>
      </c>
      <c r="CN166" s="2678">
        <f>0</f>
        <v>0</v>
      </c>
      <c r="CO166" s="2828">
        <f>b_STC_T*η_bSTC_anox*X_CASTO*M_inhSO2_KO2_CASTO*M_satSNO2_KNO2_CASTO*M_RsatXSTC_XCASTO_KSTC</f>
        <v>0.11834279986635483</v>
      </c>
      <c r="CQ166" s="2650">
        <f>E248*E166+F248*F166+G248*G166+H248*H166+I248*I166+J248*J166+K248*K166+L248*L166+M248*M166+N248*N166+O248*O166+P248*P166+Q248*Q166+R248*R166+S248*S166+T248*T166+U248*U166+V248*V166+W248*W166+X248*X166+Y248*Y166+Z248*Z166+AA248*AA166+AB248*AB166+AC248*AC166+AD248*AD166+AE248*AE166+AF248*AF166+AG248*AG166+AH248*AH166+AI248*AI166+AJ248*AJ166+AK248*AK166+AL248*AL166+AM248*AM166+AN248*AN166+AO248*AO166+AP248*AP166+AQ248*AQ166+AR248*AR166+AS248*AS166+AT248*AT166+AU248*AU166+AV248*AV166+AW248*AW166+AX248*AX166+AY248*AY166+AZ248*AZ166+BA248*BA166+BB248*BB166+BC248*BC166+BD248*BD166+BE248*BE166+BF248*BF166+BG248*BG166+BH248*BH166+BI248*BI166+BJ248*BJ166+BK248*BK166+BL248*BL166+BM248*BM166+BN248*BN166+BO248*BO166+BP248*BP166+BQ248*BQ166+BR248*BR166+BS248*BS166+BT248*BT166+BU248*BU166+BV248*BV166+BW248*BW166+BX248*BX166+BY248*BY166+BZ248*BZ166+CA248*CA166+CB248*CB166+CC248*CC166+CD248*CD166+CE248*CE166+CF248*CF166+CG248*CG166+CH248*CH166+CI248*CI166+CJ248*CJ166+CK248*CK166+CL248*CL166+CM248*CM166+CN248*CN166</f>
        <v>0</v>
      </c>
      <c r="CR166" s="2650">
        <f>E249*E166+F249*F166+G249*G166+H249*H166+I249*I166+J249*J166+K249*K166+L249*L166+M249*M166+N249*N166+O249*O166+P249*P166+Q249*Q166+R249*R166+S249*S166+T249*T166+U249*U166+V249*V166+W249*W166+X249*X166+Y249*Y166+Z249*Z166+AA249*AA166+AB249*AB166+AC249*AC166+AD249*AD166+AE249*AE166+AF249*AF166+AG249*AG166+AH249*AH166+AI249*AI166+AJ249*AJ166+AK249*AK166+AL249*AL166+AM249*AM166+AN249*AN166+AO249*AO166+AP249*AP166+AQ249*AQ166+AR249*AR166+AS249*AS166+AT249*AT166+AU249*AU166+AV249*AV166+AW249*AW166+AX249*AX166+AY249*AY166+AZ249*AZ166+BA249*BA166+BB249*BB166+BC249*BC166+BD249*BD166+BE249*BE166+BF249*BF166+BG249*BG166+BH249*BH166+BI249*BI166+BJ249*BJ166+BK249*BK166+BL249*BL166+BM249*BM166+BN249*BN166+BO249*BO166+BP249*BP166+BQ249*BQ166+BR249*BR166+BS249*BS166+BT249*BT166+BU249*BU166+BV249*BV166+BW249*BW166+BX249*BX166+BY249*BY166+BZ249*BZ166+CA249*CA166+CB249*CB166+CC249*CC166+CD249*CD166+CE249*CE166+CF249*CF166+CG249*CG166+CH249*CH166+CI249*CI166+CJ249*CJ166+CK249*CK166+CL249*CL166+CM249*CM166+CN249*CN166</f>
        <v>0</v>
      </c>
      <c r="CS166" s="2651">
        <f>E250*E166+F250*F166+G250*G166+H250*H166+I250*I166+J250*J166+K250*K166+L250*L166+M250*M166+N250*N166+O250*O166+P250*P166+Q250*Q166+R250*R166+S250*S166+T250*T166+U250*U166+V250*V166+W250*W166+X250*X166+Y250*Y166+Z250*Z166+AA250*AA166+AB250*AB166+AC250*AC166+AD250*AD166+AE250*AE166+AF250*AF166+AG250*AG166+AH250*AH166+AI250*AI166+AJ250*AJ166+AK250*AK166+AL250*AL166+AM250*AM166+AN250*AN166+AO250*AO166+AP250*AP166+AQ250*AQ166+AR250*AR166+AS250*AS166+AT250*AT166+AU250*AU166+AV250*AV166+AW250*AW166+AX250*AX166+AY250*AY166+AZ250*AZ166+BA250*BA166+BB250*BB166+BC250*BC166+BD250*BD166+BE250*BE166+BF250*BF166+BG250*BG166+BH250*BH166+BI250*BI166+BJ250*BJ166+BK250*BK166+BL250*BL166+BM250*BM166+BN250*BN166+BO250*BO166+BP250*BP166+BQ250*BQ166+BR250*BR166+BS250*BS166+BT250*BT166+BU250*BU166+BV250*BV166+BW250*BW166+BX250*BX166+BY250*BY166+BZ250*BZ166+CA250*CA166+CB250*CB166+CC250*CC166+CD250*CD166+CE250*CE166+CF250*CF166+CG250*CG166+CH250*CH166+CI250*CI166+CJ250*CJ166+CK250*CK166+CL250*CL166+CM250*CM166+CN250*CN166</f>
        <v>0</v>
      </c>
      <c r="CT166" s="2652">
        <f>E251*E166+F251*F166+G251*G166+H251*H166+I251*I166+J251*J166+K251*K166+L251*L166+M251*M166+N251*N166+O251*O166+P251*P166+Q251*Q166+R251*R166+S251*S166+T251*T166+U251*U166+V251*V166+W251*W166+X251*X166+Y251*Y166+Z251*Z166+AA251*AA166+AB251*AB166+AC251*AC166+AD251*AD166+AE251*AE166+AF251*AF166+AG251*AG166+AH251*AH166+AI251*AI166+AJ251*AJ166+AK251*AK166+AL251*AL166+AM251*AM166+AN251*AN166+AO251*AO166+AP251*AP166+AQ251*AQ166+AR251*AR166+AS251*AS166+AT251*AT166+AU251*AU166+AV251*AV166+AW251*AW166+AX251*AX166+AY251*AY166+AZ251*AZ166+BA251*BA166+BB251*BB166+BC251*BC166+BD251*BD166+BE251*BE166+BF251*BF166+BG251*BG166+BH251*BH166+BI251*BI166+BJ251*BJ166+BK251*BK166+BL251*BL166+BM251*BM166+BN251*BN166+BO251*BO166+BP251*BP166+BQ251*BQ166+BR251*BR166+BS251*BS166+BT251*BT166+BU251*BU166+BV251*BV166+BW251*BW166+BX251*BX166+BY251*BY166+BZ251*BZ166+CA251*CA166+CB251*CB166+CC251*CC166+CD251*CD166+CE251*CE166+CF251*CF166+CG251*CG166+CH251*CH166+CI251*CI166+CJ251*CJ166+CK251*CK166+CL251*CL166+CM251*CM166+CN251*CN166</f>
        <v>0</v>
      </c>
      <c r="CU166" s="2652">
        <f>E252*E166+F252*F166+G252*G166+H252*H166+I252*I166+J252*J166+K252*K166+L252*L166+M252*M166+N252*N166+O252*O166+P252*P166+Q252*Q166+R252*R166+S252*S166+T252*T166+U252*U166+V252*V166+W252*W166+X252*X166+Y252*Y166+Z252*Z166+AA252*AA166+AB252*AB166+AC252*AC166+AD252*AD166+AE252*AE166+AF252*AF166+AG252*AG166+AH252*AH166+AI252*AI166+AJ252*AJ166+AK252*AK166+AL252*AL166+AM252*AM166+AN252*AN166+AO252*AO166+AP252*AP166+AQ252*AQ166+AR252*AR166+AS252*AS166+AT252*AT166+AU252*AU166+AV252*AV166+AW252*AW166+AX252*AX166+AY252*AY166+AZ252*AZ166+BA252*BA166+BB252*BB166+BC252*BC166+BD252*BD166+BE252*BE166+BF252*BF166+BG252*BG166+BH252*BH166+BI252*BI166+BJ252*BJ166+BK252*BK166+BL252*BL166+BM252*BM166+BN252*BN166+BO252*BO166+BP252*BP166+BQ252*BQ166+BR252*BR166+BS252*BS166+BT252*BT166+BU252*BU166+BV252*BV166+BW252*BW166+BX252*BX166+BY252*BY166+BZ252*BZ166+CA252*CA166+CB252*CB166+CC252*CC166+CD252*CD166+CE252*CE166+CF252*CF166+CG252*CG166+CH252*CH166+CI252*CI166+CJ252*CJ166+CK252*CK166+CL252*CL166+CM252*CM166+CN252*CN166</f>
        <v>0</v>
      </c>
      <c r="CV166" s="2652">
        <f>E253*E166+F253*F166+G253*G166+H253*H166+I253*I166+J253*J166+K253*K166+L253*L166+M253*M166+N253*N166+O253*O166+P253*P166+Q253*Q166+R253*R166+S253*S166+T253*T166+U253*U166+V253*V166+W253*W166+X253*X166+Y253*Y166+Z253*Z166+AA253*AA166+AB253*AB166+AC253*AC166+AD253*AD166+AE253*AE166+AF253*AF166+AG253*AG166+AH253*AH166+AI253*AI166+AJ253*AJ166+AK253*AK166+AL253*AL166+AM253*AM166+AN253*AN166+AO253*AO166+AP253*AP166+AQ253*AQ166+AR253*AR166+AS253*AS166+AT253*AT166+AU253*AU166+AV253*AV166+AW253*AW166+AX253*AX166+AY253*AY166+AZ253*AZ166+BA253*BA166+BB253*BB166+BC253*BC166+BD253*BD166+BE253*BE166+BF253*BF166+BG253*BG166+BH253*BH166+BI253*BI166+BJ253*BJ166+BK253*BK166+BL253*BL166+BM253*BM166+BN253*BN166+BO253*BO166+BP253*BP166+BQ253*BQ166+BR253*BR166+BS253*BS166+BT253*BT166+BU253*BU166+BV253*BV166+BW253*BW166+BX253*BX166+BY253*BY166+BZ253*BZ166+CA253*CA166+CB253*CB166+CC253*CC166+CD253*CD166+CE253*CE166+CF253*CF166+CG253*CG166+CH253*CH166+CI253*CI166+CJ253*CJ166+CK253*CK166+CL253*CL166+CM253*CM166+CN253*CN166</f>
        <v>0</v>
      </c>
      <c r="CW166" s="2652">
        <f>E254*E166+F254*F166+G254*G166+H254*H166+I254*I166+J254*J166+K254*K166+L254*L166+M254*M166+N254*N166+O254*O166+P254*P166+Q254*Q166+R254*R166+S254*S166+T254*T166+U254*U166+V254*V166+W254*W166+X254*X166+Y254*Y166+Z254*Z166+AA254*AA166+AB254*AB166+AC254*AC166+AD254*AD166+AE254*AE166+AF254*AF166+AG254*AG166+AH254*AH166+AI254*AI166+AJ254*AJ166+AK254*AK166+AL254*AL166+AM254*AM166+AN254*AN166+AO254*AO166+AP254*AP166+AQ254*AQ166+AR254*AR166+AS254*AS166+AT254*AT166+AU254*AU166+AV254*AV166+AW254*AW166+AX254*AX166+AY254*AY166+AZ254*AZ166+BA254*BA166+BB254*BB166+BC254*BC166+BD254*BD166+BE254*BE166+BF254*BF166+BG254*BG166+BH254*BH166+BI254*BI166+BJ254*BJ166+BK254*BK166+BL254*BL166+BM254*BM166+BN254*BN166+BO254*BO166+BP254*BP166+BQ254*BQ166+BR254*BR166+BS254*BS166+BT254*BT166+BU254*BU166+BV254*BV166+BW254*BW166+BX254*BX166+BY254*BY166+BZ254*BZ166+CA254*CA166+CB254*CB166+CC254*CC166+CD254*CD166+CE254*CE166+CF254*CF166+CG254*CG166+CH254*CH166+CI254*CI166+CJ254*CJ166+CK254*CK166+CL254*CL166+CM254*CM166+CN254*CN166</f>
        <v>0</v>
      </c>
      <c r="CX166" s="2652">
        <f>E255*E166+F255*F166+G255*G166+H255*H166+I255*I166+J255*J166+K255*K166+L255*L166+M255*M166+N255*N166+O255*O166+P255*P166+Q255*Q166+R255*R166+S255*S166+T255*T166+U255*U166+V255*V166+W255*W166+X255*X166+Y255*Y166+Z255*Z166+AA255*AA166+AB255*AB166+AC255*AC166+AD255*AD166+AE255*AE166+AF255*AF166+AG255*AG166+AH255*AH166+AI255*AI166+AJ255*AJ166+AK255*AK166+AL255*AL166+AM255*AM166+AN255*AN166+AO255*AO166+AP255*AP166+AQ255*AQ166+AR255*AR166+AS255*AS166+AT255*AT166+AU255*AU166+AV255*AV166+AW255*AW166+AX255*AX166+AY255*AY166+AZ255*AZ166+BA255*BA166+BB255*BB166+BC255*BC166+BD255*BD166+BE255*BE166+BF255*BF166+BG255*BG166+BH255*BH166+BI255*BI166+BJ255*BJ166+BK255*BK166+BL255*BL166+BM255*BM166+BN255*BN166+BO255*BO166+BP255*BP166+BQ255*BQ166+BR255*BR166+BS255*BS166+BT255*BT166+BU255*BU166+BV255*BV166+BW255*BW166+BX255*BX166+BY255*BY166+BZ255*BZ166+CA255*CA166+CB255*CB166+CC255*CC166+CD255*CD166+CE255*CE166+CF255*CF166+CG255*CG166+CH255*CH166+CI255*CI166+CJ255*CJ166+CK255*CK166+CL255*CL166+CM255*CM166+CN255*CN166</f>
        <v>0</v>
      </c>
      <c r="CY166" s="2652">
        <f>E256*E166+F256*F166+G256*G166+H256*H166+I256*I166+J256*J166+K256*K166+L256*L166+M256*M166+N256*N166+O256*O166+P256*P166+Q256*Q166+R256*R166+S256*S166+T256*T166+U256*U166+V256*V166+W256*W166+X256*X166+Y256*Y166+Z256*Z166+AA256*AA166+AB256*AB166+AC256*AC166+AD256*AD166+AE256*AE166+AF256*AF166+AG256*AG166+AH256*AH166+AI256*AI166+AJ256*AJ166+AK256*AK166+AL256*AL166+AM256*AM166+AN256*AN166+AO256*AO166+AP256*AP166+AQ256*AQ166+AR256*AR166+AS256*AS166+AT256*AT166+AU256*AU166+AV256*AV166+AW256*AW166+AX256*AX166+AY256*AY166+AZ256*AZ166+BA256*BA166+BB256*BB166+BC256*BC166+BD256*BD166+BE256*BE166+BF256*BF166+BG256*BG166+BH256*BH166+BI256*BI166+BJ256*BJ166+BK256*BK166+BL256*BL166+BM256*BM166+BN256*BN166+BO256*BO166+BP256*BP166+BQ256*BQ166+BR256*BR166+BS256*BS166+BT256*BT166+BU256*BU166+BV256*BV166+BW256*BW166+BX256*BX166+BY256*BY166+BZ256*BZ166+CA256*CA166+CB256*CB166+CC256*CC166+CD256*CD166+CE256*CE166+CF256*CF166+CG256*CG166+CH256*CH166+CI256*CI166+CJ256*CJ166+CK256*CK166+CL256*CL166+CM256*CM166+CN256*CN166</f>
        <v>0</v>
      </c>
      <c r="CZ166" s="2652">
        <f>E257*E166+F257*F166+G257*G166+H257*H166+I257*I166+J257*J166+K257*K166+L257*L166+M257*M166+N257*N166+O257*O166+P257*P166+Q257*Q166+R257*R166+S257*S166+T257*T166+U257*U166+V257*V166+W257*W166+X257*X166+Y257*Y166+Z257*Z166+AA257*AA166+AB257*AB166+AC257*AC166+AD257*AD166+AE257*AE166+AF257*AF166+AG257*AG166+AH257*AH166+AI257*AI166+AJ257*AJ166+AK257*AK166+AL257*AL166+AM257*AM166+AN257*AN166+AO257*AO166+AP257*AP166+AQ257*AQ166+AR257*AR166+AS257*AS166+AT257*AT166+AU257*AU166+AV257*AV166+AW257*AW166+AX257*AX166+AY257*AY166+AZ257*AZ166+BA257*BA166+BB257*BB166+BC257*BC166+BD257*BD166+BE257*BE166+BF257*BF166+BG257*BG166+BH257*BH166+BI257*BI166+BJ257*BJ166+BK257*BK166+BL257*BL166+BM257*BM166+BN257*BN166+BO257*BO166+BP257*BP166+BQ257*BQ166+BR257*BR166+BS257*BS166+BT257*BT166+BU257*BU166+BV257*BV166+BW257*BW166+BX257*BX166+BY257*BY166+BZ257*BZ166+CA257*CA166+CB257*CB166+CC257*CC166+CD257*CD166+CE257*CE166+CF257*CF166+CG257*CG166+CH257*CH166+CI257*CI166+CJ257*CJ166+CK257*CK166+CL257*CL166+CM257*CM166+CN257*CN166</f>
        <v>0</v>
      </c>
      <c r="DA166" s="2652">
        <f>E258*E166+F258*F166+G258*G166+H258*H166+I258*I166+J258*J166+K258*K166+L258*L166+M258*M166+N258*N166+O258*O166+P258*P166+Q258*Q166+R258*R166+S258*S166+T258*T166+U258*U166+V258*V166+W258*W166+X258*X166+Y258*Y166+Z258*Z166+AA258*AA166+AB258*AB166+AC258*AC166+AD258*AD166+AE258*AE166+AF258*AF166+AG258*AG166+AH258*AH166+AI258*AI166+AJ258*AJ166+AK258*AK166+AL258*AL166+AM258*AM166+AN258*AN166+AO258*AO166+AP258*AP166+AQ258*AQ166+AR258*AR166+AS258*AS166+AT258*AT166+AU258*AU166+AV258*AV166+AW258*AW166+AX258*AX166+AY258*AY166+AZ258*AZ166+BA258*BA166+BB258*BB166+BC258*BC166+BD258*BD166+BE258*BE166+BF258*BF166+BG258*BG166+BH258*BH166+BI258*BI166+BJ258*BJ166+BK258*BK166+BL258*BL166+BM258*BM166+BN258*BN166+BO258*BO166+BP258*BP166+BQ258*BQ166+BR258*BR166+BS258*BS166+BT258*BT166+BU258*BU166+BV258*BV166+BW258*BW166+BX258*BX166+BY258*BY166+BZ258*BZ166+CA258*CA166+CB258*CB166+CC258*CC166+CD258*CD166+CE258*CE166+CF258*CF166+CG258*CG166+CH258*CH166+CI258*CI166+CJ258*CJ166+CK258*CK166+CL258*CL166+CM258*CM166+CN258*CN166</f>
        <v>0</v>
      </c>
    </row>
    <row r="167" spans="2:105" ht="18" x14ac:dyDescent="0.25">
      <c r="B167" s="1083">
        <v>34</v>
      </c>
      <c r="C167" s="1073" t="s">
        <v>290</v>
      </c>
      <c r="D167" s="806" t="s">
        <v>4101</v>
      </c>
      <c r="E167" s="2678">
        <f>0</f>
        <v>0</v>
      </c>
      <c r="F167" s="2678">
        <f>0</f>
        <v>0</v>
      </c>
      <c r="G167" s="2678">
        <f>0</f>
        <v>0</v>
      </c>
      <c r="H167" s="2678">
        <f>0</f>
        <v>0</v>
      </c>
      <c r="I167" s="2678">
        <f>0</f>
        <v>0</v>
      </c>
      <c r="J167" s="2678">
        <f>0</f>
        <v>0</v>
      </c>
      <c r="K167" s="2678">
        <f>0</f>
        <v>0</v>
      </c>
      <c r="L167" s="2678">
        <f>0</f>
        <v>0</v>
      </c>
      <c r="M167" s="2678">
        <f>0</f>
        <v>0</v>
      </c>
      <c r="N167" s="2678">
        <f>0</f>
        <v>0</v>
      </c>
      <c r="O167" s="2678">
        <f>0</f>
        <v>0</v>
      </c>
      <c r="P167" s="2681">
        <f>-X_PHA_PAO/X_STC</f>
        <v>-0.86956521739130432</v>
      </c>
      <c r="Q167" s="2681">
        <f>-X_PHA_GAO/X_STC</f>
        <v>-0.13043478260869565</v>
      </c>
      <c r="R167" s="2678">
        <f>0</f>
        <v>0</v>
      </c>
      <c r="S167" s="2678">
        <f>0</f>
        <v>0</v>
      </c>
      <c r="T167" s="2678">
        <f>0</f>
        <v>0</v>
      </c>
      <c r="U167" s="2678">
        <f>0</f>
        <v>0</v>
      </c>
      <c r="V167" s="2678">
        <f>0</f>
        <v>0</v>
      </c>
      <c r="W167" s="2678">
        <f>0</f>
        <v>0</v>
      </c>
      <c r="X167" s="2678">
        <f>0</f>
        <v>0</v>
      </c>
      <c r="Y167" s="2678">
        <f>0</f>
        <v>0</v>
      </c>
      <c r="Z167" s="2678">
        <f>0</f>
        <v>0</v>
      </c>
      <c r="AA167" s="2678">
        <f>0</f>
        <v>0</v>
      </c>
      <c r="AB167" s="2678">
        <f>0</f>
        <v>0</v>
      </c>
      <c r="AC167" s="2741">
        <f>0</f>
        <v>0</v>
      </c>
      <c r="AD167" s="2678">
        <f>0</f>
        <v>0</v>
      </c>
      <c r="AE167" s="2681">
        <f>1/E_EQNO2_NO3</f>
        <v>0.87545157943422891</v>
      </c>
      <c r="AF167" s="2681">
        <f>-1/E_EQNO2_NO3</f>
        <v>-0.87545157943422891</v>
      </c>
      <c r="AG167" s="2681">
        <f>0</f>
        <v>0</v>
      </c>
      <c r="AH167" s="2678">
        <f>0</f>
        <v>0</v>
      </c>
      <c r="AI167" s="2678">
        <f>0</f>
        <v>0</v>
      </c>
      <c r="AJ167" s="2678">
        <f>0</f>
        <v>0</v>
      </c>
      <c r="AK167" s="2678">
        <f>0</f>
        <v>0</v>
      </c>
      <c r="AL167" s="2678">
        <f>0</f>
        <v>0</v>
      </c>
      <c r="AM167" s="2681">
        <f>0</f>
        <v>0</v>
      </c>
      <c r="AN167" s="2678">
        <f>0</f>
        <v>0</v>
      </c>
      <c r="AO167" s="2678">
        <f>0</f>
        <v>0</v>
      </c>
      <c r="AP167" s="2678">
        <f>0</f>
        <v>0</v>
      </c>
      <c r="AQ167" s="2678">
        <f>0</f>
        <v>0</v>
      </c>
      <c r="AR167" s="2678">
        <f>0</f>
        <v>0</v>
      </c>
      <c r="AS167" s="2678">
        <f>0</f>
        <v>0</v>
      </c>
      <c r="AT167" s="2678">
        <f>0</f>
        <v>0</v>
      </c>
      <c r="AU167" s="2678">
        <f>i_CIT_STC</f>
        <v>0.33300000000000002</v>
      </c>
      <c r="AV167" s="2678">
        <f>0</f>
        <v>0</v>
      </c>
      <c r="AW167" s="2678">
        <f>0</f>
        <v>0</v>
      </c>
      <c r="AX167" s="2678">
        <f>0</f>
        <v>0</v>
      </c>
      <c r="AY167" s="2681">
        <f>0</f>
        <v>0</v>
      </c>
      <c r="AZ167" s="2681">
        <f>0</f>
        <v>0</v>
      </c>
      <c r="BA167" s="2681">
        <f>0</f>
        <v>0</v>
      </c>
      <c r="BB167" s="2678">
        <f>0</f>
        <v>0</v>
      </c>
      <c r="BC167" s="2678">
        <f>0</f>
        <v>0</v>
      </c>
      <c r="BD167" s="2678">
        <f>0</f>
        <v>0</v>
      </c>
      <c r="BE167" s="2678">
        <f>0</f>
        <v>0</v>
      </c>
      <c r="BF167" s="2678">
        <f>0</f>
        <v>0</v>
      </c>
      <c r="BG167" s="2678">
        <f>0</f>
        <v>0</v>
      </c>
      <c r="BH167" s="2678">
        <f>0</f>
        <v>0</v>
      </c>
      <c r="BI167" s="2678">
        <f>0</f>
        <v>0</v>
      </c>
      <c r="BJ167" s="2767">
        <f>0</f>
        <v>0</v>
      </c>
      <c r="BK167" s="2767">
        <f>0</f>
        <v>0</v>
      </c>
      <c r="BL167" s="2767">
        <f>0</f>
        <v>0</v>
      </c>
      <c r="BM167" s="2767">
        <f>0</f>
        <v>0</v>
      </c>
      <c r="BN167" s="2767">
        <f>0</f>
        <v>0</v>
      </c>
      <c r="BO167" s="2767">
        <f>0</f>
        <v>0</v>
      </c>
      <c r="BP167" s="2767">
        <f>0</f>
        <v>0</v>
      </c>
      <c r="BQ167" s="2678">
        <f>0</f>
        <v>0</v>
      </c>
      <c r="BR167" s="2678">
        <f>0</f>
        <v>0</v>
      </c>
      <c r="BS167" s="2767">
        <f>0</f>
        <v>0</v>
      </c>
      <c r="BT167" s="2678">
        <f>0</f>
        <v>0</v>
      </c>
      <c r="BU167" s="2678">
        <f>0</f>
        <v>0</v>
      </c>
      <c r="BV167" s="2741">
        <f>0</f>
        <v>0</v>
      </c>
      <c r="BW167" s="2741">
        <f>0</f>
        <v>0</v>
      </c>
      <c r="BX167" s="2741">
        <f>0</f>
        <v>0</v>
      </c>
      <c r="BY167" s="2741">
        <f>0</f>
        <v>0</v>
      </c>
      <c r="BZ167" s="2678">
        <f>0</f>
        <v>0</v>
      </c>
      <c r="CA167" s="2678">
        <f>0</f>
        <v>0</v>
      </c>
      <c r="CB167" s="2679">
        <f>0</f>
        <v>0</v>
      </c>
      <c r="CC167" s="2678">
        <f>0</f>
        <v>0</v>
      </c>
      <c r="CD167" s="2678">
        <f>0</f>
        <v>0</v>
      </c>
      <c r="CE167" s="2678">
        <f>0</f>
        <v>0</v>
      </c>
      <c r="CF167" s="2678">
        <f>0</f>
        <v>0</v>
      </c>
      <c r="CG167" s="2678">
        <f>0</f>
        <v>0</v>
      </c>
      <c r="CH167" s="2678">
        <f>0</f>
        <v>0</v>
      </c>
      <c r="CI167" s="2678">
        <f>0</f>
        <v>0</v>
      </c>
      <c r="CJ167" s="2678">
        <f>0</f>
        <v>0</v>
      </c>
      <c r="CK167" s="2678">
        <f>0</f>
        <v>0</v>
      </c>
      <c r="CL167" s="2678">
        <f>0</f>
        <v>0</v>
      </c>
      <c r="CM167" s="2678">
        <f>0</f>
        <v>0</v>
      </c>
      <c r="CN167" s="2678">
        <f>0</f>
        <v>0</v>
      </c>
      <c r="CO167" s="2828">
        <f>b_STC_T*η_bSTC_anox*X_CASTO*M_inhSO2_KO2_CASTO*M_satSNO3_KNO3_CASTO*M_inhSNO2_KNO2_CASTO*M_RsatXSTC_XCASTO_KSTC</f>
        <v>5.8011176405075908E-2</v>
      </c>
      <c r="CQ167" s="2650">
        <f>E248*E167+F248*F167+G248*G167+H248*H167+I248*I167+J248*J167+K248*K167+L248*L167+M248*M167+N248*N167+O248*O167+P248*P167+Q248*Q167+R248*R167+S248*S167+T248*T167+U248*U167+V248*V167+W248*W167+X248*X167+Y248*Y167+Z248*Z167+AA248*AA167+AB248*AB167+AC248*AC167+AD248*AD167+AE248*AE167+AF248*AF167+AG248*AG167+AH248*AH167+AI248*AI167+AJ248*AJ167+AK248*AK167+AL248*AL167+AM248*AM167+AN248*AN167+AO248*AO167+AP248*AP167+AQ248*AQ167+AR248*AR167+AS248*AS167+AT248*AT167+AU248*AU167+AV248*AV167+AW248*AW167+AX248*AX167+AY248*AY167+AZ248*AZ167+BA248*BA167+BB248*BB167+BC248*BC167+BD248*BD167+BE248*BE167+BF248*BF167+BG248*BG167+BH248*BH167+BI248*BI167+BJ248*BJ167+BK248*BK167+BL248*BL167+BM248*BM167+BN248*BN167+BO248*BO167+BP248*BP167+BQ248*BQ167+BR248*BR167+BS248*BS167+BT248*BT167+BU248*BU167+BV248*BV167+BW248*BW167+BX248*BX167+BY248*BY167+BZ248*BZ167+CA248*CA167+CB248*CB167+CC248*CC167+CD248*CD167+CE248*CE167+CF248*CF167+CG248*CG167+CH248*CH167+CI248*CI167+CJ248*CJ167+CK248*CK167+CL248*CL167+CM248*CM167+CN248*CN167</f>
        <v>0</v>
      </c>
      <c r="CR167" s="2650">
        <f>E249*E167+F249*F167+G249*G167+H249*H167+I249*I167+J249*J167+K249*K167+L249*L167+M249*M167+N249*N167+O249*O167+P249*P167+Q249*Q167+R249*R167+S249*S167+T249*T167+U249*U167+V249*V167+W249*W167+X249*X167+Y249*Y167+Z249*Z167+AA249*AA167+AB249*AB167+AC249*AC167+AD249*AD167+AE249*AE167+AF249*AF167+AG249*AG167+AH249*AH167+AI249*AI167+AJ249*AJ167+AK249*AK167+AL249*AL167+AM249*AM167+AN249*AN167+AO249*AO167+AP249*AP167+AQ249*AQ167+AR249*AR167+AS249*AS167+AT249*AT167+AU249*AU167+AV249*AV167+AW249*AW167+AX249*AX167+AY249*AY167+AZ249*AZ167+BA249*BA167+BB249*BB167+BC249*BC167+BD249*BD167+BE249*BE167+BF249*BF167+BG249*BG167+BH249*BH167+BI249*BI167+BJ249*BJ167+BK249*BK167+BL249*BL167+BM249*BM167+BN249*BN167+BO249*BO167+BP249*BP167+BQ249*BQ167+BR249*BR167+BS249*BS167+BT249*BT167+BU249*BU167+BV249*BV167+BW249*BW167+BX249*BX167+BY249*BY167+BZ249*BZ167+CA249*CA167+CB249*CB167+CC249*CC167+CD249*CD167+CE249*CE167+CF249*CF167+CG249*CG167+CH249*CH167+CI249*CI167+CJ249*CJ167+CK249*CK167+CL249*CL167+CM249*CM167+CN249*CN167</f>
        <v>0</v>
      </c>
      <c r="CS167" s="2651">
        <f>E250*E167+F250*F167+G250*G167+H250*H167+I250*I167+J250*J167+K250*K167+L250*L167+M250*M167+N250*N167+O250*O167+P250*P167+Q250*Q167+R250*R167+S250*S167+T250*T167+U250*U167+V250*V167+W250*W167+X250*X167+Y250*Y167+Z250*Z167+AA250*AA167+AB250*AB167+AC250*AC167+AD250*AD167+AE250*AE167+AF250*AF167+AG250*AG167+AH250*AH167+AI250*AI167+AJ250*AJ167+AK250*AK167+AL250*AL167+AM250*AM167+AN250*AN167+AO250*AO167+AP250*AP167+AQ250*AQ167+AR250*AR167+AS250*AS167+AT250*AT167+AU250*AU167+AV250*AV167+AW250*AW167+AX250*AX167+AY250*AY167+AZ250*AZ167+BA250*BA167+BB250*BB167+BC250*BC167+BD250*BD167+BE250*BE167+BF250*BF167+BG250*BG167+BH250*BH167+BI250*BI167+BJ250*BJ167+BK250*BK167+BL250*BL167+BM250*BM167+BN250*BN167+BO250*BO167+BP250*BP167+BQ250*BQ167+BR250*BR167+BS250*BS167+BT250*BT167+BU250*BU167+BV250*BV167+BW250*BW167+BX250*BX167+BY250*BY167+BZ250*BZ167+CA250*CA167+CB250*CB167+CC250*CC167+CD250*CD167+CE250*CE167+CF250*CF167+CG250*CG167+CH250*CH167+CI250*CI167+CJ250*CJ167+CK250*CK167+CL250*CL167+CM250*CM167+CN250*CN167</f>
        <v>0</v>
      </c>
      <c r="CT167" s="2652">
        <f>E251*E167+F251*F167+G251*G167+H251*H167+I251*I167+J251*J167+K251*K167+L251*L167+M251*M167+N251*N167+O251*O167+P251*P167+Q251*Q167+R251*R167+S251*S167+T251*T167+U251*U167+V251*V167+W251*W167+X251*X167+Y251*Y167+Z251*Z167+AA251*AA167+AB251*AB167+AC251*AC167+AD251*AD167+AE251*AE167+AF251*AF167+AG251*AG167+AH251*AH167+AI251*AI167+AJ251*AJ167+AK251*AK167+AL251*AL167+AM251*AM167+AN251*AN167+AO251*AO167+AP251*AP167+AQ251*AQ167+AR251*AR167+AS251*AS167+AT251*AT167+AU251*AU167+AV251*AV167+AW251*AW167+AX251*AX167+AY251*AY167+AZ251*AZ167+BA251*BA167+BB251*BB167+BC251*BC167+BD251*BD167+BE251*BE167+BF251*BF167+BG251*BG167+BH251*BH167+BI251*BI167+BJ251*BJ167+BK251*BK167+BL251*BL167+BM251*BM167+BN251*BN167+BO251*BO167+BP251*BP167+BQ251*BQ167+BR251*BR167+BS251*BS167+BT251*BT167+BU251*BU167+BV251*BV167+BW251*BW167+BX251*BX167+BY251*BY167+BZ251*BZ167+CA251*CA167+CB251*CB167+CC251*CC167+CD251*CD167+CE251*CE167+CF251*CF167+CG251*CG167+CH251*CH167+CI251*CI167+CJ251*CJ167+CK251*CK167+CL251*CL167+CM251*CM167+CN251*CN167</f>
        <v>0</v>
      </c>
      <c r="CU167" s="2652">
        <f>E252*E167+F252*F167+G252*G167+H252*H167+I252*I167+J252*J167+K252*K167+L252*L167+M252*M167+N252*N167+O252*O167+P252*P167+Q252*Q167+R252*R167+S252*S167+T252*T167+U252*U167+V252*V167+W252*W167+X252*X167+Y252*Y167+Z252*Z167+AA252*AA167+AB252*AB167+AC252*AC167+AD252*AD167+AE252*AE167+AF252*AF167+AG252*AG167+AH252*AH167+AI252*AI167+AJ252*AJ167+AK252*AK167+AL252*AL167+AM252*AM167+AN252*AN167+AO252*AO167+AP252*AP167+AQ252*AQ167+AR252*AR167+AS252*AS167+AT252*AT167+AU252*AU167+AV252*AV167+AW252*AW167+AX252*AX167+AY252*AY167+AZ252*AZ167+BA252*BA167+BB252*BB167+BC252*BC167+BD252*BD167+BE252*BE167+BF252*BF167+BG252*BG167+BH252*BH167+BI252*BI167+BJ252*BJ167+BK252*BK167+BL252*BL167+BM252*BM167+BN252*BN167+BO252*BO167+BP252*BP167+BQ252*BQ167+BR252*BR167+BS252*BS167+BT252*BT167+BU252*BU167+BV252*BV167+BW252*BW167+BX252*BX167+BY252*BY167+BZ252*BZ167+CA252*CA167+CB252*CB167+CC252*CC167+CD252*CD167+CE252*CE167+CF252*CF167+CG252*CG167+CH252*CH167+CI252*CI167+CJ252*CJ167+CK252*CK167+CL252*CL167+CM252*CM167+CN252*CN167</f>
        <v>0</v>
      </c>
      <c r="CV167" s="2652">
        <f>E253*E167+F253*F167+G253*G167+H253*H167+I253*I167+J253*J167+K253*K167+L253*L167+M253*M167+N253*N167+O253*O167+P253*P167+Q253*Q167+R253*R167+S253*S167+T253*T167+U253*U167+V253*V167+W253*W167+X253*X167+Y253*Y167+Z253*Z167+AA253*AA167+AB253*AB167+AC253*AC167+AD253*AD167+AE253*AE167+AF253*AF167+AG253*AG167+AH253*AH167+AI253*AI167+AJ253*AJ167+AK253*AK167+AL253*AL167+AM253*AM167+AN253*AN167+AO253*AO167+AP253*AP167+AQ253*AQ167+AR253*AR167+AS253*AS167+AT253*AT167+AU253*AU167+AV253*AV167+AW253*AW167+AX253*AX167+AY253*AY167+AZ253*AZ167+BA253*BA167+BB253*BB167+BC253*BC167+BD253*BD167+BE253*BE167+BF253*BF167+BG253*BG167+BH253*BH167+BI253*BI167+BJ253*BJ167+BK253*BK167+BL253*BL167+BM253*BM167+BN253*BN167+BO253*BO167+BP253*BP167+BQ253*BQ167+BR253*BR167+BS253*BS167+BT253*BT167+BU253*BU167+BV253*BV167+BW253*BW167+BX253*BX167+BY253*BY167+BZ253*BZ167+CA253*CA167+CB253*CB167+CC253*CC167+CD253*CD167+CE253*CE167+CF253*CF167+CG253*CG167+CH253*CH167+CI253*CI167+CJ253*CJ167+CK253*CK167+CL253*CL167+CM253*CM167+CN253*CN167</f>
        <v>0</v>
      </c>
      <c r="CW167" s="2652">
        <f>E254*E167+F254*F167+G254*G167+H254*H167+I254*I167+J254*J167+K254*K167+L254*L167+M254*M167+N254*N167+O254*O167+P254*P167+Q254*Q167+R254*R167+S254*S167+T254*T167+U254*U167+V254*V167+W254*W167+X254*X167+Y254*Y167+Z254*Z167+AA254*AA167+AB254*AB167+AC254*AC167+AD254*AD167+AE254*AE167+AF254*AF167+AG254*AG167+AH254*AH167+AI254*AI167+AJ254*AJ167+AK254*AK167+AL254*AL167+AM254*AM167+AN254*AN167+AO254*AO167+AP254*AP167+AQ254*AQ167+AR254*AR167+AS254*AS167+AT254*AT167+AU254*AU167+AV254*AV167+AW254*AW167+AX254*AX167+AY254*AY167+AZ254*AZ167+BA254*BA167+BB254*BB167+BC254*BC167+BD254*BD167+BE254*BE167+BF254*BF167+BG254*BG167+BH254*BH167+BI254*BI167+BJ254*BJ167+BK254*BK167+BL254*BL167+BM254*BM167+BN254*BN167+BO254*BO167+BP254*BP167+BQ254*BQ167+BR254*BR167+BS254*BS167+BT254*BT167+BU254*BU167+BV254*BV167+BW254*BW167+BX254*BX167+BY254*BY167+BZ254*BZ167+CA254*CA167+CB254*CB167+CC254*CC167+CD254*CD167+CE254*CE167+CF254*CF167+CG254*CG167+CH254*CH167+CI254*CI167+CJ254*CJ167+CK254*CK167+CL254*CL167+CM254*CM167+CN254*CN167</f>
        <v>0</v>
      </c>
      <c r="CX167" s="2652">
        <f>E255*E167+F255*F167+G255*G167+H255*H167+I255*I167+J255*J167+K255*K167+L255*L167+M255*M167+N255*N167+O255*O167+P255*P167+Q255*Q167+R255*R167+S255*S167+T255*T167+U255*U167+V255*V167+W255*W167+X255*X167+Y255*Y167+Z255*Z167+AA255*AA167+AB255*AB167+AC255*AC167+AD255*AD167+AE255*AE167+AF255*AF167+AG255*AG167+AH255*AH167+AI255*AI167+AJ255*AJ167+AK255*AK167+AL255*AL167+AM255*AM167+AN255*AN167+AO255*AO167+AP255*AP167+AQ255*AQ167+AR255*AR167+AS255*AS167+AT255*AT167+AU255*AU167+AV255*AV167+AW255*AW167+AX255*AX167+AY255*AY167+AZ255*AZ167+BA255*BA167+BB255*BB167+BC255*BC167+BD255*BD167+BE255*BE167+BF255*BF167+BG255*BG167+BH255*BH167+BI255*BI167+BJ255*BJ167+BK255*BK167+BL255*BL167+BM255*BM167+BN255*BN167+BO255*BO167+BP255*BP167+BQ255*BQ167+BR255*BR167+BS255*BS167+BT255*BT167+BU255*BU167+BV255*BV167+BW255*BW167+BX255*BX167+BY255*BY167+BZ255*BZ167+CA255*CA167+CB255*CB167+CC255*CC167+CD255*CD167+CE255*CE167+CF255*CF167+CG255*CG167+CH255*CH167+CI255*CI167+CJ255*CJ167+CK255*CK167+CL255*CL167+CM255*CM167+CN255*CN167</f>
        <v>0</v>
      </c>
      <c r="CY167" s="2652">
        <f>E256*E167+F256*F167+G256*G167+H256*H167+I256*I167+J256*J167+K256*K167+L256*L167+M256*M167+N256*N167+O256*O167+P256*P167+Q256*Q167+R256*R167+S256*S167+T256*T167+U256*U167+V256*V167+W256*W167+X256*X167+Y256*Y167+Z256*Z167+AA256*AA167+AB256*AB167+AC256*AC167+AD256*AD167+AE256*AE167+AF256*AF167+AG256*AG167+AH256*AH167+AI256*AI167+AJ256*AJ167+AK256*AK167+AL256*AL167+AM256*AM167+AN256*AN167+AO256*AO167+AP256*AP167+AQ256*AQ167+AR256*AR167+AS256*AS167+AT256*AT167+AU256*AU167+AV256*AV167+AW256*AW167+AX256*AX167+AY256*AY167+AZ256*AZ167+BA256*BA167+BB256*BB167+BC256*BC167+BD256*BD167+BE256*BE167+BF256*BF167+BG256*BG167+BH256*BH167+BI256*BI167+BJ256*BJ167+BK256*BK167+BL256*BL167+BM256*BM167+BN256*BN167+BO256*BO167+BP256*BP167+BQ256*BQ167+BR256*BR167+BS256*BS167+BT256*BT167+BU256*BU167+BV256*BV167+BW256*BW167+BX256*BX167+BY256*BY167+BZ256*BZ167+CA256*CA167+CB256*CB167+CC256*CC167+CD256*CD167+CE256*CE167+CF256*CF167+CG256*CG167+CH256*CH167+CI256*CI167+CJ256*CJ167+CK256*CK167+CL256*CL167+CM256*CM167+CN256*CN167</f>
        <v>0</v>
      </c>
      <c r="CZ167" s="2652">
        <f>E257*E167+F257*F167+G257*G167+H257*H167+I257*I167+J257*J167+K257*K167+L257*L167+M257*M167+N257*N167+O257*O167+P257*P167+Q257*Q167+R257*R167+S257*S167+T257*T167+U257*U167+V257*V167+W257*W167+X257*X167+Y257*Y167+Z257*Z167+AA257*AA167+AB257*AB167+AC257*AC167+AD257*AD167+AE257*AE167+AF257*AF167+AG257*AG167+AH257*AH167+AI257*AI167+AJ257*AJ167+AK257*AK167+AL257*AL167+AM257*AM167+AN257*AN167+AO257*AO167+AP257*AP167+AQ257*AQ167+AR257*AR167+AS257*AS167+AT257*AT167+AU257*AU167+AV257*AV167+AW257*AW167+AX257*AX167+AY257*AY167+AZ257*AZ167+BA257*BA167+BB257*BB167+BC257*BC167+BD257*BD167+BE257*BE167+BF257*BF167+BG257*BG167+BH257*BH167+BI257*BI167+BJ257*BJ167+BK257*BK167+BL257*BL167+BM257*BM167+BN257*BN167+BO257*BO167+BP257*BP167+BQ257*BQ167+BR257*BR167+BS257*BS167+BT257*BT167+BU257*BU167+BV257*BV167+BW257*BW167+BX257*BX167+BY257*BY167+BZ257*BZ167+CA257*CA167+CB257*CB167+CC257*CC167+CD257*CD167+CE257*CE167+CF257*CF167+CG257*CG167+CH257*CH167+CI257*CI167+CJ257*CJ167+CK257*CK167+CL257*CL167+CM257*CM167+CN257*CN167</f>
        <v>0</v>
      </c>
      <c r="DA167" s="2652">
        <f>E258*E167+F258*F167+G258*G167+H258*H167+I258*I167+J258*J167+K258*K167+L258*L167+M258*M167+N258*N167+O258*O167+P258*P167+Q258*Q167+R258*R167+S258*S167+T258*T167+U258*U167+V258*V167+W258*W167+X258*X167+Y258*Y167+Z258*Z167+AA258*AA167+AB258*AB167+AC258*AC167+AD258*AD167+AE258*AE167+AF258*AF167+AG258*AG167+AH258*AH167+AI258*AI167+AJ258*AJ167+AK258*AK167+AL258*AL167+AM258*AM167+AN258*AN167+AO258*AO167+AP258*AP167+AQ258*AQ167+AR258*AR167+AS258*AS167+AT258*AT167+AU258*AU167+AV258*AV167+AW258*AW167+AX258*AX167+AY258*AY167+AZ258*AZ167+BA258*BA167+BB258*BB167+BC258*BC167+BD258*BD167+BE258*BE167+BF258*BF167+BG258*BG167+BH258*BH167+BI258*BI167+BJ258*BJ167+BK258*BK167+BL258*BL167+BM258*BM167+BN258*BN167+BO258*BO167+BP258*BP167+BQ258*BQ167+BR258*BR167+BS258*BS167+BT258*BT167+BU258*BU167+BV258*BV167+BW258*BW167+BX258*BX167+BY258*BY167+BZ258*BZ167+CA258*CA167+CB258*CB167+CC258*CC167+CD258*CD167+CE258*CE167+CF258*CF167+CG258*CG167+CH258*CH167+CI258*CI167+CJ258*CJ167+CK258*CK167+CL258*CL167+CM258*CM167+CN258*CN167</f>
        <v>0</v>
      </c>
    </row>
    <row r="168" spans="2:105" ht="18" x14ac:dyDescent="0.25">
      <c r="B168" s="2100">
        <v>35</v>
      </c>
      <c r="C168" s="2101" t="s">
        <v>296</v>
      </c>
      <c r="D168" s="2102" t="s">
        <v>2160</v>
      </c>
      <c r="E168" s="2679">
        <f>1</f>
        <v>1</v>
      </c>
      <c r="F168" s="2679">
        <f>0</f>
        <v>0</v>
      </c>
      <c r="G168" s="2679">
        <f>0</f>
        <v>0</v>
      </c>
      <c r="H168" s="2679">
        <f>0</f>
        <v>0</v>
      </c>
      <c r="I168" s="2679">
        <f>0</f>
        <v>0</v>
      </c>
      <c r="J168" s="2679">
        <f>0</f>
        <v>0</v>
      </c>
      <c r="K168" s="2679">
        <f>0</f>
        <v>0</v>
      </c>
      <c r="L168" s="2679">
        <f>0</f>
        <v>0</v>
      </c>
      <c r="M168" s="2679">
        <f>0</f>
        <v>0</v>
      </c>
      <c r="N168" s="2679">
        <f>0</f>
        <v>0</v>
      </c>
      <c r="O168" s="2679">
        <f>0</f>
        <v>0</v>
      </c>
      <c r="P168" s="2679">
        <f>0</f>
        <v>0</v>
      </c>
      <c r="Q168" s="2679">
        <f>-1</f>
        <v>-1</v>
      </c>
      <c r="R168" s="2679">
        <f>0</f>
        <v>0</v>
      </c>
      <c r="S168" s="2679">
        <f>0</f>
        <v>0</v>
      </c>
      <c r="T168" s="2679">
        <f>0</f>
        <v>0</v>
      </c>
      <c r="U168" s="2679">
        <f>0</f>
        <v>0</v>
      </c>
      <c r="V168" s="2679">
        <f>0</f>
        <v>0</v>
      </c>
      <c r="W168" s="2679">
        <f>0</f>
        <v>0</v>
      </c>
      <c r="X168" s="2679">
        <f>0</f>
        <v>0</v>
      </c>
      <c r="Y168" s="2679">
        <f>0</f>
        <v>0</v>
      </c>
      <c r="Z168" s="2679">
        <f>0</f>
        <v>0</v>
      </c>
      <c r="AA168" s="2679">
        <f>0</f>
        <v>0</v>
      </c>
      <c r="AB168" s="2679">
        <f>0</f>
        <v>0</v>
      </c>
      <c r="AC168" s="2741">
        <f>0</f>
        <v>0</v>
      </c>
      <c r="AD168" s="2679">
        <f>0</f>
        <v>0</v>
      </c>
      <c r="AE168" s="2728">
        <f>0</f>
        <v>0</v>
      </c>
      <c r="AF168" s="2728">
        <f>0</f>
        <v>0</v>
      </c>
      <c r="AG168" s="2728">
        <f>0</f>
        <v>0</v>
      </c>
      <c r="AH168" s="2679">
        <f>0</f>
        <v>0</v>
      </c>
      <c r="AI168" s="2679">
        <f>0</f>
        <v>0</v>
      </c>
      <c r="AJ168" s="2679">
        <f>0</f>
        <v>0</v>
      </c>
      <c r="AK168" s="2679">
        <f>0</f>
        <v>0</v>
      </c>
      <c r="AL168" s="2679">
        <f>0</f>
        <v>0</v>
      </c>
      <c r="AM168" s="2728">
        <f>0</f>
        <v>0</v>
      </c>
      <c r="AN168" s="2679">
        <f>0</f>
        <v>0</v>
      </c>
      <c r="AO168" s="2679">
        <f>0</f>
        <v>0</v>
      </c>
      <c r="AP168" s="2679">
        <f>0</f>
        <v>0</v>
      </c>
      <c r="AQ168" s="2679">
        <f>0</f>
        <v>0</v>
      </c>
      <c r="AR168" s="2679">
        <f>0</f>
        <v>0</v>
      </c>
      <c r="AS168" s="2679">
        <f>0</f>
        <v>0</v>
      </c>
      <c r="AT168" s="2679">
        <f>0</f>
        <v>0</v>
      </c>
      <c r="AU168" s="2819">
        <f>i_CIT_PHA-i_CIT_VFA</f>
        <v>-4.1999999999999982E-2</v>
      </c>
      <c r="AV168" s="2728">
        <f>0</f>
        <v>0</v>
      </c>
      <c r="AW168" s="2728">
        <f>0</f>
        <v>0</v>
      </c>
      <c r="AX168" s="2728">
        <f>0</f>
        <v>0</v>
      </c>
      <c r="AY168" s="2728">
        <f>0</f>
        <v>0</v>
      </c>
      <c r="AZ168" s="2728">
        <f>0</f>
        <v>0</v>
      </c>
      <c r="BA168" s="2728">
        <f>0</f>
        <v>0</v>
      </c>
      <c r="BB168" s="2679">
        <f>0</f>
        <v>0</v>
      </c>
      <c r="BC168" s="2679">
        <f>0</f>
        <v>0</v>
      </c>
      <c r="BD168" s="2679">
        <f>0</f>
        <v>0</v>
      </c>
      <c r="BE168" s="2679">
        <f>0</f>
        <v>0</v>
      </c>
      <c r="BF168" s="2679">
        <f>0</f>
        <v>0</v>
      </c>
      <c r="BG168" s="2679">
        <f>0</f>
        <v>0</v>
      </c>
      <c r="BH168" s="2679">
        <f>0</f>
        <v>0</v>
      </c>
      <c r="BI168" s="2679">
        <f>0</f>
        <v>0</v>
      </c>
      <c r="BJ168" s="2679">
        <f>0</f>
        <v>0</v>
      </c>
      <c r="BK168" s="2679">
        <f>0</f>
        <v>0</v>
      </c>
      <c r="BL168" s="2679">
        <f>0</f>
        <v>0</v>
      </c>
      <c r="BM168" s="2679">
        <f>0</f>
        <v>0</v>
      </c>
      <c r="BN168" s="2679">
        <f>0</f>
        <v>0</v>
      </c>
      <c r="BO168" s="2679">
        <f>0</f>
        <v>0</v>
      </c>
      <c r="BP168" s="2679">
        <f>0</f>
        <v>0</v>
      </c>
      <c r="BQ168" s="2679">
        <f>0</f>
        <v>0</v>
      </c>
      <c r="BR168" s="2679">
        <f>0</f>
        <v>0</v>
      </c>
      <c r="BS168" s="2679">
        <f>0</f>
        <v>0</v>
      </c>
      <c r="BT168" s="2679">
        <f>0</f>
        <v>0</v>
      </c>
      <c r="BU168" s="2679">
        <f>0</f>
        <v>0</v>
      </c>
      <c r="BV168" s="2741">
        <f>0</f>
        <v>0</v>
      </c>
      <c r="BW168" s="2741">
        <f>0</f>
        <v>0</v>
      </c>
      <c r="BX168" s="2741">
        <f>0</f>
        <v>0</v>
      </c>
      <c r="BY168" s="2741">
        <f>0</f>
        <v>0</v>
      </c>
      <c r="BZ168" s="2679">
        <f>0</f>
        <v>0</v>
      </c>
      <c r="CA168" s="2679">
        <f>0</f>
        <v>0</v>
      </c>
      <c r="CB168" s="2679">
        <f>0</f>
        <v>0</v>
      </c>
      <c r="CC168" s="2679">
        <f>0</f>
        <v>0</v>
      </c>
      <c r="CD168" s="2679">
        <f>0</f>
        <v>0</v>
      </c>
      <c r="CE168" s="2679">
        <f>0</f>
        <v>0</v>
      </c>
      <c r="CF168" s="2679">
        <f>0</f>
        <v>0</v>
      </c>
      <c r="CG168" s="2679">
        <f>0</f>
        <v>0</v>
      </c>
      <c r="CH168" s="2679">
        <f>0</f>
        <v>0</v>
      </c>
      <c r="CI168" s="2679">
        <f>0</f>
        <v>0</v>
      </c>
      <c r="CJ168" s="2679">
        <f>0</f>
        <v>0</v>
      </c>
      <c r="CK168" s="2679">
        <f>0</f>
        <v>0</v>
      </c>
      <c r="CL168" s="2679">
        <f>0</f>
        <v>0</v>
      </c>
      <c r="CM168" s="2679">
        <f>0</f>
        <v>0</v>
      </c>
      <c r="CN168" s="2679">
        <f>0</f>
        <v>0</v>
      </c>
      <c r="CO168" s="2830">
        <f>b_STC_T*η_bPHA_ana*X_GAO*M_inhSO2_KO2_CASTO*M_inhSNO3_KNO3_CASTO*M_inhSNO2_KNO2_CASTO*M_RsatXPHA_XGAO_KPHA</f>
        <v>3.4871672246134239E-5</v>
      </c>
      <c r="CQ168" s="2650">
        <f>E248*E168+F248*F168+G248*G168+H248*H168+I248*I168+J248*J168+K248*K168+L248*L168+M248*M168+N248*N168+O248*O168+P248*P168+Q248*Q168+R248*R168+S248*S168+T248*T168+U248*U168+V248*V168+W248*W168+X248*X168+Y248*Y168+Z248*Z168+AA248*AA168+AB248*AB168+AC248*AC168+AD248*AD168+AE248*AE168+AF248*AF168+AG248*AG168+AH248*AH168+AI248*AI168+AJ248*AJ168+AK248*AK168+AL248*AL168+AM248*AM168+AN248*AN168+AO248*AO168+AP248*AP168+AQ248*AQ168+AR248*AR168+AS248*AS168+AT248*AT168+AU248*AU168+AV248*AV168+AW248*AW168+AX248*AX168+AY248*AY168+AZ248*AZ168+BA248*BA168+BB248*BB168+BC248*BC168+BD248*BD168+BE248*BE168+BF248*BF168+BG248*BG168+BH248*BH168+BI248*BI168+BJ248*BJ168+BK248*BK168+BL248*BL168+BM248*BM168+BN248*BN168+BO248*BO168+BP248*BP168+BQ248*BQ168+BR248*BR168+BS248*BS168+BT248*BT168+BU248*BU168+BV248*BV168+BW248*BW168+BX248*BX168+BY248*BY168+BZ248*BZ168+CA248*CA168+CB248*CB168+CC248*CC168+CD248*CD168+CE248*CE168+CF248*CF168+CG248*CG168+CH248*CH168+CI248*CI168+CJ248*CJ168+CK248*CK168+CL248*CL168+CM248*CM168+CN248*CN168</f>
        <v>0</v>
      </c>
      <c r="CR168" s="2650">
        <f>E249*E168+F249*F168+G249*G168+H249*H168+I249*I168+J249*J168+K249*K168+L249*L168+M249*M168+N249*N168+O249*O168+P249*P168+Q249*Q168+R249*R168+S249*S168+T249*T168+U249*U168+V249*V168+W249*W168+X249*X168+Y249*Y168+Z249*Z168+AA249*AA168+AB249*AB168+AC249*AC168+AD249*AD168+AE249*AE168+AF249*AF168+AG249*AG168+AH249*AH168+AI249*AI168+AJ249*AJ168+AK249*AK168+AL249*AL168+AM249*AM168+AN249*AN168+AO249*AO168+AP249*AP168+AQ249*AQ168+AR249*AR168+AS249*AS168+AT249*AT168+AU249*AU168+AV249*AV168+AW249*AW168+AX249*AX168+AY249*AY168+AZ249*AZ168+BA249*BA168+BB249*BB168+BC249*BC168+BD249*BD168+BE249*BE168+BF249*BF168+BG249*BG168+BH249*BH168+BI249*BI168+BJ249*BJ168+BK249*BK168+BL249*BL168+BM249*BM168+BN249*BN168+BO249*BO168+BP249*BP168+BQ249*BQ168+BR249*BR168+BS249*BS168+BT249*BT168+BU249*BU168+BV249*BV168+BW249*BW168+BX249*BX168+BY249*BY168+BZ249*BZ168+CA249*CA168+CB249*CB168+CC249*CC168+CD249*CD168+CE249*CE168+CF249*CF168+CG249*CG168+CH249*CH168+CI249*CI168+CJ249*CJ168+CK249*CK168+CL249*CL168+CM249*CM168+CN249*CN168</f>
        <v>0</v>
      </c>
      <c r="CS168" s="2651">
        <f>E250*E168+F250*F168+G250*G168+H250*H168+I250*I168+J250*J168+K250*K168+L250*L168+M250*M168+N250*N168+O250*O168+P250*P168+Q250*Q168+R250*R168+S250*S168+T250*T168+U250*U168+V250*V168+W250*W168+X250*X168+Y250*Y168+Z250*Z168+AA250*AA168+AB250*AB168+AC250*AC168+AD250*AD168+AE250*AE168+AF250*AF168+AG250*AG168+AH250*AH168+AI250*AI168+AJ250*AJ168+AK250*AK168+AL250*AL168+AM250*AM168+AN250*AN168+AO250*AO168+AP250*AP168+AQ250*AQ168+AR250*AR168+AS250*AS168+AT250*AT168+AU250*AU168+AV250*AV168+AW250*AW168+AX250*AX168+AY250*AY168+AZ250*AZ168+BA250*BA168+BB250*BB168+BC250*BC168+BD250*BD168+BE250*BE168+BF250*BF168+BG250*BG168+BH250*BH168+BI250*BI168+BJ250*BJ168+BK250*BK168+BL250*BL168+BM250*BM168+BN250*BN168+BO250*BO168+BP250*BP168+BQ250*BQ168+BR250*BR168+BS250*BS168+BT250*BT168+BU250*BU168+BV250*BV168+BW250*BW168+BX250*BX168+BY250*BY168+BZ250*BZ168+CA250*CA168+CB250*CB168+CC250*CC168+CD250*CD168+CE250*CE168+CF250*CF168+CG250*CG168+CH250*CH168+CI250*CI168+CJ250*CJ168+CK250*CK168+CL250*CL168+CM250*CM168+CN250*CN168</f>
        <v>0</v>
      </c>
      <c r="CT168" s="2652">
        <f>E251*E168+F251*F168+G251*G168+H251*H168+I251*I168+J251*J168+K251*K168+L251*L168+M251*M168+N251*N168+O251*O168+P251*P168+Q251*Q168+R251*R168+S251*S168+T251*T168+U251*U168+V251*V168+W251*W168+X251*X168+Y251*Y168+Z251*Z168+AA251*AA168+AB251*AB168+AC251*AC168+AD251*AD168+AE251*AE168+AF251*AF168+AG251*AG168+AH251*AH168+AI251*AI168+AJ251*AJ168+AK251*AK168+AL251*AL168+AM251*AM168+AN251*AN168+AO251*AO168+AP251*AP168+AQ251*AQ168+AR251*AR168+AS251*AS168+AT251*AT168+AU251*AU168+AV251*AV168+AW251*AW168+AX251*AX168+AY251*AY168+AZ251*AZ168+BA251*BA168+BB251*BB168+BC251*BC168+BD251*BD168+BE251*BE168+BF251*BF168+BG251*BG168+BH251*BH168+BI251*BI168+BJ251*BJ168+BK251*BK168+BL251*BL168+BM251*BM168+BN251*BN168+BO251*BO168+BP251*BP168+BQ251*BQ168+BR251*BR168+BS251*BS168+BT251*BT168+BU251*BU168+BV251*BV168+BW251*BW168+BX251*BX168+BY251*BY168+BZ251*BZ168+CA251*CA168+CB251*CB168+CC251*CC168+CD251*CD168+CE251*CE168+CF251*CF168+CG251*CG168+CH251*CH168+CI251*CI168+CJ251*CJ168+CK251*CK168+CL251*CL168+CM251*CM168+CN251*CN168</f>
        <v>0</v>
      </c>
      <c r="CU168" s="2652">
        <f>E252*E168+F252*F168+G252*G168+H252*H168+I252*I168+J252*J168+K252*K168+L252*L168+M252*M168+N252*N168+O252*O168+P252*P168+Q252*Q168+R252*R168+S252*S168+T252*T168+U252*U168+V252*V168+W252*W168+X252*X168+Y252*Y168+Z252*Z168+AA252*AA168+AB252*AB168+AC252*AC168+AD252*AD168+AE252*AE168+AF252*AF168+AG252*AG168+AH252*AH168+AI252*AI168+AJ252*AJ168+AK252*AK168+AL252*AL168+AM252*AM168+AN252*AN168+AO252*AO168+AP252*AP168+AQ252*AQ168+AR252*AR168+AS252*AS168+AT252*AT168+AU252*AU168+AV252*AV168+AW252*AW168+AX252*AX168+AY252*AY168+AZ252*AZ168+BA252*BA168+BB252*BB168+BC252*BC168+BD252*BD168+BE252*BE168+BF252*BF168+BG252*BG168+BH252*BH168+BI252*BI168+BJ252*BJ168+BK252*BK168+BL252*BL168+BM252*BM168+BN252*BN168+BO252*BO168+BP252*BP168+BQ252*BQ168+BR252*BR168+BS252*BS168+BT252*BT168+BU252*BU168+BV252*BV168+BW252*BW168+BX252*BX168+BY252*BY168+BZ252*BZ168+CA252*CA168+CB252*CB168+CC252*CC168+CD252*CD168+CE252*CE168+CF252*CF168+CG252*CG168+CH252*CH168+CI252*CI168+CJ252*CJ168+CK252*CK168+CL252*CL168+CM252*CM168+CN252*CN168</f>
        <v>0</v>
      </c>
      <c r="CV168" s="2652">
        <f>E253*E168+F253*F168+G253*G168+H253*H168+I253*I168+J253*J168+K253*K168+L253*L168+M253*M168+N253*N168+O253*O168+P253*P168+Q253*Q168+R253*R168+S253*S168+T253*T168+U253*U168+V253*V168+W253*W168+X253*X168+Y253*Y168+Z253*Z168+AA253*AA168+AB253*AB168+AC253*AC168+AD253*AD168+AE253*AE168+AF253*AF168+AG253*AG168+AH253*AH168+AI253*AI168+AJ253*AJ168+AK253*AK168+AL253*AL168+AM253*AM168+AN253*AN168+AO253*AO168+AP253*AP168+AQ253*AQ168+AR253*AR168+AS253*AS168+AT253*AT168+AU253*AU168+AV253*AV168+AW253*AW168+AX253*AX168+AY253*AY168+AZ253*AZ168+BA253*BA168+BB253*BB168+BC253*BC168+BD253*BD168+BE253*BE168+BF253*BF168+BG253*BG168+BH253*BH168+BI253*BI168+BJ253*BJ168+BK253*BK168+BL253*BL168+BM253*BM168+BN253*BN168+BO253*BO168+BP253*BP168+BQ253*BQ168+BR253*BR168+BS253*BS168+BT253*BT168+BU253*BU168+BV253*BV168+BW253*BW168+BX253*BX168+BY253*BY168+BZ253*BZ168+CA253*CA168+CB253*CB168+CC253*CC168+CD253*CD168+CE253*CE168+CF253*CF168+CG253*CG168+CH253*CH168+CI253*CI168+CJ253*CJ168+CK253*CK168+CL253*CL168+CM253*CM168+CN253*CN168</f>
        <v>0</v>
      </c>
      <c r="CW168" s="2652">
        <f>E254*E168+F254*F168+G254*G168+H254*H168+I254*I168+J254*J168+K254*K168+L254*L168+M254*M168+N254*N168+O254*O168+P254*P168+Q254*Q168+R254*R168+S254*S168+T254*T168+U254*U168+V254*V168+W254*W168+X254*X168+Y254*Y168+Z254*Z168+AA254*AA168+AB254*AB168+AC254*AC168+AD254*AD168+AE254*AE168+AF254*AF168+AG254*AG168+AH254*AH168+AI254*AI168+AJ254*AJ168+AK254*AK168+AL254*AL168+AM254*AM168+AN254*AN168+AO254*AO168+AP254*AP168+AQ254*AQ168+AR254*AR168+AS254*AS168+AT254*AT168+AU254*AU168+AV254*AV168+AW254*AW168+AX254*AX168+AY254*AY168+AZ254*AZ168+BA254*BA168+BB254*BB168+BC254*BC168+BD254*BD168+BE254*BE168+BF254*BF168+BG254*BG168+BH254*BH168+BI254*BI168+BJ254*BJ168+BK254*BK168+BL254*BL168+BM254*BM168+BN254*BN168+BO254*BO168+BP254*BP168+BQ254*BQ168+BR254*BR168+BS254*BS168+BT254*BT168+BU254*BU168+BV254*BV168+BW254*BW168+BX254*BX168+BY254*BY168+BZ254*BZ168+CA254*CA168+CB254*CB168+CC254*CC168+CD254*CD168+CE254*CE168+CF254*CF168+CG254*CG168+CH254*CH168+CI254*CI168+CJ254*CJ168+CK254*CK168+CL254*CL168+CM254*CM168+CN254*CN168</f>
        <v>0</v>
      </c>
      <c r="CX168" s="2652">
        <f>E255*E168+F255*F168+G255*G168+H255*H168+I255*I168+J255*J168+K255*K168+L255*L168+M255*M168+N255*N168+O255*O168+P255*P168+Q255*Q168+R255*R168+S255*S168+T255*T168+U255*U168+V255*V168+W255*W168+X255*X168+Y255*Y168+Z255*Z168+AA255*AA168+AB255*AB168+AC255*AC168+AD255*AD168+AE255*AE168+AF255*AF168+AG255*AG168+AH255*AH168+AI255*AI168+AJ255*AJ168+AK255*AK168+AL255*AL168+AM255*AM168+AN255*AN168+AO255*AO168+AP255*AP168+AQ255*AQ168+AR255*AR168+AS255*AS168+AT255*AT168+AU255*AU168+AV255*AV168+AW255*AW168+AX255*AX168+AY255*AY168+AZ255*AZ168+BA255*BA168+BB255*BB168+BC255*BC168+BD255*BD168+BE255*BE168+BF255*BF168+BG255*BG168+BH255*BH168+BI255*BI168+BJ255*BJ168+BK255*BK168+BL255*BL168+BM255*BM168+BN255*BN168+BO255*BO168+BP255*BP168+BQ255*BQ168+BR255*BR168+BS255*BS168+BT255*BT168+BU255*BU168+BV255*BV168+BW255*BW168+BX255*BX168+BY255*BY168+BZ255*BZ168+CA255*CA168+CB255*CB168+CC255*CC168+CD255*CD168+CE255*CE168+CF255*CF168+CG255*CG168+CH255*CH168+CI255*CI168+CJ255*CJ168+CK255*CK168+CL255*CL168+CM255*CM168+CN255*CN168</f>
        <v>0</v>
      </c>
      <c r="CY168" s="2652">
        <f>E256*E168+F256*F168+G256*G168+H256*H168+I256*I168+J256*J168+K256*K168+L256*L168+M256*M168+N256*N168+O256*O168+P256*P168+Q256*Q168+R256*R168+S256*S168+T256*T168+U256*U168+V256*V168+W256*W168+X256*X168+Y256*Y168+Z256*Z168+AA256*AA168+AB256*AB168+AC256*AC168+AD256*AD168+AE256*AE168+AF256*AF168+AG256*AG168+AH256*AH168+AI256*AI168+AJ256*AJ168+AK256*AK168+AL256*AL168+AM256*AM168+AN256*AN168+AO256*AO168+AP256*AP168+AQ256*AQ168+AR256*AR168+AS256*AS168+AT256*AT168+AU256*AU168+AV256*AV168+AW256*AW168+AX256*AX168+AY256*AY168+AZ256*AZ168+BA256*BA168+BB256*BB168+BC256*BC168+BD256*BD168+BE256*BE168+BF256*BF168+BG256*BG168+BH256*BH168+BI256*BI168+BJ256*BJ168+BK256*BK168+BL256*BL168+BM256*BM168+BN256*BN168+BO256*BO168+BP256*BP168+BQ256*BQ168+BR256*BR168+BS256*BS168+BT256*BT168+BU256*BU168+BV256*BV168+BW256*BW168+BX256*BX168+BY256*BY168+BZ256*BZ168+CA256*CA168+CB256*CB168+CC256*CC168+CD256*CD168+CE256*CE168+CF256*CF168+CG256*CG168+CH256*CH168+CI256*CI168+CJ256*CJ168+CK256*CK168+CL256*CL168+CM256*CM168+CN256*CN168</f>
        <v>0</v>
      </c>
      <c r="CZ168" s="2652">
        <f>E257*E168+F257*F168+G257*G168+H257*H168+I257*I168+J257*J168+K257*K168+L257*L168+M257*M168+N257*N168+O257*O168+P257*P168+Q257*Q168+R257*R168+S257*S168+T257*T168+U257*U168+V257*V168+W257*W168+X257*X168+Y257*Y168+Z257*Z168+AA257*AA168+AB257*AB168+AC257*AC168+AD257*AD168+AE257*AE168+AF257*AF168+AG257*AG168+AH257*AH168+AI257*AI168+AJ257*AJ168+AK257*AK168+AL257*AL168+AM257*AM168+AN257*AN168+AO257*AO168+AP257*AP168+AQ257*AQ168+AR257*AR168+AS257*AS168+AT257*AT168+AU257*AU168+AV257*AV168+AW257*AW168+AX257*AX168+AY257*AY168+AZ257*AZ168+BA257*BA168+BB257*BB168+BC257*BC168+BD257*BD168+BE257*BE168+BF257*BF168+BG257*BG168+BH257*BH168+BI257*BI168+BJ257*BJ168+BK257*BK168+BL257*BL168+BM257*BM168+BN257*BN168+BO257*BO168+BP257*BP168+BQ257*BQ168+BR257*BR168+BS257*BS168+BT257*BT168+BU257*BU168+BV257*BV168+BW257*BW168+BX257*BX168+BY257*BY168+BZ257*BZ168+CA257*CA168+CB257*CB168+CC257*CC168+CD257*CD168+CE257*CE168+CF257*CF168+CG257*CG168+CH257*CH168+CI257*CI168+CJ257*CJ168+CK257*CK168+CL257*CL168+CM257*CM168+CN257*CN168</f>
        <v>0</v>
      </c>
      <c r="DA168" s="2652">
        <f>E258*E168+F258*F168+G258*G168+H258*H168+I258*I168+J258*J168+K258*K168+L258*L168+M258*M168+N258*N168+O258*O168+P258*P168+Q258*Q168+R258*R168+S258*S168+T258*T168+U258*U168+V258*V168+W258*W168+X258*X168+Y258*Y168+Z258*Z168+AA258*AA168+AB258*AB168+AC258*AC168+AD258*AD168+AE258*AE168+AF258*AF168+AG258*AG168+AH258*AH168+AI258*AI168+AJ258*AJ168+AK258*AK168+AL258*AL168+AM258*AM168+AN258*AN168+AO258*AO168+AP258*AP168+AQ258*AQ168+AR258*AR168+AS258*AS168+AT258*AT168+AU258*AU168+AV258*AV168+AW258*AW168+AX258*AX168+AY258*AY168+AZ258*AZ168+BA258*BA168+BB258*BB168+BC258*BC168+BD258*BD168+BE258*BE168+BF258*BF168+BG258*BG168+BH258*BH168+BI258*BI168+BJ258*BJ168+BK258*BK168+BL258*BL168+BM258*BM168+BN258*BN168+BO258*BO168+BP258*BP168+BQ258*BQ168+BR258*BR168+BS258*BS168+BT258*BT168+BU258*BU168+BV258*BV168+BW258*BW168+BX258*BX168+BY258*BY168+BZ258*BZ168+CA258*CA168+CB258*CB168+CC258*CC168+CD258*CD168+CE258*CE168+CF258*CF168+CG258*CG168+CH258*CH168+CI258*CI168+CJ258*CJ168+CK258*CK168+CL258*CL168+CM258*CM168+CN258*CN168</f>
        <v>0</v>
      </c>
    </row>
    <row r="169" spans="2:105" ht="18" x14ac:dyDescent="0.25">
      <c r="B169" s="2113">
        <v>36</v>
      </c>
      <c r="C169" s="2114" t="s">
        <v>297</v>
      </c>
      <c r="D169" s="2115" t="s">
        <v>2163</v>
      </c>
      <c r="E169" s="2680">
        <f>0</f>
        <v>0</v>
      </c>
      <c r="F169" s="2680">
        <f>0</f>
        <v>0</v>
      </c>
      <c r="G169" s="2680">
        <f>0</f>
        <v>0</v>
      </c>
      <c r="H169" s="2680">
        <f>0</f>
        <v>0</v>
      </c>
      <c r="I169" s="2680">
        <f>0</f>
        <v>0</v>
      </c>
      <c r="J169" s="2680">
        <f>0</f>
        <v>0</v>
      </c>
      <c r="K169" s="2680">
        <f>0</f>
        <v>0</v>
      </c>
      <c r="L169" s="2680">
        <f>0</f>
        <v>0</v>
      </c>
      <c r="M169" s="2680">
        <f>0</f>
        <v>0</v>
      </c>
      <c r="N169" s="2680">
        <f>0</f>
        <v>0</v>
      </c>
      <c r="O169" s="2680">
        <f>0</f>
        <v>0</v>
      </c>
      <c r="P169" s="2680">
        <f>0</f>
        <v>0</v>
      </c>
      <c r="Q169" s="2680">
        <f>0</f>
        <v>0</v>
      </c>
      <c r="R169" s="2680">
        <f>0</f>
        <v>0</v>
      </c>
      <c r="S169" s="2680">
        <f>0</f>
        <v>0</v>
      </c>
      <c r="T169" s="2680">
        <f>0</f>
        <v>0</v>
      </c>
      <c r="U169" s="2680">
        <f>0</f>
        <v>0</v>
      </c>
      <c r="V169" s="2680">
        <f>0</f>
        <v>0</v>
      </c>
      <c r="W169" s="2680">
        <f>0</f>
        <v>0</v>
      </c>
      <c r="X169" s="2680">
        <f>0</f>
        <v>0</v>
      </c>
      <c r="Y169" s="2680">
        <f>0</f>
        <v>0</v>
      </c>
      <c r="Z169" s="2680">
        <f>0</f>
        <v>0</v>
      </c>
      <c r="AA169" s="2680">
        <f>0</f>
        <v>0</v>
      </c>
      <c r="AB169" s="2680">
        <f>0</f>
        <v>0</v>
      </c>
      <c r="AC169" s="2742">
        <f>0</f>
        <v>0</v>
      </c>
      <c r="AD169" s="2680">
        <f>0</f>
        <v>0</v>
      </c>
      <c r="AE169" s="2680">
        <f>0</f>
        <v>0</v>
      </c>
      <c r="AF169" s="2680">
        <f>0</f>
        <v>0</v>
      </c>
      <c r="AG169" s="2680">
        <f>0</f>
        <v>0</v>
      </c>
      <c r="AH169" s="2680">
        <f>0</f>
        <v>0</v>
      </c>
      <c r="AI169" s="2680">
        <f>0</f>
        <v>0</v>
      </c>
      <c r="AJ169" s="2680">
        <f>0</f>
        <v>0</v>
      </c>
      <c r="AK169" s="2680">
        <f>0</f>
        <v>0</v>
      </c>
      <c r="AL169" s="2680">
        <f>1</f>
        <v>1</v>
      </c>
      <c r="AM169" s="2680">
        <f>-1</f>
        <v>-1</v>
      </c>
      <c r="AN169" s="2680">
        <f>0</f>
        <v>0</v>
      </c>
      <c r="AO169" s="2680">
        <f>0</f>
        <v>0</v>
      </c>
      <c r="AP169" s="2680">
        <f>0</f>
        <v>0</v>
      </c>
      <c r="AQ169" s="2680">
        <f>0</f>
        <v>0</v>
      </c>
      <c r="AR169" s="2680">
        <f>0</f>
        <v>0</v>
      </c>
      <c r="AS169" s="2680">
        <f>0</f>
        <v>0</v>
      </c>
      <c r="AT169" s="2680">
        <f>0</f>
        <v>0</v>
      </c>
      <c r="AU169" s="2680">
        <f>0</f>
        <v>0</v>
      </c>
      <c r="AV169" s="2680">
        <f>0</f>
        <v>0</v>
      </c>
      <c r="AW169" s="2680">
        <f>0</f>
        <v>0</v>
      </c>
      <c r="AX169" s="2680">
        <f>0</f>
        <v>0</v>
      </c>
      <c r="AY169" s="2727">
        <f>i_Ca_PP*A_MCa/A_MP</f>
        <v>0.12939338702613273</v>
      </c>
      <c r="AZ169" s="2727">
        <f>i_Mg_PP*A_MMg/A_MP</f>
        <v>0.27464374347136938</v>
      </c>
      <c r="BA169" s="2727">
        <f>i_K_PP*A_MK/A_MP</f>
        <v>0.12623038734377579</v>
      </c>
      <c r="BB169" s="2680">
        <f>0</f>
        <v>0</v>
      </c>
      <c r="BC169" s="2680">
        <f>0</f>
        <v>0</v>
      </c>
      <c r="BD169" s="2680">
        <f>0</f>
        <v>0</v>
      </c>
      <c r="BE169" s="2680">
        <f>0</f>
        <v>0</v>
      </c>
      <c r="BF169" s="2680">
        <f>0</f>
        <v>0</v>
      </c>
      <c r="BG169" s="2680">
        <f>0</f>
        <v>0</v>
      </c>
      <c r="BH169" s="2680">
        <f>0</f>
        <v>0</v>
      </c>
      <c r="BI169" s="2680">
        <f>0</f>
        <v>0</v>
      </c>
      <c r="BJ169" s="2680">
        <f>0</f>
        <v>0</v>
      </c>
      <c r="BK169" s="2680">
        <f>0</f>
        <v>0</v>
      </c>
      <c r="BL169" s="2680">
        <f>0</f>
        <v>0</v>
      </c>
      <c r="BM169" s="2680">
        <f>0</f>
        <v>0</v>
      </c>
      <c r="BN169" s="2680">
        <f>0</f>
        <v>0</v>
      </c>
      <c r="BO169" s="2680">
        <f>0</f>
        <v>0</v>
      </c>
      <c r="BP169" s="2680">
        <f>0</f>
        <v>0</v>
      </c>
      <c r="BQ169" s="2680">
        <f>0</f>
        <v>0</v>
      </c>
      <c r="BR169" s="2680">
        <f>0</f>
        <v>0</v>
      </c>
      <c r="BS169" s="2680">
        <f>0</f>
        <v>0</v>
      </c>
      <c r="BT169" s="2680">
        <f>0</f>
        <v>0</v>
      </c>
      <c r="BU169" s="2680">
        <f>0</f>
        <v>0</v>
      </c>
      <c r="BV169" s="2742">
        <f>0</f>
        <v>0</v>
      </c>
      <c r="BW169" s="2742">
        <f>0</f>
        <v>0</v>
      </c>
      <c r="BX169" s="2742">
        <f>0</f>
        <v>0</v>
      </c>
      <c r="BY169" s="2742">
        <f>0</f>
        <v>0</v>
      </c>
      <c r="BZ169" s="2680">
        <f>0</f>
        <v>0</v>
      </c>
      <c r="CA169" s="2680">
        <f>0</f>
        <v>0</v>
      </c>
      <c r="CB169" s="2680">
        <f>0</f>
        <v>0</v>
      </c>
      <c r="CC169" s="2680">
        <f>0</f>
        <v>0</v>
      </c>
      <c r="CD169" s="2680">
        <f>0</f>
        <v>0</v>
      </c>
      <c r="CE169" s="2680">
        <f>0</f>
        <v>0</v>
      </c>
      <c r="CF169" s="2680">
        <f>0</f>
        <v>0</v>
      </c>
      <c r="CG169" s="2680">
        <f>0</f>
        <v>0</v>
      </c>
      <c r="CH169" s="2680">
        <f>0</f>
        <v>0</v>
      </c>
      <c r="CI169" s="2680">
        <f>0</f>
        <v>0</v>
      </c>
      <c r="CJ169" s="2680">
        <f>0</f>
        <v>0</v>
      </c>
      <c r="CK169" s="2680">
        <f>0</f>
        <v>0</v>
      </c>
      <c r="CL169" s="2680">
        <f>0</f>
        <v>0</v>
      </c>
      <c r="CM169" s="2680">
        <f>0</f>
        <v>0</v>
      </c>
      <c r="CN169" s="2680">
        <f>0</f>
        <v>0</v>
      </c>
      <c r="CO169" s="2831">
        <f>b_PP_ana_T*X_PAO*L_ogsatXPP_KPO4_PAO*(η_bPP_aer*M_RinhXPHA_XPAO_KPHA_cle*M_satSO2_KO2_CASTO+η_bPP_anox*M_inhSO2_KO2_CASTO*M_satSNO2_KNO2_CASTO+η_bPP_anox*M_inhSO2_KO2_CASTO*M_satSNO3_KNO3_CASTO*M_inhSNO2_KNO2_CASTO+M_inhSO2_KO2_CASTO*M_inhSNO3_KNO3_CASTO*M_inhSNO2_KNO2_CASTO)</f>
        <v>0.38985063851269147</v>
      </c>
      <c r="CQ169" s="2650">
        <f>E248*E169+F248*F169+G248*G169+H248*H169+I248*I169+J248*J169+K248*K169+L248*L169+M248*M169+N248*N169+O248*O169+P248*P169+Q248*Q169+R248*R169+S248*S169+T248*T169+U248*U169+V248*V169+W248*W169+X248*X169+Y248*Y169+Z248*Z169+AA248*AA169+AB248*AB169+AC248*AC169+AD248*AD169+AE248*AE169+AF248*AF169+AG248*AG169+AH248*AH169+AI248*AI169+AJ248*AJ169+AK248*AK169+AL248*AL169+AM248*AM169+AN248*AN169+AO248*AO169+AP248*AP169+AQ248*AQ169+AR248*AR169+AS248*AS169+AT248*AT169+AU248*AU169+AV248*AV169+AW248*AW169+AX248*AX169+AY248*AY169+AZ248*AZ169+BA248*BA169+BB248*BB169+BC248*BC169+BD248*BD169+BE248*BE169+BF248*BF169+BG248*BG169+BH248*BH169+BI248*BI169+BJ248*BJ169+BK248*BK169+BL248*BL169+BM248*BM169+BN248*BN169+BO248*BO169+BP248*BP169+BQ248*BQ169+BR248*BR169+BS248*BS169+BT248*BT169+BU248*BU169+BV248*BV169+BW248*BW169+BX248*BX169+BY248*BY169+BZ248*BZ169+CA248*CA169+CB248*CB169+CC248*CC169+CD248*CD169+CE248*CE169+CF248*CF169+CG248*CG169+CH248*CH169+CI248*CI169+CJ248*CJ169+CK248*CK169+CL248*CL169+CM248*CM169+CN248*CN169</f>
        <v>0</v>
      </c>
      <c r="CR169" s="2650">
        <f>E249*E169+F249*F169+G249*G169+H249*H169+I249*I169+J249*J169+K249*K169+L249*L169+M249*M169+N249*N169+O249*O169+P249*P169+Q249*Q169+R249*R169+S249*S169+T249*T169+U249*U169+V249*V169+W249*W169+X249*X169+Y249*Y169+Z249*Z169+AA249*AA169+AB249*AB169+AC249*AC169+AD249*AD169+AE249*AE169+AF249*AF169+AG249*AG169+AH249*AH169+AI249*AI169+AJ249*AJ169+AK249*AK169+AL249*AL169+AM249*AM169+AN249*AN169+AO249*AO169+AP249*AP169+AQ249*AQ169+AR249*AR169+AS249*AS169+AT249*AT169+AU249*AU169+AV249*AV169+AW249*AW169+AX249*AX169+AY249*AY169+AZ249*AZ169+BA249*BA169+BB249*BB169+BC249*BC169+BD249*BD169+BE249*BE169+BF249*BF169+BG249*BG169+BH249*BH169+BI249*BI169+BJ249*BJ169+BK249*BK169+BL249*BL169+BM249*BM169+BN249*BN169+BO249*BO169+BP249*BP169+BQ249*BQ169+BR249*BR169+BS249*BS169+BT249*BT169+BU249*BU169+BV249*BV169+BW249*BW169+BX249*BX169+BY249*BY169+BZ249*BZ169+CA249*CA169+CB249*CB169+CC249*CC169+CD249*CD169+CE249*CE169+CF249*CF169+CG249*CG169+CH249*CH169+CI249*CI169+CJ249*CJ169+CK249*CK169+CL249*CL169+CM249*CM169+CN249*CN169</f>
        <v>0</v>
      </c>
      <c r="CS169" s="2651">
        <f>E250*E169+F250*F169+G250*G169+H250*H169+I250*I169+J250*J169+K250*K169+L250*L169+M250*M169+N250*N169+O250*O169+P250*P169+Q250*Q169+R250*R169+S250*S169+T250*T169+U250*U169+V250*V169+W250*W169+X250*X169+Y250*Y169+Z250*Z169+AA250*AA169+AB250*AB169+AC250*AC169+AD250*AD169+AE250*AE169+AF250*AF169+AG250*AG169+AH250*AH169+AI250*AI169+AJ250*AJ169+AK250*AK169+AL250*AL169+AM250*AM169+AN250*AN169+AO250*AO169+AP250*AP169+AQ250*AQ169+AR250*AR169+AS250*AS169+AT250*AT169+AU250*AU169+AV250*AV169+AW250*AW169+AX250*AX169+AY250*AY169+AZ250*AZ169+BA250*BA169+BB250*BB169+BC250*BC169+BD250*BD169+BE250*BE169+BF250*BF169+BG250*BG169+BH250*BH169+BI250*BI169+BJ250*BJ169+BK250*BK169+BL250*BL169+BM250*BM169+BN250*BN169+BO250*BO169+BP250*BP169+BQ250*BQ169+BR250*BR169+BS250*BS169+BT250*BT169+BU250*BU169+BV250*BV169+BW250*BW169+BX250*BX169+BY250*BY169+BZ250*BZ169+CA250*CA169+CB250*CB169+CC250*CC169+CD250*CD169+CE250*CE169+CF250*CF169+CG250*CG169+CH250*CH169+CI250*CI169+CJ250*CJ169+CK250*CK169+CL250*CL169+CM250*CM169+CN250*CN169</f>
        <v>0</v>
      </c>
      <c r="CT169" s="2652">
        <f>E251*E169+F251*F169+G251*G169+H251*H169+I251*I169+J251*J169+K251*K169+L251*L169+M251*M169+N251*N169+O251*O169+P251*P169+Q251*Q169+R251*R169+S251*S169+T251*T169+U251*U169+V251*V169+W251*W169+X251*X169+Y251*Y169+Z251*Z169+AA251*AA169+AB251*AB169+AC251*AC169+AD251*AD169+AE251*AE169+AF251*AF169+AG251*AG169+AH251*AH169+AI251*AI169+AJ251*AJ169+AK251*AK169+AL251*AL169+AM251*AM169+AN251*AN169+AO251*AO169+AP251*AP169+AQ251*AQ169+AR251*AR169+AS251*AS169+AT251*AT169+AU251*AU169+AV251*AV169+AW251*AW169+AX251*AX169+AY251*AY169+AZ251*AZ169+BA251*BA169+BB251*BB169+BC251*BC169+BD251*BD169+BE251*BE169+BF251*BF169+BG251*BG169+BH251*BH169+BI251*BI169+BJ251*BJ169+BK251*BK169+BL251*BL169+BM251*BM169+BN251*BN169+BO251*BO169+BP251*BP169+BQ251*BQ169+BR251*BR169+BS251*BS169+BT251*BT169+BU251*BU169+BV251*BV169+BW251*BW169+BX251*BX169+BY251*BY169+BZ251*BZ169+CA251*CA169+CB251*CB169+CC251*CC169+CD251*CD169+CE251*CE169+CF251*CF169+CG251*CG169+CH251*CH169+CI251*CI169+CJ251*CJ169+CK251*CK169+CL251*CL169+CM251*CM169+CN251*CN169</f>
        <v>0</v>
      </c>
      <c r="CU169" s="2652">
        <f>E252*E169+F252*F169+G252*G169+H252*H169+I252*I169+J252*J169+K252*K169+L252*L169+M252*M169+N252*N169+O252*O169+P252*P169+Q252*Q169+R252*R169+S252*S169+T252*T169+U252*U169+V252*V169+W252*W169+X252*X169+Y252*Y169+Z252*Z169+AA252*AA169+AB252*AB169+AC252*AC169+AD252*AD169+AE252*AE169+AF252*AF169+AG252*AG169+AH252*AH169+AI252*AI169+AJ252*AJ169+AK252*AK169+AL252*AL169+AM252*AM169+AN252*AN169+AO252*AO169+AP252*AP169+AQ252*AQ169+AR252*AR169+AS252*AS169+AT252*AT169+AU252*AU169+AV252*AV169+AW252*AW169+AX252*AX169+AY252*AY169+AZ252*AZ169+BA252*BA169+BB252*BB169+BC252*BC169+BD252*BD169+BE252*BE169+BF252*BF169+BG252*BG169+BH252*BH169+BI252*BI169+BJ252*BJ169+BK252*BK169+BL252*BL169+BM252*BM169+BN252*BN169+BO252*BO169+BP252*BP169+BQ252*BQ169+BR252*BR169+BS252*BS169+BT252*BT169+BU252*BU169+BV252*BV169+BW252*BW169+BX252*BX169+BY252*BY169+BZ252*BZ169+CA252*CA169+CB252*CB169+CC252*CC169+CD252*CD169+CE252*CE169+CF252*CF169+CG252*CG169+CH252*CH169+CI252*CI169+CJ252*CJ169+CK252*CK169+CL252*CL169+CM252*CM169+CN252*CN169</f>
        <v>0</v>
      </c>
      <c r="CV169" s="2652">
        <f>E253*E169+F253*F169+G253*G169+H253*H169+I253*I169+J253*J169+K253*K169+L253*L169+M253*M169+N253*N169+O253*O169+P253*P169+Q253*Q169+R253*R169+S253*S169+T253*T169+U253*U169+V253*V169+W253*W169+X253*X169+Y253*Y169+Z253*Z169+AA253*AA169+AB253*AB169+AC253*AC169+AD253*AD169+AE253*AE169+AF253*AF169+AG253*AG169+AH253*AH169+AI253*AI169+AJ253*AJ169+AK253*AK169+AL253*AL169+AM253*AM169+AN253*AN169+AO253*AO169+AP253*AP169+AQ253*AQ169+AR253*AR169+AS253*AS169+AT253*AT169+AU253*AU169+AV253*AV169+AW253*AW169+AX253*AX169+AY253*AY169+AZ253*AZ169+BA253*BA169+BB253*BB169+BC253*BC169+BD253*BD169+BE253*BE169+BF253*BF169+BG253*BG169+BH253*BH169+BI253*BI169+BJ253*BJ169+BK253*BK169+BL253*BL169+BM253*BM169+BN253*BN169+BO253*BO169+BP253*BP169+BQ253*BQ169+BR253*BR169+BS253*BS169+BT253*BT169+BU253*BU169+BV253*BV169+BW253*BW169+BX253*BX169+BY253*BY169+BZ253*BZ169+CA253*CA169+CB253*CB169+CC253*CC169+CD253*CD169+CE253*CE169+CF253*CF169+CG253*CG169+CH253*CH169+CI253*CI169+CJ253*CJ169+CK253*CK169+CL253*CL169+CM253*CM169+CN253*CN169</f>
        <v>0</v>
      </c>
      <c r="CW169" s="2652">
        <f>E254*E169+F254*F169+G254*G169+H254*H169+I254*I169+J254*J169+K254*K169+L254*L169+M254*M169+N254*N169+O254*O169+P254*P169+Q254*Q169+R254*R169+S254*S169+T254*T169+U254*U169+V254*V169+W254*W169+X254*X169+Y254*Y169+Z254*Z169+AA254*AA169+AB254*AB169+AC254*AC169+AD254*AD169+AE254*AE169+AF254*AF169+AG254*AG169+AH254*AH169+AI254*AI169+AJ254*AJ169+AK254*AK169+AL254*AL169+AM254*AM169+AN254*AN169+AO254*AO169+AP254*AP169+AQ254*AQ169+AR254*AR169+AS254*AS169+AT254*AT169+AU254*AU169+AV254*AV169+AW254*AW169+AX254*AX169+AY254*AY169+AZ254*AZ169+BA254*BA169+BB254*BB169+BC254*BC169+BD254*BD169+BE254*BE169+BF254*BF169+BG254*BG169+BH254*BH169+BI254*BI169+BJ254*BJ169+BK254*BK169+BL254*BL169+BM254*BM169+BN254*BN169+BO254*BO169+BP254*BP169+BQ254*BQ169+BR254*BR169+BS254*BS169+BT254*BT169+BU254*BU169+BV254*BV169+BW254*BW169+BX254*BX169+BY254*BY169+BZ254*BZ169+CA254*CA169+CB254*CB169+CC254*CC169+CD254*CD169+CE254*CE169+CF254*CF169+CG254*CG169+CH254*CH169+CI254*CI169+CJ254*CJ169+CK254*CK169+CL254*CL169+CM254*CM169+CN254*CN169</f>
        <v>0</v>
      </c>
      <c r="CX169" s="2652">
        <f>E255*E169+F255*F169+G255*G169+H255*H169+I255*I169+J255*J169+K255*K169+L255*L169+M255*M169+N255*N169+O255*O169+P255*P169+Q255*Q169+R255*R169+S255*S169+T255*T169+U255*U169+V255*V169+W255*W169+X255*X169+Y255*Y169+Z255*Z169+AA255*AA169+AB255*AB169+AC255*AC169+AD255*AD169+AE255*AE169+AF255*AF169+AG255*AG169+AH255*AH169+AI255*AI169+AJ255*AJ169+AK255*AK169+AL255*AL169+AM255*AM169+AN255*AN169+AO255*AO169+AP255*AP169+AQ255*AQ169+AR255*AR169+AS255*AS169+AT255*AT169+AU255*AU169+AV255*AV169+AW255*AW169+AX255*AX169+AY255*AY169+AZ255*AZ169+BA255*BA169+BB255*BB169+BC255*BC169+BD255*BD169+BE255*BE169+BF255*BF169+BG255*BG169+BH255*BH169+BI255*BI169+BJ255*BJ169+BK255*BK169+BL255*BL169+BM255*BM169+BN255*BN169+BO255*BO169+BP255*BP169+BQ255*BQ169+BR255*BR169+BS255*BS169+BT255*BT169+BU255*BU169+BV255*BV169+BW255*BW169+BX255*BX169+BY255*BY169+BZ255*BZ169+CA255*CA169+CB255*CB169+CC255*CC169+CD255*CD169+CE255*CE169+CF255*CF169+CG255*CG169+CH255*CH169+CI255*CI169+CJ255*CJ169+CK255*CK169+CL255*CL169+CM255*CM169+CN255*CN169</f>
        <v>0</v>
      </c>
      <c r="CY169" s="2652">
        <f>E256*E169+F256*F169+G256*G169+H256*H169+I256*I169+J256*J169+K256*K169+L256*L169+M256*M169+N256*N169+O256*O169+P256*P169+Q256*Q169+R256*R169+S256*S169+T256*T169+U256*U169+V256*V169+W256*W169+X256*X169+Y256*Y169+Z256*Z169+AA256*AA169+AB256*AB169+AC256*AC169+AD256*AD169+AE256*AE169+AF256*AF169+AG256*AG169+AH256*AH169+AI256*AI169+AJ256*AJ169+AK256*AK169+AL256*AL169+AM256*AM169+AN256*AN169+AO256*AO169+AP256*AP169+AQ256*AQ169+AR256*AR169+AS256*AS169+AT256*AT169+AU256*AU169+AV256*AV169+AW256*AW169+AX256*AX169+AY256*AY169+AZ256*AZ169+BA256*BA169+BB256*BB169+BC256*BC169+BD256*BD169+BE256*BE169+BF256*BF169+BG256*BG169+BH256*BH169+BI256*BI169+BJ256*BJ169+BK256*BK169+BL256*BL169+BM256*BM169+BN256*BN169+BO256*BO169+BP256*BP169+BQ256*BQ169+BR256*BR169+BS256*BS169+BT256*BT169+BU256*BU169+BV256*BV169+BW256*BW169+BX256*BX169+BY256*BY169+BZ256*BZ169+CA256*CA169+CB256*CB169+CC256*CC169+CD256*CD169+CE256*CE169+CF256*CF169+CG256*CG169+CH256*CH169+CI256*CI169+CJ256*CJ169+CK256*CK169+CL256*CL169+CM256*CM169+CN256*CN169</f>
        <v>0</v>
      </c>
      <c r="CZ169" s="2652">
        <f>E257*E169+F257*F169+G257*G169+H257*H169+I257*I169+J257*J169+K257*K169+L257*L169+M257*M169+N257*N169+O257*O169+P257*P169+Q257*Q169+R257*R169+S257*S169+T257*T169+U257*U169+V257*V169+W257*W169+X257*X169+Y257*Y169+Z257*Z169+AA257*AA169+AB257*AB169+AC257*AC169+AD257*AD169+AE257*AE169+AF257*AF169+AG257*AG169+AH257*AH169+AI257*AI169+AJ257*AJ169+AK257*AK169+AL257*AL169+AM257*AM169+AN257*AN169+AO257*AO169+AP257*AP169+AQ257*AQ169+AR257*AR169+AS257*AS169+AT257*AT169+AU257*AU169+AV257*AV169+AW257*AW169+AX257*AX169+AY257*AY169+AZ257*AZ169+BA257*BA169+BB257*BB169+BC257*BC169+BD257*BD169+BE257*BE169+BF257*BF169+BG257*BG169+BH257*BH169+BI257*BI169+BJ257*BJ169+BK257*BK169+BL257*BL169+BM257*BM169+BN257*BN169+BO257*BO169+BP257*BP169+BQ257*BQ169+BR257*BR169+BS257*BS169+BT257*BT169+BU257*BU169+BV257*BV169+BW257*BW169+BX257*BX169+BY257*BY169+BZ257*BZ169+CA257*CA169+CB257*CB169+CC257*CC169+CD257*CD169+CE257*CE169+CF257*CF169+CG257*CG169+CH257*CH169+CI257*CI169+CJ257*CJ169+CK257*CK169+CL257*CL169+CM257*CM169+CN257*CN169</f>
        <v>0</v>
      </c>
      <c r="DA169" s="2652">
        <f>E258*E169+F258*F169+G258*G169+H258*H169+I258*I169+J258*J169+K258*K169+L258*L169+M258*M169+N258*N169+O258*O169+P258*P169+Q258*Q169+R258*R169+S258*S169+T258*T169+U258*U169+V258*V169+W258*W169+X258*X169+Y258*Y169+Z258*Z169+AA258*AA169+AB258*AB169+AC258*AC169+AD258*AD169+AE258*AE169+AF258*AF169+AG258*AG169+AH258*AH169+AI258*AI169+AJ258*AJ169+AK258*AK169+AL258*AL169+AM258*AM169+AN258*AN169+AO258*AO169+AP258*AP169+AQ258*AQ169+AR258*AR169+AS258*AS169+AT258*AT169+AU258*AU169+AV258*AV169+AW258*AW169+AX258*AX169+AY258*AY169+AZ258*AZ169+BA258*BA169+BB258*BB169+BC258*BC169+BD258*BD169+BE258*BE169+BF258*BF169+BG258*BG169+BH258*BH169+BI258*BI169+BJ258*BJ169+BK258*BK169+BL258*BL169+BM258*BM169+BN258*BN169+BO258*BO169+BP258*BP169+BQ258*BQ169+BR258*BR169+BS258*BS169+BT258*BT169+BU258*BU169+BV258*BV169+BW258*BW169+BX258*BX169+BY258*BY169+BZ258*BZ169+CA258*CA169+CB258*CB169+CC258*CC169+CD258*CD169+CE258*CE169+CF258*CF169+CG258*CG169+CH258*CH169+CI258*CI169+CJ258*CJ169+CK258*CK169+CL258*CL169+CM258*CM169+CN258*CN169</f>
        <v>0</v>
      </c>
    </row>
    <row r="170" spans="2:105" ht="18" x14ac:dyDescent="0.25">
      <c r="B170" s="1083">
        <v>37</v>
      </c>
      <c r="C170" s="1073" t="s">
        <v>298</v>
      </c>
      <c r="D170" s="806" t="s">
        <v>3177</v>
      </c>
      <c r="E170" s="2678">
        <f>(1-Y_CASTO_SB_ana-Y_CASTO_H2_ana_high)/Y_CASTO_SB_ana</f>
        <v>5.5</v>
      </c>
      <c r="F170" s="2678">
        <f>0</f>
        <v>0</v>
      </c>
      <c r="G170" s="2681">
        <f>-1/Y_CASTO_SB_ana</f>
        <v>-10</v>
      </c>
      <c r="H170" s="2678">
        <f>0</f>
        <v>0</v>
      </c>
      <c r="I170" s="2678">
        <f>0</f>
        <v>0</v>
      </c>
      <c r="J170" s="2678">
        <f>0</f>
        <v>0</v>
      </c>
      <c r="K170" s="2678">
        <f>0</f>
        <v>0</v>
      </c>
      <c r="L170" s="2678">
        <f>0</f>
        <v>0</v>
      </c>
      <c r="M170" s="2678">
        <f>0</f>
        <v>0</v>
      </c>
      <c r="N170" s="2678">
        <f>0</f>
        <v>0</v>
      </c>
      <c r="O170" s="2678">
        <f>0</f>
        <v>0</v>
      </c>
      <c r="P170" s="2681">
        <f>1</f>
        <v>1</v>
      </c>
      <c r="Q170" s="2681">
        <f>0</f>
        <v>0</v>
      </c>
      <c r="R170" s="2678">
        <f>0</f>
        <v>0</v>
      </c>
      <c r="S170" s="2678">
        <f>0</f>
        <v>0</v>
      </c>
      <c r="T170" s="2678">
        <f>0</f>
        <v>0</v>
      </c>
      <c r="U170" s="2678">
        <f>0</f>
        <v>0</v>
      </c>
      <c r="V170" s="2678">
        <f>0</f>
        <v>0</v>
      </c>
      <c r="W170" s="2678">
        <f>0</f>
        <v>0</v>
      </c>
      <c r="X170" s="2678">
        <f>0</f>
        <v>0</v>
      </c>
      <c r="Y170" s="2678">
        <f>0</f>
        <v>0</v>
      </c>
      <c r="Z170" s="2678">
        <f>0</f>
        <v>0</v>
      </c>
      <c r="AA170" s="2678">
        <f>0</f>
        <v>0</v>
      </c>
      <c r="AB170" s="2678">
        <f>0</f>
        <v>0</v>
      </c>
      <c r="AC170" s="2741">
        <f>0</f>
        <v>0</v>
      </c>
      <c r="AD170" s="2678">
        <f>0</f>
        <v>0</v>
      </c>
      <c r="AE170" s="2681">
        <f>0</f>
        <v>0</v>
      </c>
      <c r="AF170" s="2681">
        <f>0</f>
        <v>0</v>
      </c>
      <c r="AG170" s="2681">
        <f>0</f>
        <v>0</v>
      </c>
      <c r="AH170" s="2678">
        <f>0</f>
        <v>0</v>
      </c>
      <c r="AI170" s="2678">
        <f>0</f>
        <v>0</v>
      </c>
      <c r="AJ170" s="2678">
        <f>0</f>
        <v>0</v>
      </c>
      <c r="AK170" s="2678">
        <f>0</f>
        <v>0</v>
      </c>
      <c r="AL170" s="2678">
        <f>0</f>
        <v>0</v>
      </c>
      <c r="AM170" s="2681">
        <f>0</f>
        <v>0</v>
      </c>
      <c r="AN170" s="2678">
        <f>0</f>
        <v>0</v>
      </c>
      <c r="AO170" s="2678">
        <f>0</f>
        <v>0</v>
      </c>
      <c r="AP170" s="2678">
        <f>0</f>
        <v>0</v>
      </c>
      <c r="AQ170" s="2678">
        <f>0</f>
        <v>0</v>
      </c>
      <c r="AR170" s="2678">
        <f>0</f>
        <v>0</v>
      </c>
      <c r="AS170" s="2678">
        <f>0</f>
        <v>0</v>
      </c>
      <c r="AT170" s="2678">
        <f>Y_CASTO_H2_ana_high/Y_CASTO_SB_ana</f>
        <v>3.4999999999999996</v>
      </c>
      <c r="AU170" s="2678">
        <f>(i_CIT_SB_poly-i_CIT_VFA*(1-Y_CASTO_SB_ana-Y_CASTO_H2_ana_high)-i_CIT_PHA*Y_CASTO_SB_ana)/Y_CASTO_SB_ana</f>
        <v>0.46449999999999952</v>
      </c>
      <c r="AV170" s="2681">
        <f>i_INORG</f>
        <v>0.11</v>
      </c>
      <c r="AW170" s="2681">
        <f>-i_INORG*(1-i_Ca_INORG*(A_MCa+2*A_MCl)/A_MCa-i_Mg_INORG*(A_MMg+2*A_MCl)/A_MMg)*f_Na</f>
        <v>-2.8804303582798466E-2</v>
      </c>
      <c r="AX170" s="2681">
        <f>-i_INORG*(i_Ca_INORG*(2*A_MCl)/A_MCa+i_Mg_INORG*(2*A_MCl)/A_MMg)-i_INORG*(1-i_Ca_INORG*(A_MCa+2*A_MCl)/A_MCa-i_Mg_INORG*(A_MMg+2*A_MCl)/A_MMg)*(1-f_Na)</f>
        <v>-7.0195696417201539E-2</v>
      </c>
      <c r="AY170" s="2681">
        <f>-i_INORG*i_Ca_INORG</f>
        <v>-5.5000000000000005E-3</v>
      </c>
      <c r="AZ170" s="2681">
        <f>-i_INORG*i_Mg_INORG</f>
        <v>-5.5000000000000005E-3</v>
      </c>
      <c r="BA170" s="2681">
        <f>0</f>
        <v>0</v>
      </c>
      <c r="BB170" s="2681">
        <f>0</f>
        <v>0</v>
      </c>
      <c r="BC170" s="2681">
        <f>0</f>
        <v>0</v>
      </c>
      <c r="BD170" s="2681">
        <f>0</f>
        <v>0</v>
      </c>
      <c r="BE170" s="2681">
        <f>0</f>
        <v>0</v>
      </c>
      <c r="BF170" s="2681">
        <f>0</f>
        <v>0</v>
      </c>
      <c r="BG170" s="2681">
        <f>0</f>
        <v>0</v>
      </c>
      <c r="BH170" s="2681">
        <f>0</f>
        <v>0</v>
      </c>
      <c r="BI170" s="2681">
        <f>0</f>
        <v>0</v>
      </c>
      <c r="BJ170" s="2766">
        <f>0</f>
        <v>0</v>
      </c>
      <c r="BK170" s="2766">
        <f>0</f>
        <v>0</v>
      </c>
      <c r="BL170" s="2766">
        <f>0</f>
        <v>0</v>
      </c>
      <c r="BM170" s="2766">
        <f>0</f>
        <v>0</v>
      </c>
      <c r="BN170" s="2766">
        <f>0</f>
        <v>0</v>
      </c>
      <c r="BO170" s="2766">
        <f>0</f>
        <v>0</v>
      </c>
      <c r="BP170" s="2766">
        <f>0</f>
        <v>0</v>
      </c>
      <c r="BQ170" s="2681">
        <f>0</f>
        <v>0</v>
      </c>
      <c r="BR170" s="2681">
        <f>0</f>
        <v>0</v>
      </c>
      <c r="BS170" s="2766">
        <f>0</f>
        <v>0</v>
      </c>
      <c r="BT170" s="2681">
        <f>0</f>
        <v>0</v>
      </c>
      <c r="BU170" s="2681">
        <f>0</f>
        <v>0</v>
      </c>
      <c r="BV170" s="2758">
        <f>0</f>
        <v>0</v>
      </c>
      <c r="BW170" s="2758">
        <f>0</f>
        <v>0</v>
      </c>
      <c r="BX170" s="2758">
        <f>0</f>
        <v>0</v>
      </c>
      <c r="BY170" s="2758">
        <f>0</f>
        <v>0</v>
      </c>
      <c r="BZ170" s="2681">
        <f>0</f>
        <v>0</v>
      </c>
      <c r="CA170" s="2681">
        <f>0</f>
        <v>0</v>
      </c>
      <c r="CB170" s="2728">
        <f>0</f>
        <v>0</v>
      </c>
      <c r="CC170" s="2681">
        <f>0</f>
        <v>0</v>
      </c>
      <c r="CD170" s="2681">
        <f>0</f>
        <v>0</v>
      </c>
      <c r="CE170" s="2681">
        <f>0</f>
        <v>0</v>
      </c>
      <c r="CF170" s="2681">
        <f>0</f>
        <v>0</v>
      </c>
      <c r="CG170" s="2681">
        <f>0</f>
        <v>0</v>
      </c>
      <c r="CH170" s="2681">
        <f>0</f>
        <v>0</v>
      </c>
      <c r="CI170" s="2681">
        <f>0</f>
        <v>0</v>
      </c>
      <c r="CJ170" s="2681">
        <f>0</f>
        <v>0</v>
      </c>
      <c r="CK170" s="2681">
        <f>0</f>
        <v>0</v>
      </c>
      <c r="CL170" s="2681">
        <f>0</f>
        <v>0</v>
      </c>
      <c r="CM170" s="2681">
        <f>0</f>
        <v>0</v>
      </c>
      <c r="CN170" s="2681">
        <f>0</f>
        <v>0</v>
      </c>
      <c r="CO170" s="2828">
        <f>µ_FERM_PAO_T*X_CASTO*actferm_PAO_ORP*L_ogsatSVFA_KVFA_FERM*M_satSB_KSB_poly_ana*M_satSNHx_KNHx_BIO*M_satSPO4_KPO4_BIO*M_satSCAT_KCAT*M_satSAN_KAN*M_satSCa_KCa*M_satSMg_KMg*B_ellinhpH</f>
        <v>1.7821732482926844E-225</v>
      </c>
      <c r="CQ170" s="2650">
        <f>E248*E170+F248*F170+G248*G170+H248*H170+I248*I170+J248*J170+K248*K170+L248*L170+M248*M170+N248*N170+O248*O170+P248*P170+Q248*Q170+R248*R170+S248*S170+T248*T170+U248*U170+V248*V170+W248*W170+X248*X170+Y248*Y170+Z248*Z170+AA248*AA170+AB248*AB170+AC248*AC170+AD248*AD170+AE248*AE170+AF248*AF170+AG248*AG170+AH248*AH170+AI248*AI170+AJ248*AJ170+AK248*AK170+AL248*AL170+AM248*AM170+AN248*AN170+AO248*AO170+AP248*AP170+AQ248*AQ170+AR248*AR170+AS248*AS170+AT248*AT170+AU248*AU170+AV248*AV170+AW248*AW170+AX248*AX170+AY248*AY170+AZ248*AZ170+BA248*BA170+BB248*BB170+BC248*BC170+BD248*BD170+BE248*BE170+BF248*BF170+BG248*BG170+BH248*BH170+BI248*BI170+BJ248*BJ170+BK248*BK170+BL248*BL170+BM248*BM170+BN248*BN170+BO248*BO170+BP248*BP170+BQ248*BQ170+BR248*BR170+BS248*BS170+BT248*BT170+BU248*BU170+BV248*BV170+BW248*BW170+BX248*BX170+BY248*BY170+BZ248*BZ170+CA248*CA170+CB248*CB170+CC248*CC170+CD248*CD170+CE248*CE170+CF248*CF170+CG248*CG170+CH248*CH170+CI248*CI170+CJ248*CJ170+CK248*CK170+CL248*CL170+CM248*CM170+CN248*CN170</f>
        <v>-4.4408920985006262E-16</v>
      </c>
      <c r="CR170" s="2650">
        <f>E249*E170+F249*F170+G249*G170+H249*H170+I249*I170+J249*J170+K249*K170+L249*L170+M249*M170+N249*N170+O249*O170+P249*P170+Q249*Q170+R249*R170+S249*S170+T249*T170+U249*U170+V249*V170+W249*W170+X249*X170+Y249*Y170+Z249*Z170+AA249*AA170+AB249*AB170+AC249*AC170+AD249*AD170+AE249*AE170+AF249*AF170+AG249*AG170+AH249*AH170+AI249*AI170+AJ249*AJ170+AK249*AK170+AL249*AL170+AM249*AM170+AN249*AN170+AO249*AO170+AP249*AP170+AQ249*AQ170+AR249*AR170+AS249*AS170+AT249*AT170+AU249*AU170+AV249*AV170+AW249*AW170+AX249*AX170+AY249*AY170+AZ249*AZ170+BA249*BA170+BB249*BB170+BC249*BC170+BD249*BD170+BE249*BE170+BF249*BF170+BG249*BG170+BH249*BH170+BI249*BI170+BJ249*BJ170+BK249*BK170+BL249*BL170+BM249*BM170+BN249*BN170+BO249*BO170+BP249*BP170+BQ249*BQ170+BR249*BR170+BS249*BS170+BT249*BT170+BU249*BU170+BV249*BV170+BW249*BW170+BX249*BX170+BY249*BY170+BZ249*BZ170+CA249*CA170+CB249*CB170+CC249*CC170+CD249*CD170+CE249*CE170+CF249*CF170+CG249*CG170+CH249*CH170+CI249*CI170+CJ249*CJ170+CK249*CK170+CL249*CL170+CM249*CM170+CN249*CN170</f>
        <v>-3.3306690738754696E-16</v>
      </c>
      <c r="CS170" s="2651">
        <f>E250*E170+F250*F170+G250*G170+H250*H170+I250*I170+J250*J170+K250*K170+L250*L170+M250*M170+N250*N170+O250*O170+P250*P170+Q250*Q170+R250*R170+S250*S170+T250*T170+U250*U170+V250*V170+W250*W170+X250*X170+Y250*Y170+Z250*Z170+AA250*AA170+AB250*AB170+AC250*AC170+AD250*AD170+AE250*AE170+AF250*AF170+AG250*AG170+AH250*AH170+AI250*AI170+AJ250*AJ170+AK250*AK170+AL250*AL170+AM250*AM170+AN250*AN170+AO250*AO170+AP250*AP170+AQ250*AQ170+AR250*AR170+AS250*AS170+AT250*AT170+AU250*AU170+AV250*AV170+AW250*AW170+AX250*AX170+AY250*AY170+AZ250*AZ170+BA250*BA170+BB250*BB170+BC250*BC170+BD250*BD170+BE250*BE170+BF250*BF170+BG250*BG170+BH250*BH170+BI250*BI170+BJ250*BJ170+BK250*BK170+BL250*BL170+BM250*BM170+BN250*BN170+BO250*BO170+BP250*BP170+BQ250*BQ170+BR250*BR170+BS250*BS170+BT250*BT170+BU250*BU170+BV250*BV170+BW250*BW170+BX250*BX170+BY250*BY170+BZ250*BZ170+CA250*CA170+CB250*CB170+CC250*CC170+CD250*CD170+CE250*CE170+CF250*CF170+CG250*CG170+CH250*CH170+CI250*CI170+CJ250*CJ170+CK250*CK170+CL250*CL170+CM250*CM170+CN250*CN170</f>
        <v>0</v>
      </c>
      <c r="CT170" s="2652">
        <f>E251*E170+F251*F170+G251*G170+H251*H170+I251*I170+J251*J170+K251*K170+L251*L170+M251*M170+N251*N170+O251*O170+P251*P170+Q251*Q170+R251*R170+S251*S170+T251*T170+U251*U170+V251*V170+W251*W170+X251*X170+Y251*Y170+Z251*Z170+AA251*AA170+AB251*AB170+AC251*AC170+AD251*AD170+AE251*AE170+AF251*AF170+AG251*AG170+AH251*AH170+AI251*AI170+AJ251*AJ170+AK251*AK170+AL251*AL170+AM251*AM170+AN251*AN170+AO251*AO170+AP251*AP170+AQ251*AQ170+AR251*AR170+AS251*AS170+AT251*AT170+AU251*AU170+AV251*AV170+AW251*AW170+AX251*AX170+AY251*AY170+AZ251*AZ170+BA251*BA170+BB251*BB170+BC251*BC170+BD251*BD170+BE251*BE170+BF251*BF170+BG251*BG170+BH251*BH170+BI251*BI170+BJ251*BJ170+BK251*BK170+BL251*BL170+BM251*BM170+BN251*BN170+BO251*BO170+BP251*BP170+BQ251*BQ170+BR251*BR170+BS251*BS170+BT251*BT170+BU251*BU170+BV251*BV170+BW251*BW170+BX251*BX170+BY251*BY170+BZ251*BZ170+CA251*CA170+CB251*CB170+CC251*CC170+CD251*CD170+CE251*CE170+CF251*CF170+CG251*CG170+CH251*CH170+CI251*CI170+CJ251*CJ170+CK251*CK170+CL251*CL170+CM251*CM170+CN251*CN170</f>
        <v>0</v>
      </c>
      <c r="CU170" s="2652">
        <f>E252*E170+F252*F170+G252*G170+H252*H170+I252*I170+J252*J170+K252*K170+L252*L170+M252*M170+N252*N170+O252*O170+P252*P170+Q252*Q170+R252*R170+S252*S170+T252*T170+U252*U170+V252*V170+W252*W170+X252*X170+Y252*Y170+Z252*Z170+AA252*AA170+AB252*AB170+AC252*AC170+AD252*AD170+AE252*AE170+AF252*AF170+AG252*AG170+AH252*AH170+AI252*AI170+AJ252*AJ170+AK252*AK170+AL252*AL170+AM252*AM170+AN252*AN170+AO252*AO170+AP252*AP170+AQ252*AQ170+AR252*AR170+AS252*AS170+AT252*AT170+AU252*AU170+AV252*AV170+AW252*AW170+AX252*AX170+AY252*AY170+AZ252*AZ170+BA252*BA170+BB252*BB170+BC252*BC170+BD252*BD170+BE252*BE170+BF252*BF170+BG252*BG170+BH252*BH170+BI252*BI170+BJ252*BJ170+BK252*BK170+BL252*BL170+BM252*BM170+BN252*BN170+BO252*BO170+BP252*BP170+BQ252*BQ170+BR252*BR170+BS252*BS170+BT252*BT170+BU252*BU170+BV252*BV170+BW252*BW170+BX252*BX170+BY252*BY170+BZ252*BZ170+CA252*CA170+CB252*CB170+CC252*CC170+CD252*CD170+CE252*CE170+CF252*CF170+CG252*CG170+CH252*CH170+CI252*CI170+CJ252*CJ170+CK252*CK170+CL252*CL170+CM252*CM170+CN252*CN170</f>
        <v>0</v>
      </c>
      <c r="CV170" s="2652">
        <f>E253*E170+F253*F170+G253*G170+H253*H170+I253*I170+J253*J170+K253*K170+L253*L170+M253*M170+N253*N170+O253*O170+P253*P170+Q253*Q170+R253*R170+S253*S170+T253*T170+U253*U170+V253*V170+W253*W170+X253*X170+Y253*Y170+Z253*Z170+AA253*AA170+AB253*AB170+AC253*AC170+AD253*AD170+AE253*AE170+AF253*AF170+AG253*AG170+AH253*AH170+AI253*AI170+AJ253*AJ170+AK253*AK170+AL253*AL170+AM253*AM170+AN253*AN170+AO253*AO170+AP253*AP170+AQ253*AQ170+AR253*AR170+AS253*AS170+AT253*AT170+AU253*AU170+AV253*AV170+AW253*AW170+AX253*AX170+AY253*AY170+AZ253*AZ170+BA253*BA170+BB253*BB170+BC253*BC170+BD253*BD170+BE253*BE170+BF253*BF170+BG253*BG170+BH253*BH170+BI253*BI170+BJ253*BJ170+BK253*BK170+BL253*BL170+BM253*BM170+BN253*BN170+BO253*BO170+BP253*BP170+BQ253*BQ170+BR253*BR170+BS253*BS170+BT253*BT170+BU253*BU170+BV253*BV170+BW253*BW170+BX253*BX170+BY253*BY170+BZ253*BZ170+CA253*CA170+CB253*CB170+CC253*CC170+CD253*CD170+CE253*CE170+CF253*CF170+CG253*CG170+CH253*CH170+CI253*CI170+CJ253*CJ170+CK253*CK170+CL253*CL170+CM253*CM170+CN253*CN170</f>
        <v>0</v>
      </c>
      <c r="CW170" s="2652">
        <f>E254*E170+F254*F170+G254*G170+H254*H170+I254*I170+J254*J170+K254*K170+L254*L170+M254*M170+N254*N170+O254*O170+P254*P170+Q254*Q170+R254*R170+S254*S170+T254*T170+U254*U170+V254*V170+W254*W170+X254*X170+Y254*Y170+Z254*Z170+AA254*AA170+AB254*AB170+AC254*AC170+AD254*AD170+AE254*AE170+AF254*AF170+AG254*AG170+AH254*AH170+AI254*AI170+AJ254*AJ170+AK254*AK170+AL254*AL170+AM254*AM170+AN254*AN170+AO254*AO170+AP254*AP170+AQ254*AQ170+AR254*AR170+AS254*AS170+AT254*AT170+AU254*AU170+AV254*AV170+AW254*AW170+AX254*AX170+AY254*AY170+AZ254*AZ170+BA254*BA170+BB254*BB170+BC254*BC170+BD254*BD170+BE254*BE170+BF254*BF170+BG254*BG170+BH254*BH170+BI254*BI170+BJ254*BJ170+BK254*BK170+BL254*BL170+BM254*BM170+BN254*BN170+BO254*BO170+BP254*BP170+BQ254*BQ170+BR254*BR170+BS254*BS170+BT254*BT170+BU254*BU170+BV254*BV170+BW254*BW170+BX254*BX170+BY254*BY170+BZ254*BZ170+CA254*CA170+CB254*CB170+CC254*CC170+CD254*CD170+CE254*CE170+CF254*CF170+CG254*CG170+CH254*CH170+CI254*CI170+CJ254*CJ170+CK254*CK170+CL254*CL170+CM254*CM170+CN254*CN170</f>
        <v>0</v>
      </c>
      <c r="CX170" s="2652">
        <f>E255*E170+F255*F170+G255*G170+H255*H170+I255*I170+J255*J170+K255*K170+L255*L170+M255*M170+N255*N170+O255*O170+P255*P170+Q255*Q170+R255*R170+S255*S170+T255*T170+U255*U170+V255*V170+W255*W170+X255*X170+Y255*Y170+Z255*Z170+AA255*AA170+AB255*AB170+AC255*AC170+AD255*AD170+AE255*AE170+AF255*AF170+AG255*AG170+AH255*AH170+AI255*AI170+AJ255*AJ170+AK255*AK170+AL255*AL170+AM255*AM170+AN255*AN170+AO255*AO170+AP255*AP170+AQ255*AQ170+AR255*AR170+AS255*AS170+AT255*AT170+AU255*AU170+AV255*AV170+AW255*AW170+AX255*AX170+AY255*AY170+AZ255*AZ170+BA255*BA170+BB255*BB170+BC255*BC170+BD255*BD170+BE255*BE170+BF255*BF170+BG255*BG170+BH255*BH170+BI255*BI170+BJ255*BJ170+BK255*BK170+BL255*BL170+BM255*BM170+BN255*BN170+BO255*BO170+BP255*BP170+BQ255*BQ170+BR255*BR170+BS255*BS170+BT255*BT170+BU255*BU170+BV255*BV170+BW255*BW170+BX255*BX170+BY255*BY170+BZ255*BZ170+CA255*CA170+CB255*CB170+CC255*CC170+CD255*CD170+CE255*CE170+CF255*CF170+CG255*CG170+CH255*CH170+CI255*CI170+CJ255*CJ170+CK255*CK170+CL255*CL170+CM255*CM170+CN255*CN170</f>
        <v>0</v>
      </c>
      <c r="CY170" s="2652">
        <f>E256*E170+F256*F170+G256*G170+H256*H170+I256*I170+J256*J170+K256*K170+L256*L170+M256*M170+N256*N170+O256*O170+P256*P170+Q256*Q170+R256*R170+S256*S170+T256*T170+U256*U170+V256*V170+W256*W170+X256*X170+Y256*Y170+Z256*Z170+AA256*AA170+AB256*AB170+AC256*AC170+AD256*AD170+AE256*AE170+AF256*AF170+AG256*AG170+AH256*AH170+AI256*AI170+AJ256*AJ170+AK256*AK170+AL256*AL170+AM256*AM170+AN256*AN170+AO256*AO170+AP256*AP170+AQ256*AQ170+AR256*AR170+AS256*AS170+AT256*AT170+AU256*AU170+AV256*AV170+AW256*AW170+AX256*AX170+AY256*AY170+AZ256*AZ170+BA256*BA170+BB256*BB170+BC256*BC170+BD256*BD170+BE256*BE170+BF256*BF170+BG256*BG170+BH256*BH170+BI256*BI170+BJ256*BJ170+BK256*BK170+BL256*BL170+BM256*BM170+BN256*BN170+BO256*BO170+BP256*BP170+BQ256*BQ170+BR256*BR170+BS256*BS170+BT256*BT170+BU256*BU170+BV256*BV170+BW256*BW170+BX256*BX170+BY256*BY170+BZ256*BZ170+CA256*CA170+CB256*CB170+CC256*CC170+CD256*CD170+CE256*CE170+CF256*CF170+CG256*CG170+CH256*CH170+CI256*CI170+CJ256*CJ170+CK256*CK170+CL256*CL170+CM256*CM170+CN256*CN170</f>
        <v>0</v>
      </c>
      <c r="CZ170" s="2652">
        <f>E257*E170+F257*F170+G257*G170+H257*H170+I257*I170+J257*J170+K257*K170+L257*L170+M257*M170+N257*N170+O257*O170+P257*P170+Q257*Q170+R257*R170+S257*S170+T257*T170+U257*U170+V257*V170+W257*W170+X257*X170+Y257*Y170+Z257*Z170+AA257*AA170+AB257*AB170+AC257*AC170+AD257*AD170+AE257*AE170+AF257*AF170+AG257*AG170+AH257*AH170+AI257*AI170+AJ257*AJ170+AK257*AK170+AL257*AL170+AM257*AM170+AN257*AN170+AO257*AO170+AP257*AP170+AQ257*AQ170+AR257*AR170+AS257*AS170+AT257*AT170+AU257*AU170+AV257*AV170+AW257*AW170+AX257*AX170+AY257*AY170+AZ257*AZ170+BA257*BA170+BB257*BB170+BC257*BC170+BD257*BD170+BE257*BE170+BF257*BF170+BG257*BG170+BH257*BH170+BI257*BI170+BJ257*BJ170+BK257*BK170+BL257*BL170+BM257*BM170+BN257*BN170+BO257*BO170+BP257*BP170+BQ257*BQ170+BR257*BR170+BS257*BS170+BT257*BT170+BU257*BU170+BV257*BV170+BW257*BW170+BX257*BX170+BY257*BY170+BZ257*BZ170+CA257*CA170+CB257*CB170+CC257*CC170+CD257*CD170+CE257*CE170+CF257*CF170+CG257*CG170+CH257*CH170+CI257*CI170+CJ257*CJ170+CK257*CK170+CL257*CL170+CM257*CM170+CN257*CN170</f>
        <v>0</v>
      </c>
      <c r="DA170" s="2652">
        <f>E258*E170+F258*F170+G258*G170+H258*H170+I258*I170+J258*J170+K258*K170+L258*L170+M258*M170+N258*N170+O258*O170+P258*P170+Q258*Q170+R258*R170+S258*S170+T258*T170+U258*U170+V258*V170+W258*W170+X258*X170+Y258*Y170+Z258*Z170+AA258*AA170+AB258*AB170+AC258*AC170+AD258*AD170+AE258*AE170+AF258*AF170+AG258*AG170+AH258*AH170+AI258*AI170+AJ258*AJ170+AK258*AK170+AL258*AL170+AM258*AM170+AN258*AN170+AO258*AO170+AP258*AP170+AQ258*AQ170+AR258*AR170+AS258*AS170+AT258*AT170+AU258*AU170+AV258*AV170+AW258*AW170+AX258*AX170+AY258*AY170+AZ258*AZ170+BA258*BA170+BB258*BB170+BC258*BC170+BD258*BD170+BE258*BE170+BF258*BF170+BG258*BG170+BH258*BH170+BI258*BI170+BJ258*BJ170+BK258*BK170+BL258*BL170+BM258*BM170+BN258*BN170+BO258*BO170+BP258*BP170+BQ258*BQ170+BR258*BR170+BS258*BS170+BT258*BT170+BU258*BU170+BV258*BV170+BW258*BW170+BX258*BX170+BY258*BY170+BZ258*BZ170+CA258*CA170+CB258*CB170+CC258*CC170+CD258*CD170+CE258*CE170+CF258*CF170+CG258*CG170+CH258*CH170+CI258*CI170+CJ258*CJ170+CK258*CK170+CL258*CL170+CM258*CM170+CN258*CN170</f>
        <v>0</v>
      </c>
    </row>
    <row r="171" spans="2:105" ht="18" x14ac:dyDescent="0.25">
      <c r="B171" s="1083">
        <v>38</v>
      </c>
      <c r="C171" s="1073" t="s">
        <v>299</v>
      </c>
      <c r="D171" s="806" t="s">
        <v>3178</v>
      </c>
      <c r="E171" s="2678">
        <f>(1-Y_CASTO_SB_ana-Y_CASTO_H2_ana_low)/Y_CASTO_SB_ana</f>
        <v>8</v>
      </c>
      <c r="F171" s="2678">
        <f>0</f>
        <v>0</v>
      </c>
      <c r="G171" s="2681">
        <f>-1/Y_CASTO_SB_ana</f>
        <v>-10</v>
      </c>
      <c r="H171" s="2678">
        <f>0</f>
        <v>0</v>
      </c>
      <c r="I171" s="2678">
        <f>0</f>
        <v>0</v>
      </c>
      <c r="J171" s="2678">
        <f>0</f>
        <v>0</v>
      </c>
      <c r="K171" s="2678">
        <f>0</f>
        <v>0</v>
      </c>
      <c r="L171" s="2678">
        <f>0</f>
        <v>0</v>
      </c>
      <c r="M171" s="2678">
        <f>0</f>
        <v>0</v>
      </c>
      <c r="N171" s="2678">
        <f>0</f>
        <v>0</v>
      </c>
      <c r="O171" s="2678">
        <f>0</f>
        <v>0</v>
      </c>
      <c r="P171" s="2681">
        <f>1</f>
        <v>1</v>
      </c>
      <c r="Q171" s="2681">
        <f>0</f>
        <v>0</v>
      </c>
      <c r="R171" s="2678">
        <f>0</f>
        <v>0</v>
      </c>
      <c r="S171" s="2678">
        <f>0</f>
        <v>0</v>
      </c>
      <c r="T171" s="2678">
        <f>0</f>
        <v>0</v>
      </c>
      <c r="U171" s="2678">
        <f>0</f>
        <v>0</v>
      </c>
      <c r="V171" s="2678">
        <f>0</f>
        <v>0</v>
      </c>
      <c r="W171" s="2678">
        <f>0</f>
        <v>0</v>
      </c>
      <c r="X171" s="2678">
        <f>0</f>
        <v>0</v>
      </c>
      <c r="Y171" s="2678">
        <f>0</f>
        <v>0</v>
      </c>
      <c r="Z171" s="2678">
        <f>0</f>
        <v>0</v>
      </c>
      <c r="AA171" s="2678">
        <f>0</f>
        <v>0</v>
      </c>
      <c r="AB171" s="2678">
        <f>0</f>
        <v>0</v>
      </c>
      <c r="AC171" s="2741">
        <f>0</f>
        <v>0</v>
      </c>
      <c r="AD171" s="2678">
        <f>0</f>
        <v>0</v>
      </c>
      <c r="AE171" s="2681">
        <f>0</f>
        <v>0</v>
      </c>
      <c r="AF171" s="2681">
        <f>0</f>
        <v>0</v>
      </c>
      <c r="AG171" s="2681">
        <f>0</f>
        <v>0</v>
      </c>
      <c r="AH171" s="2678">
        <f>0</f>
        <v>0</v>
      </c>
      <c r="AI171" s="2678">
        <f>0</f>
        <v>0</v>
      </c>
      <c r="AJ171" s="2678">
        <f>0</f>
        <v>0</v>
      </c>
      <c r="AK171" s="2678">
        <f>0</f>
        <v>0</v>
      </c>
      <c r="AL171" s="2678">
        <f>0</f>
        <v>0</v>
      </c>
      <c r="AM171" s="2681">
        <f>0</f>
        <v>0</v>
      </c>
      <c r="AN171" s="2678">
        <f>0</f>
        <v>0</v>
      </c>
      <c r="AO171" s="2678">
        <f>0</f>
        <v>0</v>
      </c>
      <c r="AP171" s="2678">
        <f>0</f>
        <v>0</v>
      </c>
      <c r="AQ171" s="2678">
        <f>0</f>
        <v>0</v>
      </c>
      <c r="AR171" s="2678">
        <f>0</f>
        <v>0</v>
      </c>
      <c r="AS171" s="2678">
        <f>0</f>
        <v>0</v>
      </c>
      <c r="AT171" s="2678">
        <f>Y_CASTO_H2_ana_low/Y_CASTO_SB_ana</f>
        <v>1</v>
      </c>
      <c r="AU171" s="2678">
        <f>(i_CIT_SB_poly-i_CIT_VFA*(1-Y_CASTO_SB_ana-Y_CASTO_H2_ana_low)-i_CIT_PHA*Y_CASTO_SB_ana)/Y_CASTO_SB_ana</f>
        <v>-0.4730000000000007</v>
      </c>
      <c r="AV171" s="2681">
        <f>i_INORG</f>
        <v>0.11</v>
      </c>
      <c r="AW171" s="2681">
        <f>-i_INORG*(1-i_Ca_INORG*(A_MCa+2*A_MCl)/A_MCa-i_Mg_INORG*(A_MMg+2*A_MCl)/A_MMg)*f_Na</f>
        <v>-2.8804303582798466E-2</v>
      </c>
      <c r="AX171" s="2681">
        <f>-i_INORG*(i_Ca_INORG*(2*A_MCl)/A_MCa+i_Mg_INORG*(2*A_MCl)/A_MMg)-i_INORG*(1-i_Ca_INORG*(A_MCa+2*A_MCl)/A_MCa-i_Mg_INORG*(A_MMg+2*A_MCl)/A_MMg)*(1-f_Na)</f>
        <v>-7.0195696417201539E-2</v>
      </c>
      <c r="AY171" s="2681">
        <f>-i_INORG*i_Ca_INORG</f>
        <v>-5.5000000000000005E-3</v>
      </c>
      <c r="AZ171" s="2681">
        <f>-i_INORG*i_Mg_INORG</f>
        <v>-5.5000000000000005E-3</v>
      </c>
      <c r="BA171" s="2681">
        <f>0</f>
        <v>0</v>
      </c>
      <c r="BB171" s="2681">
        <f>0</f>
        <v>0</v>
      </c>
      <c r="BC171" s="2681">
        <f>0</f>
        <v>0</v>
      </c>
      <c r="BD171" s="2681">
        <f>0</f>
        <v>0</v>
      </c>
      <c r="BE171" s="2681">
        <f>0</f>
        <v>0</v>
      </c>
      <c r="BF171" s="2681">
        <f>0</f>
        <v>0</v>
      </c>
      <c r="BG171" s="2681">
        <f>0</f>
        <v>0</v>
      </c>
      <c r="BH171" s="2681">
        <f>0</f>
        <v>0</v>
      </c>
      <c r="BI171" s="2681">
        <f>0</f>
        <v>0</v>
      </c>
      <c r="BJ171" s="2766">
        <f>0</f>
        <v>0</v>
      </c>
      <c r="BK171" s="2766">
        <f>0</f>
        <v>0</v>
      </c>
      <c r="BL171" s="2766">
        <f>0</f>
        <v>0</v>
      </c>
      <c r="BM171" s="2766">
        <f>0</f>
        <v>0</v>
      </c>
      <c r="BN171" s="2766">
        <f>0</f>
        <v>0</v>
      </c>
      <c r="BO171" s="2766">
        <f>0</f>
        <v>0</v>
      </c>
      <c r="BP171" s="2766">
        <f>0</f>
        <v>0</v>
      </c>
      <c r="BQ171" s="2681">
        <f>0</f>
        <v>0</v>
      </c>
      <c r="BR171" s="2681">
        <f>0</f>
        <v>0</v>
      </c>
      <c r="BS171" s="2766">
        <f>0</f>
        <v>0</v>
      </c>
      <c r="BT171" s="2681">
        <f>0</f>
        <v>0</v>
      </c>
      <c r="BU171" s="2681">
        <f>0</f>
        <v>0</v>
      </c>
      <c r="BV171" s="2758">
        <f>0</f>
        <v>0</v>
      </c>
      <c r="BW171" s="2758">
        <f>0</f>
        <v>0</v>
      </c>
      <c r="BX171" s="2758">
        <f>0</f>
        <v>0</v>
      </c>
      <c r="BY171" s="2758">
        <f>0</f>
        <v>0</v>
      </c>
      <c r="BZ171" s="2681">
        <f>0</f>
        <v>0</v>
      </c>
      <c r="CA171" s="2681">
        <f>0</f>
        <v>0</v>
      </c>
      <c r="CB171" s="2728">
        <f>0</f>
        <v>0</v>
      </c>
      <c r="CC171" s="2681">
        <f>0</f>
        <v>0</v>
      </c>
      <c r="CD171" s="2681">
        <f>0</f>
        <v>0</v>
      </c>
      <c r="CE171" s="2681">
        <f>0</f>
        <v>0</v>
      </c>
      <c r="CF171" s="2681">
        <f>0</f>
        <v>0</v>
      </c>
      <c r="CG171" s="2681">
        <f>0</f>
        <v>0</v>
      </c>
      <c r="CH171" s="2681">
        <f>0</f>
        <v>0</v>
      </c>
      <c r="CI171" s="2681">
        <f>0</f>
        <v>0</v>
      </c>
      <c r="CJ171" s="2681">
        <f>0</f>
        <v>0</v>
      </c>
      <c r="CK171" s="2681">
        <f>0</f>
        <v>0</v>
      </c>
      <c r="CL171" s="2681">
        <f>0</f>
        <v>0</v>
      </c>
      <c r="CM171" s="2681">
        <f>0</f>
        <v>0</v>
      </c>
      <c r="CN171" s="2681">
        <f>0</f>
        <v>0</v>
      </c>
      <c r="CO171" s="2828">
        <f>µ_FERM_PAO_T*X_CASTO*actferm_PAO_ORP*L_oginhSVFA_KVFA_FERM*M_satSB_KSB_poly_ana*M_satSNHx_KNHx_BIO*M_satSPO4_KPO4_BIO*M_satSCAT_KCAT*M_satSAN_KAN*M_satSCa_KCa*M_satSMg_KMg*M_satSCO2_KCO2_BIO*B_ellinhpH</f>
        <v>3.917406641298463E-9</v>
      </c>
      <c r="CQ171" s="2650">
        <f>E248*E171+F248*F171+G248*G171+H248*H171+I248*I171+J248*J171+K248*K171+L248*L171+M248*M171+N248*N171+O248*O171+P248*P171+Q248*Q171+R248*R171+S248*S171+T248*T171+U248*U171+V248*V171+W248*W171+X248*X171+Y248*Y171+Z248*Z171+AA248*AA171+AB248*AB171+AC248*AC171+AD248*AD171+AE248*AE171+AF248*AF171+AG248*AG171+AH248*AH171+AI248*AI171+AJ248*AJ171+AK248*AK171+AL248*AL171+AM248*AM171+AN248*AN171+AO248*AO171+AP248*AP171+AQ248*AQ171+AR248*AR171+AS248*AS171+AT248*AT171+AU248*AU171+AV248*AV171+AW248*AW171+AX248*AX171+AY248*AY171+AZ248*AZ171+BA248*BA171+BB248*BB171+BC248*BC171+BD248*BD171+BE248*BE171+BF248*BF171+BG248*BG171+BH248*BH171+BI248*BI171+BJ248*BJ171+BK248*BK171+BL248*BL171+BM248*BM171+BN248*BN171+BO248*BO171+BP248*BP171+BQ248*BQ171+BR248*BR171+BS248*BS171+BT248*BT171+BU248*BU171+BV248*BV171+BW248*BW171+BX248*BX171+BY248*BY171+BZ248*BZ171+CA248*CA171+CB248*CB171+CC248*CC171+CD248*CD171+CE248*CE171+CF248*CF171+CG248*CG171+CH248*CH171+CI248*CI171+CJ248*CJ171+CK248*CK171+CL248*CL171+CM248*CM171+CN248*CN171</f>
        <v>0</v>
      </c>
      <c r="CR171" s="2650">
        <f>E249*E171+F249*F171+G249*G171+H249*H171+I249*I171+J249*J171+K249*K171+L249*L171+M249*M171+N249*N171+O249*O171+P249*P171+Q249*Q171+R249*R171+S249*S171+T249*T171+U249*U171+V249*V171+W249*W171+X249*X171+Y249*Y171+Z249*Z171+AA249*AA171+AB249*AB171+AC249*AC171+AD249*AD171+AE249*AE171+AF249*AF171+AG249*AG171+AH249*AH171+AI249*AI171+AJ249*AJ171+AK249*AK171+AL249*AL171+AM249*AM171+AN249*AN171+AO249*AO171+AP249*AP171+AQ249*AQ171+AR249*AR171+AS249*AS171+AT249*AT171+AU249*AU171+AV249*AV171+AW249*AW171+AX249*AX171+AY249*AY171+AZ249*AZ171+BA249*BA171+BB249*BB171+BC249*BC171+BD249*BD171+BE249*BE171+BF249*BF171+BG249*BG171+BH249*BH171+BI249*BI171+BJ249*BJ171+BK249*BK171+BL249*BL171+BM249*BM171+BN249*BN171+BO249*BO171+BP249*BP171+BQ249*BQ171+BR249*BR171+BS249*BS171+BT249*BT171+BU249*BU171+BV249*BV171+BW249*BW171+BX249*BX171+BY249*BY171+BZ249*BZ171+CA249*CA171+CB249*CB171+CC249*CC171+CD249*CD171+CE249*CE171+CF249*CF171+CG249*CG171+CH249*CH171+CI249*CI171+CJ249*CJ171+CK249*CK171+CL249*CL171+CM249*CM171+CN249*CN171</f>
        <v>-5.5511151231257827E-16</v>
      </c>
      <c r="CS171" s="2651">
        <f>E250*E171+F250*F171+G250*G171+H250*H171+I250*I171+J250*J171+K250*K171+L250*L171+M250*M171+N250*N171+O250*O171+P250*P171+Q250*Q171+R250*R171+S250*S171+T250*T171+U250*U171+V250*V171+W250*W171+X250*X171+Y250*Y171+Z250*Z171+AA250*AA171+AB250*AB171+AC250*AC171+AD250*AD171+AE250*AE171+AF250*AF171+AG250*AG171+AH250*AH171+AI250*AI171+AJ250*AJ171+AK250*AK171+AL250*AL171+AM250*AM171+AN250*AN171+AO250*AO171+AP250*AP171+AQ250*AQ171+AR250*AR171+AS250*AS171+AT250*AT171+AU250*AU171+AV250*AV171+AW250*AW171+AX250*AX171+AY250*AY171+AZ250*AZ171+BA250*BA171+BB250*BB171+BC250*BC171+BD250*BD171+BE250*BE171+BF250*BF171+BG250*BG171+BH250*BH171+BI250*BI171+BJ250*BJ171+BK250*BK171+BL250*BL171+BM250*BM171+BN250*BN171+BO250*BO171+BP250*BP171+BQ250*BQ171+BR250*BR171+BS250*BS171+BT250*BT171+BU250*BU171+BV250*BV171+BW250*BW171+BX250*BX171+BY250*BY171+BZ250*BZ171+CA250*CA171+CB250*CB171+CC250*CC171+CD250*CD171+CE250*CE171+CF250*CF171+CG250*CG171+CH250*CH171+CI250*CI171+CJ250*CJ171+CK250*CK171+CL250*CL171+CM250*CM171+CN250*CN171</f>
        <v>0</v>
      </c>
      <c r="CT171" s="2652">
        <f>E251*E171+F251*F171+G251*G171+H251*H171+I251*I171+J251*J171+K251*K171+L251*L171+M251*M171+N251*N171+O251*O171+P251*P171+Q251*Q171+R251*R171+S251*S171+T251*T171+U251*U171+V251*V171+W251*W171+X251*X171+Y251*Y171+Z251*Z171+AA251*AA171+AB251*AB171+AC251*AC171+AD251*AD171+AE251*AE171+AF251*AF171+AG251*AG171+AH251*AH171+AI251*AI171+AJ251*AJ171+AK251*AK171+AL251*AL171+AM251*AM171+AN251*AN171+AO251*AO171+AP251*AP171+AQ251*AQ171+AR251*AR171+AS251*AS171+AT251*AT171+AU251*AU171+AV251*AV171+AW251*AW171+AX251*AX171+AY251*AY171+AZ251*AZ171+BA251*BA171+BB251*BB171+BC251*BC171+BD251*BD171+BE251*BE171+BF251*BF171+BG251*BG171+BH251*BH171+BI251*BI171+BJ251*BJ171+BK251*BK171+BL251*BL171+BM251*BM171+BN251*BN171+BO251*BO171+BP251*BP171+BQ251*BQ171+BR251*BR171+BS251*BS171+BT251*BT171+BU251*BU171+BV251*BV171+BW251*BW171+BX251*BX171+BY251*BY171+BZ251*BZ171+CA251*CA171+CB251*CB171+CC251*CC171+CD251*CD171+CE251*CE171+CF251*CF171+CG251*CG171+CH251*CH171+CI251*CI171+CJ251*CJ171+CK251*CK171+CL251*CL171+CM251*CM171+CN251*CN171</f>
        <v>0</v>
      </c>
      <c r="CU171" s="2652">
        <f>E252*E171+F252*F171+G252*G171+H252*H171+I252*I171+J252*J171+K252*K171+L252*L171+M252*M171+N252*N171+O252*O171+P252*P171+Q252*Q171+R252*R171+S252*S171+T252*T171+U252*U171+V252*V171+W252*W171+X252*X171+Y252*Y171+Z252*Z171+AA252*AA171+AB252*AB171+AC252*AC171+AD252*AD171+AE252*AE171+AF252*AF171+AG252*AG171+AH252*AH171+AI252*AI171+AJ252*AJ171+AK252*AK171+AL252*AL171+AM252*AM171+AN252*AN171+AO252*AO171+AP252*AP171+AQ252*AQ171+AR252*AR171+AS252*AS171+AT252*AT171+AU252*AU171+AV252*AV171+AW252*AW171+AX252*AX171+AY252*AY171+AZ252*AZ171+BA252*BA171+BB252*BB171+BC252*BC171+BD252*BD171+BE252*BE171+BF252*BF171+BG252*BG171+BH252*BH171+BI252*BI171+BJ252*BJ171+BK252*BK171+BL252*BL171+BM252*BM171+BN252*BN171+BO252*BO171+BP252*BP171+BQ252*BQ171+BR252*BR171+BS252*BS171+BT252*BT171+BU252*BU171+BV252*BV171+BW252*BW171+BX252*BX171+BY252*BY171+BZ252*BZ171+CA252*CA171+CB252*CB171+CC252*CC171+CD252*CD171+CE252*CE171+CF252*CF171+CG252*CG171+CH252*CH171+CI252*CI171+CJ252*CJ171+CK252*CK171+CL252*CL171+CM252*CM171+CN252*CN171</f>
        <v>0</v>
      </c>
      <c r="CV171" s="2652">
        <f>E253*E171+F253*F171+G253*G171+H253*H171+I253*I171+J253*J171+K253*K171+L253*L171+M253*M171+N253*N171+O253*O171+P253*P171+Q253*Q171+R253*R171+S253*S171+T253*T171+U253*U171+V253*V171+W253*W171+X253*X171+Y253*Y171+Z253*Z171+AA253*AA171+AB253*AB171+AC253*AC171+AD253*AD171+AE253*AE171+AF253*AF171+AG253*AG171+AH253*AH171+AI253*AI171+AJ253*AJ171+AK253*AK171+AL253*AL171+AM253*AM171+AN253*AN171+AO253*AO171+AP253*AP171+AQ253*AQ171+AR253*AR171+AS253*AS171+AT253*AT171+AU253*AU171+AV253*AV171+AW253*AW171+AX253*AX171+AY253*AY171+AZ253*AZ171+BA253*BA171+BB253*BB171+BC253*BC171+BD253*BD171+BE253*BE171+BF253*BF171+BG253*BG171+BH253*BH171+BI253*BI171+BJ253*BJ171+BK253*BK171+BL253*BL171+BM253*BM171+BN253*BN171+BO253*BO171+BP253*BP171+BQ253*BQ171+BR253*BR171+BS253*BS171+BT253*BT171+BU253*BU171+BV253*BV171+BW253*BW171+BX253*BX171+BY253*BY171+BZ253*BZ171+CA253*CA171+CB253*CB171+CC253*CC171+CD253*CD171+CE253*CE171+CF253*CF171+CG253*CG171+CH253*CH171+CI253*CI171+CJ253*CJ171+CK253*CK171+CL253*CL171+CM253*CM171+CN253*CN171</f>
        <v>0</v>
      </c>
      <c r="CW171" s="2652">
        <f>E254*E171+F254*F171+G254*G171+H254*H171+I254*I171+J254*J171+K254*K171+L254*L171+M254*M171+N254*N171+O254*O171+P254*P171+Q254*Q171+R254*R171+S254*S171+T254*T171+U254*U171+V254*V171+W254*W171+X254*X171+Y254*Y171+Z254*Z171+AA254*AA171+AB254*AB171+AC254*AC171+AD254*AD171+AE254*AE171+AF254*AF171+AG254*AG171+AH254*AH171+AI254*AI171+AJ254*AJ171+AK254*AK171+AL254*AL171+AM254*AM171+AN254*AN171+AO254*AO171+AP254*AP171+AQ254*AQ171+AR254*AR171+AS254*AS171+AT254*AT171+AU254*AU171+AV254*AV171+AW254*AW171+AX254*AX171+AY254*AY171+AZ254*AZ171+BA254*BA171+BB254*BB171+BC254*BC171+BD254*BD171+BE254*BE171+BF254*BF171+BG254*BG171+BH254*BH171+BI254*BI171+BJ254*BJ171+BK254*BK171+BL254*BL171+BM254*BM171+BN254*BN171+BO254*BO171+BP254*BP171+BQ254*BQ171+BR254*BR171+BS254*BS171+BT254*BT171+BU254*BU171+BV254*BV171+BW254*BW171+BX254*BX171+BY254*BY171+BZ254*BZ171+CA254*CA171+CB254*CB171+CC254*CC171+CD254*CD171+CE254*CE171+CF254*CF171+CG254*CG171+CH254*CH171+CI254*CI171+CJ254*CJ171+CK254*CK171+CL254*CL171+CM254*CM171+CN254*CN171</f>
        <v>0</v>
      </c>
      <c r="CX171" s="2652">
        <f>E255*E171+F255*F171+G255*G171+H255*H171+I255*I171+J255*J171+K255*K171+L255*L171+M255*M171+N255*N171+O255*O171+P255*P171+Q255*Q171+R255*R171+S255*S171+T255*T171+U255*U171+V255*V171+W255*W171+X255*X171+Y255*Y171+Z255*Z171+AA255*AA171+AB255*AB171+AC255*AC171+AD255*AD171+AE255*AE171+AF255*AF171+AG255*AG171+AH255*AH171+AI255*AI171+AJ255*AJ171+AK255*AK171+AL255*AL171+AM255*AM171+AN255*AN171+AO255*AO171+AP255*AP171+AQ255*AQ171+AR255*AR171+AS255*AS171+AT255*AT171+AU255*AU171+AV255*AV171+AW255*AW171+AX255*AX171+AY255*AY171+AZ255*AZ171+BA255*BA171+BB255*BB171+BC255*BC171+BD255*BD171+BE255*BE171+BF255*BF171+BG255*BG171+BH255*BH171+BI255*BI171+BJ255*BJ171+BK255*BK171+BL255*BL171+BM255*BM171+BN255*BN171+BO255*BO171+BP255*BP171+BQ255*BQ171+BR255*BR171+BS255*BS171+BT255*BT171+BU255*BU171+BV255*BV171+BW255*BW171+BX255*BX171+BY255*BY171+BZ255*BZ171+CA255*CA171+CB255*CB171+CC255*CC171+CD255*CD171+CE255*CE171+CF255*CF171+CG255*CG171+CH255*CH171+CI255*CI171+CJ255*CJ171+CK255*CK171+CL255*CL171+CM255*CM171+CN255*CN171</f>
        <v>0</v>
      </c>
      <c r="CY171" s="2652">
        <f>E256*E171+F256*F171+G256*G171+H256*H171+I256*I171+J256*J171+K256*K171+L256*L171+M256*M171+N256*N171+O256*O171+P256*P171+Q256*Q171+R256*R171+S256*S171+T256*T171+U256*U171+V256*V171+W256*W171+X256*X171+Y256*Y171+Z256*Z171+AA256*AA171+AB256*AB171+AC256*AC171+AD256*AD171+AE256*AE171+AF256*AF171+AG256*AG171+AH256*AH171+AI256*AI171+AJ256*AJ171+AK256*AK171+AL256*AL171+AM256*AM171+AN256*AN171+AO256*AO171+AP256*AP171+AQ256*AQ171+AR256*AR171+AS256*AS171+AT256*AT171+AU256*AU171+AV256*AV171+AW256*AW171+AX256*AX171+AY256*AY171+AZ256*AZ171+BA256*BA171+BB256*BB171+BC256*BC171+BD256*BD171+BE256*BE171+BF256*BF171+BG256*BG171+BH256*BH171+BI256*BI171+BJ256*BJ171+BK256*BK171+BL256*BL171+BM256*BM171+BN256*BN171+BO256*BO171+BP256*BP171+BQ256*BQ171+BR256*BR171+BS256*BS171+BT256*BT171+BU256*BU171+BV256*BV171+BW256*BW171+BX256*BX171+BY256*BY171+BZ256*BZ171+CA256*CA171+CB256*CB171+CC256*CC171+CD256*CD171+CE256*CE171+CF256*CF171+CG256*CG171+CH256*CH171+CI256*CI171+CJ256*CJ171+CK256*CK171+CL256*CL171+CM256*CM171+CN256*CN171</f>
        <v>0</v>
      </c>
      <c r="CZ171" s="2652">
        <f>E257*E171+F257*F171+G257*G171+H257*H171+I257*I171+J257*J171+K257*K171+L257*L171+M257*M171+N257*N171+O257*O171+P257*P171+Q257*Q171+R257*R171+S257*S171+T257*T171+U257*U171+V257*V171+W257*W171+X257*X171+Y257*Y171+Z257*Z171+AA257*AA171+AB257*AB171+AC257*AC171+AD257*AD171+AE257*AE171+AF257*AF171+AG257*AG171+AH257*AH171+AI257*AI171+AJ257*AJ171+AK257*AK171+AL257*AL171+AM257*AM171+AN257*AN171+AO257*AO171+AP257*AP171+AQ257*AQ171+AR257*AR171+AS257*AS171+AT257*AT171+AU257*AU171+AV257*AV171+AW257*AW171+AX257*AX171+AY257*AY171+AZ257*AZ171+BA257*BA171+BB257*BB171+BC257*BC171+BD257*BD171+BE257*BE171+BF257*BF171+BG257*BG171+BH257*BH171+BI257*BI171+BJ257*BJ171+BK257*BK171+BL257*BL171+BM257*BM171+BN257*BN171+BO257*BO171+BP257*BP171+BQ257*BQ171+BR257*BR171+BS257*BS171+BT257*BT171+BU257*BU171+BV257*BV171+BW257*BW171+BX257*BX171+BY257*BY171+BZ257*BZ171+CA257*CA171+CB257*CB171+CC257*CC171+CD257*CD171+CE257*CE171+CF257*CF171+CG257*CG171+CH257*CH171+CI257*CI171+CJ257*CJ171+CK257*CK171+CL257*CL171+CM257*CM171+CN257*CN171</f>
        <v>0</v>
      </c>
      <c r="DA171" s="2652">
        <f>E258*E171+F258*F171+G258*G171+H258*H171+I258*I171+J258*J171+K258*K171+L258*L171+M258*M171+N258*N171+O258*O171+P258*P171+Q258*Q171+R258*R171+S258*S171+T258*T171+U258*U171+V258*V171+W258*W171+X258*X171+Y258*Y171+Z258*Z171+AA258*AA171+AB258*AB171+AC258*AC171+AD258*AD171+AE258*AE171+AF258*AF171+AG258*AG171+AH258*AH171+AI258*AI171+AJ258*AJ171+AK258*AK171+AL258*AL171+AM258*AM171+AN258*AN171+AO258*AO171+AP258*AP171+AQ258*AQ171+AR258*AR171+AS258*AS171+AT258*AT171+AU258*AU171+AV258*AV171+AW258*AW171+AX258*AX171+AY258*AY171+AZ258*AZ171+BA258*BA171+BB258*BB171+BC258*BC171+BD258*BD171+BE258*BE171+BF258*BF171+BG258*BG171+BH258*BH171+BI258*BI171+BJ258*BJ171+BK258*BK171+BL258*BL171+BM258*BM171+BN258*BN171+BO258*BO171+BP258*BP171+BQ258*BQ171+BR258*BR171+BS258*BS171+BT258*BT171+BU258*BU171+BV258*BV171+BW258*BW171+BX258*BX171+BY258*BY171+BZ258*BZ171+CA258*CA171+CB258*CB171+CC258*CC171+CD258*CD171+CE258*CE171+CF258*CF171+CG258*CG171+CH258*CH171+CI258*CI171+CJ258*CJ171+CK258*CK171+CL258*CL171+CM258*CM171+CN258*CN171</f>
        <v>0</v>
      </c>
    </row>
    <row r="172" spans="2:105" ht="18" x14ac:dyDescent="0.25">
      <c r="B172" s="1083">
        <v>39</v>
      </c>
      <c r="C172" s="1073" t="s">
        <v>300</v>
      </c>
      <c r="D172" s="806" t="s">
        <v>4102</v>
      </c>
      <c r="E172" s="2681">
        <f>X_STC/X_CASTO</f>
        <v>4.5999999999999999E-2</v>
      </c>
      <c r="F172" s="2681">
        <f>0</f>
        <v>0</v>
      </c>
      <c r="G172" s="2678">
        <f>0</f>
        <v>0</v>
      </c>
      <c r="H172" s="2678">
        <f>0</f>
        <v>0</v>
      </c>
      <c r="I172" s="2713">
        <f>f_C</f>
        <v>0.1</v>
      </c>
      <c r="J172" s="2678">
        <f>0</f>
        <v>0</v>
      </c>
      <c r="K172" s="2678">
        <f>(1-f_E)*(1-f_C)</f>
        <v>0.82800000000000007</v>
      </c>
      <c r="L172" s="2678">
        <f>0</f>
        <v>0</v>
      </c>
      <c r="M172" s="2678">
        <f>0</f>
        <v>0</v>
      </c>
      <c r="N172" s="2678">
        <f>0</f>
        <v>0</v>
      </c>
      <c r="O172" s="2678">
        <f>0</f>
        <v>0</v>
      </c>
      <c r="P172" s="2681">
        <f>-X_PHA_PAO/X_CASTO</f>
        <v>-0.04</v>
      </c>
      <c r="Q172" s="2681">
        <f>-X_PHA_GAO/X_CASTO</f>
        <v>-6.0000000000000001E-3</v>
      </c>
      <c r="R172" s="2678">
        <f>f_E*(1-f_C)</f>
        <v>7.2000000000000008E-2</v>
      </c>
      <c r="S172" s="2678">
        <f>0</f>
        <v>0</v>
      </c>
      <c r="T172" s="2678">
        <f>0</f>
        <v>0</v>
      </c>
      <c r="U172" s="2678">
        <f>0</f>
        <v>0</v>
      </c>
      <c r="V172" s="2678">
        <f>-1</f>
        <v>-1</v>
      </c>
      <c r="W172" s="2678">
        <f>0</f>
        <v>0</v>
      </c>
      <c r="X172" s="2678">
        <f>0</f>
        <v>0</v>
      </c>
      <c r="Y172" s="2678">
        <f>0</f>
        <v>0</v>
      </c>
      <c r="Z172" s="2678">
        <f>0</f>
        <v>0</v>
      </c>
      <c r="AA172" s="2678">
        <f>0</f>
        <v>0</v>
      </c>
      <c r="AB172" s="2678">
        <f>0</f>
        <v>0</v>
      </c>
      <c r="AC172" s="2741">
        <f>0</f>
        <v>0</v>
      </c>
      <c r="AD172" s="2678">
        <f>i_N_BIO-f_E*(1-f_C)*i_N_XE-f_C*i_N_CB-(1-f_E)*(1-f_C)*i_N_BIO</f>
        <v>6.7199999999999899E-3</v>
      </c>
      <c r="AE172" s="2678">
        <f>0</f>
        <v>0</v>
      </c>
      <c r="AF172" s="2678">
        <f>0</f>
        <v>0</v>
      </c>
      <c r="AG172" s="2678">
        <f>0</f>
        <v>0</v>
      </c>
      <c r="AH172" s="2678">
        <f>0</f>
        <v>0</v>
      </c>
      <c r="AI172" s="2678">
        <f>0</f>
        <v>0</v>
      </c>
      <c r="AJ172" s="2678">
        <f>(1-f_E)*(1-f_C)*i_N_BIO</f>
        <v>5.7960000000000012E-2</v>
      </c>
      <c r="AK172" s="2678">
        <f>0</f>
        <v>0</v>
      </c>
      <c r="AL172" s="2681">
        <f>X_PP/X_CASTO+i_P_BIO-f_E*(1-f_C)*i_P_BIO-f_C*i_P_CB-(1-f_E)*(1-f_C)*i_P_BIO</f>
        <v>0.12179999999999998</v>
      </c>
      <c r="AM172" s="2681">
        <f>-X_PP/X_CASTO</f>
        <v>-0.12</v>
      </c>
      <c r="AN172" s="2678">
        <f>0</f>
        <v>0</v>
      </c>
      <c r="AO172" s="2678">
        <f>0</f>
        <v>0</v>
      </c>
      <c r="AP172" s="2678">
        <f>(1-f_E)*(1-f_C)*i_P_BIO</f>
        <v>1.6560000000000002E-2</v>
      </c>
      <c r="AQ172" s="2678">
        <f>0</f>
        <v>0</v>
      </c>
      <c r="AR172" s="2678">
        <f>0</f>
        <v>0</v>
      </c>
      <c r="AS172" s="2678">
        <f>0</f>
        <v>0</v>
      </c>
      <c r="AT172" s="2678">
        <f>0</f>
        <v>0</v>
      </c>
      <c r="AU172" s="2678">
        <f>i_CIT_BIO-f_E*(1-f_C)*i_CIT_BIO-(1-f_E)*(1-f_C)*i_CIT_XBe-(1-f_E)*f_C*i_CIT_XBe-f_E*f_C*i_CIT_XBe+(i_CIT_STC-i_CIT_VFA)*X_STC/X_CASTO</f>
        <v>5.9316000000000015E-2</v>
      </c>
      <c r="AV172" s="2678">
        <f>0</f>
        <v>0</v>
      </c>
      <c r="AW172" s="2681">
        <f>0</f>
        <v>0</v>
      </c>
      <c r="AX172" s="2681">
        <f>0</f>
        <v>0</v>
      </c>
      <c r="AY172" s="2758">
        <f>X_PP*A_MCa/A_MP*i_Ca_PP/X_CASTO</f>
        <v>1.5527206443135931E-2</v>
      </c>
      <c r="AZ172" s="2758">
        <f>X_PP*A_MMg/A_MP*i_Mg_PP/X_CASTO</f>
        <v>3.295724921656433E-2</v>
      </c>
      <c r="BA172" s="2758">
        <f>X_PP*A_MK/A_MP*i_K_PP/X_CASTO</f>
        <v>1.5147646481253094E-2</v>
      </c>
      <c r="BB172" s="2678">
        <f>0</f>
        <v>0</v>
      </c>
      <c r="BC172" s="2678">
        <f>0</f>
        <v>0</v>
      </c>
      <c r="BD172" s="2678">
        <f>0</f>
        <v>0</v>
      </c>
      <c r="BE172" s="2678">
        <f>0</f>
        <v>0</v>
      </c>
      <c r="BF172" s="2678">
        <f>0</f>
        <v>0</v>
      </c>
      <c r="BG172" s="2678">
        <f>0</f>
        <v>0</v>
      </c>
      <c r="BH172" s="2678">
        <f>0</f>
        <v>0</v>
      </c>
      <c r="BI172" s="2678">
        <f>0</f>
        <v>0</v>
      </c>
      <c r="BJ172" s="2767">
        <f>0</f>
        <v>0</v>
      </c>
      <c r="BK172" s="2767">
        <f>0</f>
        <v>0</v>
      </c>
      <c r="BL172" s="2767">
        <f>0</f>
        <v>0</v>
      </c>
      <c r="BM172" s="2767">
        <f>0</f>
        <v>0</v>
      </c>
      <c r="BN172" s="2767">
        <f>0</f>
        <v>0</v>
      </c>
      <c r="BO172" s="2767">
        <f>0</f>
        <v>0</v>
      </c>
      <c r="BP172" s="2767">
        <f>0</f>
        <v>0</v>
      </c>
      <c r="BQ172" s="2678">
        <f>0</f>
        <v>0</v>
      </c>
      <c r="BR172" s="2678">
        <f>0</f>
        <v>0</v>
      </c>
      <c r="BS172" s="2767">
        <f>0</f>
        <v>0</v>
      </c>
      <c r="BT172" s="2678">
        <f>0</f>
        <v>0</v>
      </c>
      <c r="BU172" s="2678">
        <f>0</f>
        <v>0</v>
      </c>
      <c r="BV172" s="2741">
        <f>0</f>
        <v>0</v>
      </c>
      <c r="BW172" s="2741">
        <f>0</f>
        <v>0</v>
      </c>
      <c r="BX172" s="2741">
        <f>0</f>
        <v>0</v>
      </c>
      <c r="BY172" s="2741">
        <f>0</f>
        <v>0</v>
      </c>
      <c r="BZ172" s="2678">
        <f>0</f>
        <v>0</v>
      </c>
      <c r="CA172" s="2678">
        <f>0</f>
        <v>0</v>
      </c>
      <c r="CB172" s="2679">
        <f>0</f>
        <v>0</v>
      </c>
      <c r="CC172" s="2678">
        <f>0</f>
        <v>0</v>
      </c>
      <c r="CD172" s="2678">
        <f>0</f>
        <v>0</v>
      </c>
      <c r="CE172" s="2678">
        <f>0</f>
        <v>0</v>
      </c>
      <c r="CF172" s="2678">
        <f>0</f>
        <v>0</v>
      </c>
      <c r="CG172" s="2678">
        <f>0</f>
        <v>0</v>
      </c>
      <c r="CH172" s="2678">
        <f>0</f>
        <v>0</v>
      </c>
      <c r="CI172" s="2678">
        <f>0</f>
        <v>0</v>
      </c>
      <c r="CJ172" s="2678">
        <f>0</f>
        <v>0</v>
      </c>
      <c r="CK172" s="2678">
        <f>0</f>
        <v>0</v>
      </c>
      <c r="CL172" s="2678">
        <f>0</f>
        <v>0</v>
      </c>
      <c r="CM172" s="2678">
        <f>0</f>
        <v>0</v>
      </c>
      <c r="CN172" s="2678">
        <f>0</f>
        <v>0</v>
      </c>
      <c r="CO172" s="2828">
        <f>b_CASTO_T*M_RinhXSTC_XCASTO_KSTC*(X_CASTO*M_satSO2_KO2_CASTO+η_bCASTO_anox*(X_GAO+X_PAO*M_RinhXPP_XPAO_KPP)*(M_satSNO2_KNO2_CASTO+M_inhSNO2_KNO2_CASTO*M_satSNO3_KNO3_CASTO)*M_inhSO2_KO2_CASTO)</f>
        <v>26.791831827110222</v>
      </c>
      <c r="CQ172" s="2650">
        <f>E248*E172+F248*F172+G248*G172+H248*H172+I248*I172+J248*J172+K248*K172+L248*L172+M248*M172+N248*N172+O248*O172+P248*P172+Q248*Q172+R248*R172+S248*S172+T248*T172+U248*U172+V248*V172+W248*W172+X248*X172+Y248*Y172+Z248*Z172+AA248*AA172+AB248*AB172+AC248*AC172+AD248*AD172+AE248*AE172+AF248*AF172+AG248*AG172+AH248*AH172+AI248*AI172+AJ248*AJ172+AK248*AK172+AL248*AL172+AM248*AM172+AN248*AN172+AO248*AO172+AP248*AP172+AQ248*AQ172+AR248*AR172+AS248*AS172+AT248*AT172+AU248*AU172+AV248*AV172+AW248*AW172+AX248*AX172+AY248*AY172+AZ248*AZ172+BA248*BA172+BB248*BB172+BC248*BC172+BD248*BD172+BE248*BE172+BF248*BF172+BG248*BG172+BH248*BH172+BI248*BI172+BJ248*BJ172+BK248*BK172+BL248*BL172+BM248*BM172+BN248*BN172+BO248*BO172+BP248*BP172+BQ248*BQ172+BR248*BR172+BS248*BS172+BT248*BT172+BU248*BU172+BV248*BV172+BW248*BW172+BX248*BX172+BY248*BY172+BZ248*BZ172+CA248*CA172+CB248*CB172+CC248*CC172+CD248*CD172+CE248*CE172+CF248*CF172+CG248*CG172+CH248*CH172+CI248*CI172+CJ248*CJ172+CK248*CK172+CL248*CL172+CM248*CM172+CN248*CN172</f>
        <v>0</v>
      </c>
      <c r="CR172" s="2650">
        <f>E249*E172+F249*F172+G249*G172+H249*H172+I249*I172+J249*J172+K249*K172+L249*L172+M249*M172+N249*N172+O249*O172+P249*P172+Q249*Q172+R249*R172+S249*S172+T249*T172+U249*U172+V249*V172+W249*W172+X249*X172+Y249*Y172+Z249*Z172+AA249*AA172+AB249*AB172+AC249*AC172+AD249*AD172+AE249*AE172+AF249*AF172+AG249*AG172+AH249*AH172+AI249*AI172+AJ249*AJ172+AK249*AK172+AL249*AL172+AM249*AM172+AN249*AN172+AO249*AO172+AP249*AP172+AQ249*AQ172+AR249*AR172+AS249*AS172+AT249*AT172+AU249*AU172+AV249*AV172+AW249*AW172+AX249*AX172+AY249*AY172+AZ249*AZ172+BA249*BA172+BB249*BB172+BC249*BC172+BD249*BD172+BE249*BE172+BF249*BF172+BG249*BG172+BH249*BH172+BI249*BI172+BJ249*BJ172+BK249*BK172+BL249*BL172+BM249*BM172+BN249*BN172+BO249*BO172+BP249*BP172+BQ249*BQ172+BR249*BR172+BS249*BS172+BT249*BT172+BU249*BU172+BV249*BV172+BW249*BW172+BX249*BX172+BY249*BY172+BZ249*BZ172+CA249*CA172+CB249*CB172+CC249*CC172+CD249*CD172+CE249*CE172+CF249*CF172+CG249*CG172+CH249*CH172+CI249*CI172+CJ249*CJ172+CK249*CK172+CL249*CL172+CM249*CM172+CN249*CN172</f>
        <v>-2.0816681711721685E-17</v>
      </c>
      <c r="CS172" s="2651">
        <f>E250*E172+F250*F172+G250*G172+H250*H172+I250*I172+J250*J172+K250*K172+L250*L172+M250*M172+N250*N172+O250*O172+P250*P172+Q250*Q172+R250*R172+S250*S172+T250*T172+U250*U172+V250*V172+W250*W172+X250*X172+Y250*Y172+Z250*Z172+AA250*AA172+AB250*AB172+AC250*AC172+AD250*AD172+AE250*AE172+AF250*AF172+AG250*AG172+AH250*AH172+AI250*AI172+AJ250*AJ172+AK250*AK172+AL250*AL172+AM250*AM172+AN250*AN172+AO250*AO172+AP250*AP172+AQ250*AQ172+AR250*AR172+AS250*AS172+AT250*AT172+AU250*AU172+AV250*AV172+AW250*AW172+AX250*AX172+AY250*AY172+AZ250*AZ172+BA250*BA172+BB250*BB172+BC250*BC172+BD250*BD172+BE250*BE172+BF250*BF172+BG250*BG172+BH250*BH172+BI250*BI172+BJ250*BJ172+BK250*BK172+BL250*BL172+BM250*BM172+BN250*BN172+BO250*BO172+BP250*BP172+BQ250*BQ172+BR250*BR172+BS250*BS172+BT250*BT172+BU250*BU172+BV250*BV172+BW250*BW172+BX250*BX172+BY250*BY172+BZ250*BZ172+CA250*CA172+CB250*CB172+CC250*CC172+CD250*CD172+CE250*CE172+CF250*CF172+CG250*CG172+CH250*CH172+CI250*CI172+CJ250*CJ172+CK250*CK172+CL250*CL172+CM250*CM172+CN250*CN172</f>
        <v>0</v>
      </c>
      <c r="CT172" s="2652">
        <f>E251*E172+F251*F172+G251*G172+H251*H172+I251*I172+J251*J172+K251*K172+L251*L172+M251*M172+N251*N172+O251*O172+P251*P172+Q251*Q172+R251*R172+S251*S172+T251*T172+U251*U172+V251*V172+W251*W172+X251*X172+Y251*Y172+Z251*Z172+AA251*AA172+AB251*AB172+AC251*AC172+AD251*AD172+AE251*AE172+AF251*AF172+AG251*AG172+AH251*AH172+AI251*AI172+AJ251*AJ172+AK251*AK172+AL251*AL172+AM251*AM172+AN251*AN172+AO251*AO172+AP251*AP172+AQ251*AQ172+AR251*AR172+AS251*AS172+AT251*AT172+AU251*AU172+AV251*AV172+AW251*AW172+AX251*AX172+AY251*AY172+AZ251*AZ172+BA251*BA172+BB251*BB172+BC251*BC172+BD251*BD172+BE251*BE172+BF251*BF172+BG251*BG172+BH251*BH172+BI251*BI172+BJ251*BJ172+BK251*BK172+BL251*BL172+BM251*BM172+BN251*BN172+BO251*BO172+BP251*BP172+BQ251*BQ172+BR251*BR172+BS251*BS172+BT251*BT172+BU251*BU172+BV251*BV172+BW251*BW172+BX251*BX172+BY251*BY172+BZ251*BZ172+CA251*CA172+CB251*CB172+CC251*CC172+CD251*CD172+CE251*CE172+CF251*CF172+CG251*CG172+CH251*CH172+CI251*CI172+CJ251*CJ172+CK251*CK172+CL251*CL172+CM251*CM172+CN251*CN172</f>
        <v>-1.7347234759768071E-17</v>
      </c>
      <c r="CU172" s="2652">
        <f>E252*E172+F252*F172+G252*G172+H252*H172+I252*I172+J252*J172+K252*K172+L252*L172+M252*M172+N252*N172+O252*O172+P252*P172+Q252*Q172+R252*R172+S252*S172+T252*T172+U252*U172+V252*V172+W252*W172+X252*X172+Y252*Y172+Z252*Z172+AA252*AA172+AB252*AB172+AC252*AC172+AD252*AD172+AE252*AE172+AF252*AF172+AG252*AG172+AH252*AH172+AI252*AI172+AJ252*AJ172+AK252*AK172+AL252*AL172+AM252*AM172+AN252*AN172+AO252*AO172+AP252*AP172+AQ252*AQ172+AR252*AR172+AS252*AS172+AT252*AT172+AU252*AU172+AV252*AV172+AW252*AW172+AX252*AX172+AY252*AY172+AZ252*AZ172+BA252*BA172+BB252*BB172+BC252*BC172+BD252*BD172+BE252*BE172+BF252*BF172+BG252*BG172+BH252*BH172+BI252*BI172+BJ252*BJ172+BK252*BK172+BL252*BL172+BM252*BM172+BN252*BN172+BO252*BO172+BP252*BP172+BQ252*BQ172+BR252*BR172+BS252*BS172+BT252*BT172+BU252*BU172+BV252*BV172+BW252*BW172+BX252*BX172+BY252*BY172+BZ252*BZ172+CA252*CA172+CB252*CB172+CC252*CC172+CD252*CD172+CE252*CE172+CF252*CF172+CG252*CG172+CH252*CH172+CI252*CI172+CJ252*CJ172+CK252*CK172+CL252*CL172+CM252*CM172+CN252*CN172</f>
        <v>0</v>
      </c>
      <c r="CV172" s="2652">
        <f>E253*E172+F253*F172+G253*G172+H253*H172+I253*I172+J253*J172+K253*K172+L253*L172+M253*M172+N253*N172+O253*O172+P253*P172+Q253*Q172+R253*R172+S253*S172+T253*T172+U253*U172+V253*V172+W253*W172+X253*X172+Y253*Y172+Z253*Z172+AA253*AA172+AB253*AB172+AC253*AC172+AD253*AD172+AE253*AE172+AF253*AF172+AG253*AG172+AH253*AH172+AI253*AI172+AJ253*AJ172+AK253*AK172+AL253*AL172+AM253*AM172+AN253*AN172+AO253*AO172+AP253*AP172+AQ253*AQ172+AR253*AR172+AS253*AS172+AT253*AT172+AU253*AU172+AV253*AV172+AW253*AW172+AX253*AX172+AY253*AY172+AZ253*AZ172+BA253*BA172+BB253*BB172+BC253*BC172+BD253*BD172+BE253*BE172+BF253*BF172+BG253*BG172+BH253*BH172+BI253*BI172+BJ253*BJ172+BK253*BK172+BL253*BL172+BM253*BM172+BN253*BN172+BO253*BO172+BP253*BP172+BQ253*BQ172+BR253*BR172+BS253*BS172+BT253*BT172+BU253*BU172+BV253*BV172+BW253*BW172+BX253*BX172+BY253*BY172+BZ253*BZ172+CA253*CA172+CB253*CB172+CC253*CC172+CD253*CD172+CE253*CE172+CF253*CF172+CG253*CG172+CH253*CH172+CI253*CI172+CJ253*CJ172+CK253*CK172+CL253*CL172+CM253*CM172+CN253*CN172</f>
        <v>0</v>
      </c>
      <c r="CW172" s="2652">
        <f>E254*E172+F254*F172+G254*G172+H254*H172+I254*I172+J254*J172+K254*K172+L254*L172+M254*M172+N254*N172+O254*O172+P254*P172+Q254*Q172+R254*R172+S254*S172+T254*T172+U254*U172+V254*V172+W254*W172+X254*X172+Y254*Y172+Z254*Z172+AA254*AA172+AB254*AB172+AC254*AC172+AD254*AD172+AE254*AE172+AF254*AF172+AG254*AG172+AH254*AH172+AI254*AI172+AJ254*AJ172+AK254*AK172+AL254*AL172+AM254*AM172+AN254*AN172+AO254*AO172+AP254*AP172+AQ254*AQ172+AR254*AR172+AS254*AS172+AT254*AT172+AU254*AU172+AV254*AV172+AW254*AW172+AX254*AX172+AY254*AY172+AZ254*AZ172+BA254*BA172+BB254*BB172+BC254*BC172+BD254*BD172+BE254*BE172+BF254*BF172+BG254*BG172+BH254*BH172+BI254*BI172+BJ254*BJ172+BK254*BK172+BL254*BL172+BM254*BM172+BN254*BN172+BO254*BO172+BP254*BP172+BQ254*BQ172+BR254*BR172+BS254*BS172+BT254*BT172+BU254*BU172+BV254*BV172+BW254*BW172+BX254*BX172+BY254*BY172+BZ254*BZ172+CA254*CA172+CB254*CB172+CC254*CC172+CD254*CD172+CE254*CE172+CF254*CF172+CG254*CG172+CH254*CH172+CI254*CI172+CJ254*CJ172+CK254*CK172+CL254*CL172+CM254*CM172+CN254*CN172</f>
        <v>3.4694469519536142E-18</v>
      </c>
      <c r="CX172" s="2652">
        <f>E255*E172+F255*F172+G255*G172+H255*H172+I255*I172+J255*J172+K255*K172+L255*L172+M255*M172+N255*N172+O255*O172+P255*P172+Q255*Q172+R255*R172+S255*S172+T255*T172+U255*U172+V255*V172+W255*W172+X255*X172+Y255*Y172+Z255*Z172+AA255*AA172+AB255*AB172+AC255*AC172+AD255*AD172+AE255*AE172+AF255*AF172+AG255*AG172+AH255*AH172+AI255*AI172+AJ255*AJ172+AK255*AK172+AL255*AL172+AM255*AM172+AN255*AN172+AO255*AO172+AP255*AP172+AQ255*AQ172+AR255*AR172+AS255*AS172+AT255*AT172+AU255*AU172+AV255*AV172+AW255*AW172+AX255*AX172+AY255*AY172+AZ255*AZ172+BA255*BA172+BB255*BB172+BC255*BC172+BD255*BD172+BE255*BE172+BF255*BF172+BG255*BG172+BH255*BH172+BI255*BI172+BJ255*BJ172+BK255*BK172+BL255*BL172+BM255*BM172+BN255*BN172+BO255*BO172+BP255*BP172+BQ255*BQ172+BR255*BR172+BS255*BS172+BT255*BT172+BU255*BU172+BV255*BV172+BW255*BW172+BX255*BX172+BY255*BY172+BZ255*BZ172+CA255*CA172+CB255*CB172+CC255*CC172+CD255*CD172+CE255*CE172+CF255*CF172+CG255*CG172+CH255*CH172+CI255*CI172+CJ255*CJ172+CK255*CK172+CL255*CL172+CM255*CM172+CN255*CN172</f>
        <v>6.9388939039072284E-18</v>
      </c>
      <c r="CY172" s="2652">
        <f>E256*E172+F256*F172+G256*G172+H256*H172+I256*I172+J256*J172+K256*K172+L256*L172+M256*M172+N256*N172+O256*O172+P256*P172+Q256*Q172+R256*R172+S256*S172+T256*T172+U256*U172+V256*V172+W256*W172+X256*X172+Y256*Y172+Z256*Z172+AA256*AA172+AB256*AB172+AC256*AC172+AD256*AD172+AE256*AE172+AF256*AF172+AG256*AG172+AH256*AH172+AI256*AI172+AJ256*AJ172+AK256*AK172+AL256*AL172+AM256*AM172+AN256*AN172+AO256*AO172+AP256*AP172+AQ256*AQ172+AR256*AR172+AS256*AS172+AT256*AT172+AU256*AU172+AV256*AV172+AW256*AW172+AX256*AX172+AY256*AY172+AZ256*AZ172+BA256*BA172+BB256*BB172+BC256*BC172+BD256*BD172+BE256*BE172+BF256*BF172+BG256*BG172+BH256*BH172+BI256*BI172+BJ256*BJ172+BK256*BK172+BL256*BL172+BM256*BM172+BN256*BN172+BO256*BO172+BP256*BP172+BQ256*BQ172+BR256*BR172+BS256*BS172+BT256*BT172+BU256*BU172+BV256*BV172+BW256*BW172+BX256*BX172+BY256*BY172+BZ256*BZ172+CA256*CA172+CB256*CB172+CC256*CC172+CD256*CD172+CE256*CE172+CF256*CF172+CG256*CG172+CH256*CH172+CI256*CI172+CJ256*CJ172+CK256*CK172+CL256*CL172+CM256*CM172+CN256*CN172</f>
        <v>0</v>
      </c>
      <c r="CZ172" s="2652">
        <f>E257*E172+F257*F172+G257*G172+H257*H172+I257*I172+J257*J172+K257*K172+L257*L172+M257*M172+N257*N172+O257*O172+P257*P172+Q257*Q172+R257*R172+S257*S172+T257*T172+U257*U172+V257*V172+W257*W172+X257*X172+Y257*Y172+Z257*Z172+AA257*AA172+AB257*AB172+AC257*AC172+AD257*AD172+AE257*AE172+AF257*AF172+AG257*AG172+AH257*AH172+AI257*AI172+AJ257*AJ172+AK257*AK172+AL257*AL172+AM257*AM172+AN257*AN172+AO257*AO172+AP257*AP172+AQ257*AQ172+AR257*AR172+AS257*AS172+AT257*AT172+AU257*AU172+AV257*AV172+AW257*AW172+AX257*AX172+AY257*AY172+AZ257*AZ172+BA257*BA172+BB257*BB172+BC257*BC172+BD257*BD172+BE257*BE172+BF257*BF172+BG257*BG172+BH257*BH172+BI257*BI172+BJ257*BJ172+BK257*BK172+BL257*BL172+BM257*BM172+BN257*BN172+BO257*BO172+BP257*BP172+BQ257*BQ172+BR257*BR172+BS257*BS172+BT257*BT172+BU257*BU172+BV257*BV172+BW257*BW172+BX257*BX172+BY257*BY172+BZ257*BZ172+CA257*CA172+CB257*CB172+CC257*CC172+CD257*CD172+CE257*CE172+CF257*CF172+CG257*CG172+CH257*CH172+CI257*CI172+CJ257*CJ172+CK257*CK172+CL257*CL172+CM257*CM172+CN257*CN172</f>
        <v>0</v>
      </c>
      <c r="DA172" s="2652">
        <f>E258*E172+F258*F172+G258*G172+H258*H172+I258*I172+J258*J172+K258*K172+L258*L172+M258*M172+N258*N172+O258*O172+P258*P172+Q258*Q172+R258*R172+S258*S172+T258*T172+U258*U172+V258*V172+W258*W172+X258*X172+Y258*Y172+Z258*Z172+AA258*AA172+AB258*AB172+AC258*AC172+AD258*AD172+AE258*AE172+AF258*AF172+AG258*AG172+AH258*AH172+AI258*AI172+AJ258*AJ172+AK258*AK172+AL258*AL172+AM258*AM172+AN258*AN172+AO258*AO172+AP258*AP172+AQ258*AQ172+AR258*AR172+AS258*AS172+AT258*AT172+AU258*AU172+AV258*AV172+AW258*AW172+AX258*AX172+AY258*AY172+AZ258*AZ172+BA258*BA172+BB258*BB172+BC258*BC172+BD258*BD172+BE258*BE172+BF258*BF172+BG258*BG172+BH258*BH172+BI258*BI172+BJ258*BJ172+BK258*BK172+BL258*BL172+BM258*BM172+BN258*BN172+BO258*BO172+BP258*BP172+BQ258*BQ172+BR258*BR172+BS258*BS172+BT258*BT172+BU258*BU172+BV258*BV172+BW258*BW172+BX258*BX172+BY258*BY172+BZ258*BZ172+CA258*CA172+CB258*CB172+CC258*CC172+CD258*CD172+CE258*CE172+CF258*CF172+CG258*CG172+CH258*CH172+CI258*CI172+CJ258*CJ172+CK258*CK172+CL258*CL172+CM258*CM172+CN258*CN172</f>
        <v>0</v>
      </c>
    </row>
    <row r="173" spans="2:105" ht="18" x14ac:dyDescent="0.25">
      <c r="B173" s="1083">
        <v>40</v>
      </c>
      <c r="C173" s="1073" t="s">
        <v>356</v>
      </c>
      <c r="D173" s="806" t="s">
        <v>4103</v>
      </c>
      <c r="E173" s="2681">
        <f>X_STC/X_CASTO</f>
        <v>4.5999999999999999E-2</v>
      </c>
      <c r="F173" s="2681">
        <f>0</f>
        <v>0</v>
      </c>
      <c r="G173" s="2678">
        <f>0</f>
        <v>0</v>
      </c>
      <c r="H173" s="2678">
        <f>0</f>
        <v>0</v>
      </c>
      <c r="I173" s="2713">
        <f>f_C</f>
        <v>0.1</v>
      </c>
      <c r="J173" s="2678">
        <f>0</f>
        <v>0</v>
      </c>
      <c r="K173" s="2678">
        <f>(1-f_E)*(1-f_C)</f>
        <v>0.82800000000000007</v>
      </c>
      <c r="L173" s="2678">
        <f>0</f>
        <v>0</v>
      </c>
      <c r="M173" s="2678">
        <f>0</f>
        <v>0</v>
      </c>
      <c r="N173" s="2678">
        <f>0</f>
        <v>0</v>
      </c>
      <c r="O173" s="2678">
        <f>0</f>
        <v>0</v>
      </c>
      <c r="P173" s="2681">
        <f>-X_PHA_PAO/X_CASTO</f>
        <v>-0.04</v>
      </c>
      <c r="Q173" s="2681">
        <f>-X_PHA_GAO/X_CASTO</f>
        <v>-6.0000000000000001E-3</v>
      </c>
      <c r="R173" s="2678">
        <f>0</f>
        <v>0</v>
      </c>
      <c r="S173" s="2678">
        <f>f_E*(1-f_C)</f>
        <v>7.2000000000000008E-2</v>
      </c>
      <c r="T173" s="2678">
        <f>0</f>
        <v>0</v>
      </c>
      <c r="U173" s="2678">
        <f>0</f>
        <v>0</v>
      </c>
      <c r="V173" s="2678">
        <f>-1</f>
        <v>-1</v>
      </c>
      <c r="W173" s="2678">
        <f>0</f>
        <v>0</v>
      </c>
      <c r="X173" s="2678">
        <f>0</f>
        <v>0</v>
      </c>
      <c r="Y173" s="2678">
        <f>0</f>
        <v>0</v>
      </c>
      <c r="Z173" s="2678">
        <f>0</f>
        <v>0</v>
      </c>
      <c r="AA173" s="2678">
        <f>0</f>
        <v>0</v>
      </c>
      <c r="AB173" s="2678">
        <f>0</f>
        <v>0</v>
      </c>
      <c r="AC173" s="2741">
        <f>0</f>
        <v>0</v>
      </c>
      <c r="AD173" s="2678">
        <f>i_N_BIO-f_E*(1-f_C)*i_N_XE-f_C*i_N_CB-(1-f_E)*(1-f_C)*i_N_BIO</f>
        <v>6.7199999999999899E-3</v>
      </c>
      <c r="AE173" s="2678">
        <f>0</f>
        <v>0</v>
      </c>
      <c r="AF173" s="2678">
        <f>0</f>
        <v>0</v>
      </c>
      <c r="AG173" s="2678">
        <f>0</f>
        <v>0</v>
      </c>
      <c r="AH173" s="2678">
        <f>0</f>
        <v>0</v>
      </c>
      <c r="AI173" s="2678">
        <f>0</f>
        <v>0</v>
      </c>
      <c r="AJ173" s="2678">
        <f>(1-f_E)*(1-f_C)*i_N_BIO</f>
        <v>5.7960000000000012E-2</v>
      </c>
      <c r="AK173" s="2678">
        <f>0</f>
        <v>0</v>
      </c>
      <c r="AL173" s="2681">
        <f>X_PP/X_CASTO+i_P_BIO-f_E*(1-f_C)*i_P_BIO-f_C*i_P_CB-(1-f_E)*(1-f_C)*i_P_BIO</f>
        <v>0.12179999999999998</v>
      </c>
      <c r="AM173" s="2681">
        <f>-X_PP/X_CASTO</f>
        <v>-0.12</v>
      </c>
      <c r="AN173" s="2678">
        <f>0</f>
        <v>0</v>
      </c>
      <c r="AO173" s="2678">
        <f>0</f>
        <v>0</v>
      </c>
      <c r="AP173" s="2678">
        <f>(1-f_E)*(1-f_C)*i_P_BIO</f>
        <v>1.6560000000000002E-2</v>
      </c>
      <c r="AQ173" s="2678">
        <f>0</f>
        <v>0</v>
      </c>
      <c r="AR173" s="2678">
        <f>0</f>
        <v>0</v>
      </c>
      <c r="AS173" s="2678">
        <f>0</f>
        <v>0</v>
      </c>
      <c r="AT173" s="2678">
        <f>0</f>
        <v>0</v>
      </c>
      <c r="AU173" s="2678">
        <f>i_CIT_BIO-f_E*(1-f_C)*i_CIT_BIO-(1-f_E)*(1-f_C)*i_CIT_XBe-(1-f_E)*f_C*i_CIT_XBe-f_E*f_C*i_CIT_XBe+(i_CIT_STC-i_CIT_VFA)*X_STC/X_CASTO</f>
        <v>5.9316000000000015E-2</v>
      </c>
      <c r="AV173" s="2678">
        <f>0</f>
        <v>0</v>
      </c>
      <c r="AW173" s="2681">
        <f>0</f>
        <v>0</v>
      </c>
      <c r="AX173" s="2681">
        <f>0</f>
        <v>0</v>
      </c>
      <c r="AY173" s="2758">
        <f>X_PP*A_MCa/A_MP*i_Ca_PP/X_CASTO</f>
        <v>1.5527206443135931E-2</v>
      </c>
      <c r="AZ173" s="2758">
        <f>X_PP*A_MMg/A_MP*i_Mg_PP/X_CASTO</f>
        <v>3.295724921656433E-2</v>
      </c>
      <c r="BA173" s="2758">
        <f>X_PP*A_MK/A_MP*i_K_PP/X_CASTO</f>
        <v>1.5147646481253094E-2</v>
      </c>
      <c r="BB173" s="2678">
        <f>0</f>
        <v>0</v>
      </c>
      <c r="BC173" s="2678">
        <f>0</f>
        <v>0</v>
      </c>
      <c r="BD173" s="2678">
        <f>0</f>
        <v>0</v>
      </c>
      <c r="BE173" s="2678">
        <f>0</f>
        <v>0</v>
      </c>
      <c r="BF173" s="2678">
        <f>0</f>
        <v>0</v>
      </c>
      <c r="BG173" s="2678">
        <f>0</f>
        <v>0</v>
      </c>
      <c r="BH173" s="2678">
        <f>0</f>
        <v>0</v>
      </c>
      <c r="BI173" s="2678">
        <f>0</f>
        <v>0</v>
      </c>
      <c r="BJ173" s="2767">
        <f>0</f>
        <v>0</v>
      </c>
      <c r="BK173" s="2767">
        <f>0</f>
        <v>0</v>
      </c>
      <c r="BL173" s="2767">
        <f>0</f>
        <v>0</v>
      </c>
      <c r="BM173" s="2767">
        <f>0</f>
        <v>0</v>
      </c>
      <c r="BN173" s="2767">
        <f>0</f>
        <v>0</v>
      </c>
      <c r="BO173" s="2767">
        <f>0</f>
        <v>0</v>
      </c>
      <c r="BP173" s="2767">
        <f>0</f>
        <v>0</v>
      </c>
      <c r="BQ173" s="2678">
        <f>0</f>
        <v>0</v>
      </c>
      <c r="BR173" s="2678">
        <f>0</f>
        <v>0</v>
      </c>
      <c r="BS173" s="2767">
        <f>0</f>
        <v>0</v>
      </c>
      <c r="BT173" s="2678">
        <f>0</f>
        <v>0</v>
      </c>
      <c r="BU173" s="2678">
        <f>0</f>
        <v>0</v>
      </c>
      <c r="BV173" s="2741">
        <f>0</f>
        <v>0</v>
      </c>
      <c r="BW173" s="2741">
        <f>0</f>
        <v>0</v>
      </c>
      <c r="BX173" s="2741">
        <f>0</f>
        <v>0</v>
      </c>
      <c r="BY173" s="2741">
        <f>0</f>
        <v>0</v>
      </c>
      <c r="BZ173" s="2678">
        <f>0</f>
        <v>0</v>
      </c>
      <c r="CA173" s="2678">
        <f>0</f>
        <v>0</v>
      </c>
      <c r="CB173" s="2679">
        <f>0</f>
        <v>0</v>
      </c>
      <c r="CC173" s="2678">
        <f>0</f>
        <v>0</v>
      </c>
      <c r="CD173" s="2678">
        <f>0</f>
        <v>0</v>
      </c>
      <c r="CE173" s="2678">
        <f>0</f>
        <v>0</v>
      </c>
      <c r="CF173" s="2678">
        <f>0</f>
        <v>0</v>
      </c>
      <c r="CG173" s="2678">
        <f>0</f>
        <v>0</v>
      </c>
      <c r="CH173" s="2678">
        <f>0</f>
        <v>0</v>
      </c>
      <c r="CI173" s="2678">
        <f>0</f>
        <v>0</v>
      </c>
      <c r="CJ173" s="2678">
        <f>0</f>
        <v>0</v>
      </c>
      <c r="CK173" s="2678">
        <f>0</f>
        <v>0</v>
      </c>
      <c r="CL173" s="2678">
        <f>0</f>
        <v>0</v>
      </c>
      <c r="CM173" s="2678">
        <f>0</f>
        <v>0</v>
      </c>
      <c r="CN173" s="2678">
        <f>0</f>
        <v>0</v>
      </c>
      <c r="CO173" s="2828">
        <f>b_CASTO_T*(η_bCASTO_ana*(X_PAO*M_RinhXPP_XPAO_KPP+X_GAO*M_RinhXPHA_XGAO_KPHA)*M_inhSNO3_KNO3_CASTO*M_inhSNO2_KNO2_CASTO*M_inhSO2_KO2_CASTO+X_CASTO*m_tox_ana)</f>
        <v>2.019594917729782E-4</v>
      </c>
      <c r="CQ173" s="2650">
        <f>E248*E173+F248*F173+G248*G173+H248*H173+I248*I173+J248*J173+K248*K173+L248*L173+M248*M173+N248*N173+O248*O173+P248*P173+Q248*Q173+R248*R173+S248*S173+T248*T173+U248*U173+V248*V173+W248*W173+X248*X173+Y248*Y173+Z248*Z173+AA248*AA173+AB248*AB173+AC248*AC173+AD248*AD173+AE248*AE173+AF248*AF173+AG248*AG173+AH248*AH173+AI248*AI173+AJ248*AJ173+AK248*AK173+AL248*AL173+AM248*AM173+AN248*AN173+AO248*AO173+AP248*AP173+AQ248*AQ173+AR248*AR173+AS248*AS173+AT248*AT173+AU248*AU173+AV248*AV173+AW248*AW173+AX248*AX173+AY248*AY173+AZ248*AZ173+BA248*BA173+BB248*BB173+BC248*BC173+BD248*BD173+BE248*BE173+BF248*BF173+BG248*BG173+BH248*BH173+BI248*BI173+BJ248*BJ173+BK248*BK173+BL248*BL173+BM248*BM173+BN248*BN173+BO248*BO173+BP248*BP173+BQ248*BQ173+BR248*BR173+BS248*BS173+BT248*BT173+BU248*BU173+BV248*BV173+BW248*BW173+BX248*BX173+BY248*BY173+BZ248*BZ173+CA248*CA173+CB248*CB173+CC248*CC173+CD248*CD173+CE248*CE173+CF248*CF173+CG248*CG173+CH248*CH173+CI248*CI173+CJ248*CJ173+CK248*CK173+CL248*CL173+CM248*CM173+CN248*CN173</f>
        <v>0</v>
      </c>
      <c r="CR173" s="2650">
        <f>E249*E173+F249*F173+G249*G173+H249*H173+I249*I173+J249*J173+K249*K173+L249*L173+M249*M173+N249*N173+O249*O173+P249*P173+Q249*Q173+R249*R173+S249*S173+T249*T173+U249*U173+V249*V173+W249*W173+X249*X173+Y249*Y173+Z249*Z173+AA249*AA173+AB249*AB173+AC249*AC173+AD249*AD173+AE249*AE173+AF249*AF173+AG249*AG173+AH249*AH173+AI249*AI173+AJ249*AJ173+AK249*AK173+AL249*AL173+AM249*AM173+AN249*AN173+AO249*AO173+AP249*AP173+AQ249*AQ173+AR249*AR173+AS249*AS173+AT249*AT173+AU249*AU173+AV249*AV173+AW249*AW173+AX249*AX173+AY249*AY173+AZ249*AZ173+BA249*BA173+BB249*BB173+BC249*BC173+BD249*BD173+BE249*BE173+BF249*BF173+BG249*BG173+BH249*BH173+BI249*BI173+BJ249*BJ173+BK249*BK173+BL249*BL173+BM249*BM173+BN249*BN173+BO249*BO173+BP249*BP173+BQ249*BQ173+BR249*BR173+BS249*BS173+BT249*BT173+BU249*BU173+BV249*BV173+BW249*BW173+BX249*BX173+BY249*BY173+BZ249*BZ173+CA249*CA173+CB249*CB173+CC249*CC173+CD249*CD173+CE249*CE173+CF249*CF173+CG249*CG173+CH249*CH173+CI249*CI173+CJ249*CJ173+CK249*CK173+CL249*CL173+CM249*CM173+CN249*CN173</f>
        <v>-2.0816681711721685E-17</v>
      </c>
      <c r="CS173" s="2651">
        <f>E250*E173+F250*F173+G250*G173+H250*H173+I250*I173+J250*J173+K250*K173+L250*L173+M250*M173+N250*N173+O250*O173+P250*P173+Q250*Q173+R250*R173+S250*S173+T250*T173+U250*U173+V250*V173+W250*W173+X250*X173+Y250*Y173+Z250*Z173+AA250*AA173+AB250*AB173+AC250*AC173+AD250*AD173+AE250*AE173+AF250*AF173+AG250*AG173+AH250*AH173+AI250*AI173+AJ250*AJ173+AK250*AK173+AL250*AL173+AM250*AM173+AN250*AN173+AO250*AO173+AP250*AP173+AQ250*AQ173+AR250*AR173+AS250*AS173+AT250*AT173+AU250*AU173+AV250*AV173+AW250*AW173+AX250*AX173+AY250*AY173+AZ250*AZ173+BA250*BA173+BB250*BB173+BC250*BC173+BD250*BD173+BE250*BE173+BF250*BF173+BG250*BG173+BH250*BH173+BI250*BI173+BJ250*BJ173+BK250*BK173+BL250*BL173+BM250*BM173+BN250*BN173+BO250*BO173+BP250*BP173+BQ250*BQ173+BR250*BR173+BS250*BS173+BT250*BT173+BU250*BU173+BV250*BV173+BW250*BW173+BX250*BX173+BY250*BY173+BZ250*BZ173+CA250*CA173+CB250*CB173+CC250*CC173+CD250*CD173+CE250*CE173+CF250*CF173+CG250*CG173+CH250*CH173+CI250*CI173+CJ250*CJ173+CK250*CK173+CL250*CL173+CM250*CM173+CN250*CN173</f>
        <v>0</v>
      </c>
      <c r="CT173" s="2652">
        <f>E251*E173+F251*F173+G251*G173+H251*H173+I251*I173+J251*J173+K251*K173+L251*L173+M251*M173+N251*N173+O251*O173+P251*P173+Q251*Q173+R251*R173+S251*S173+T251*T173+U251*U173+V251*V173+W251*W173+X251*X173+Y251*Y173+Z251*Z173+AA251*AA173+AB251*AB173+AC251*AC173+AD251*AD173+AE251*AE173+AF251*AF173+AG251*AG173+AH251*AH173+AI251*AI173+AJ251*AJ173+AK251*AK173+AL251*AL173+AM251*AM173+AN251*AN173+AO251*AO173+AP251*AP173+AQ251*AQ173+AR251*AR173+AS251*AS173+AT251*AT173+AU251*AU173+AV251*AV173+AW251*AW173+AX251*AX173+AY251*AY173+AZ251*AZ173+BA251*BA173+BB251*BB173+BC251*BC173+BD251*BD173+BE251*BE173+BF251*BF173+BG251*BG173+BH251*BH173+BI251*BI173+BJ251*BJ173+BK251*BK173+BL251*BL173+BM251*BM173+BN251*BN173+BO251*BO173+BP251*BP173+BQ251*BQ173+BR251*BR173+BS251*BS173+BT251*BT173+BU251*BU173+BV251*BV173+BW251*BW173+BX251*BX173+BY251*BY173+BZ251*BZ173+CA251*CA173+CB251*CB173+CC251*CC173+CD251*CD173+CE251*CE173+CF251*CF173+CG251*CG173+CH251*CH173+CI251*CI173+CJ251*CJ173+CK251*CK173+CL251*CL173+CM251*CM173+CN251*CN173</f>
        <v>-1.7347234759768071E-17</v>
      </c>
      <c r="CU173" s="2652">
        <f>E252*E173+F252*F173+G252*G173+H252*H173+I252*I173+J252*J173+K252*K173+L252*L173+M252*M173+N252*N173+O252*O173+P252*P173+Q252*Q173+R252*R173+S252*S173+T252*T173+U252*U173+V252*V173+W252*W173+X252*X173+Y252*Y173+Z252*Z173+AA252*AA173+AB252*AB173+AC252*AC173+AD252*AD173+AE252*AE173+AF252*AF173+AG252*AG173+AH252*AH173+AI252*AI173+AJ252*AJ173+AK252*AK173+AL252*AL173+AM252*AM173+AN252*AN173+AO252*AO173+AP252*AP173+AQ252*AQ173+AR252*AR173+AS252*AS173+AT252*AT173+AU252*AU173+AV252*AV173+AW252*AW173+AX252*AX173+AY252*AY173+AZ252*AZ173+BA252*BA173+BB252*BB173+BC252*BC173+BD252*BD173+BE252*BE173+BF252*BF173+BG252*BG173+BH252*BH173+BI252*BI173+BJ252*BJ173+BK252*BK173+BL252*BL173+BM252*BM173+BN252*BN173+BO252*BO173+BP252*BP173+BQ252*BQ173+BR252*BR173+BS252*BS173+BT252*BT173+BU252*BU173+BV252*BV173+BW252*BW173+BX252*BX173+BY252*BY173+BZ252*BZ173+CA252*CA173+CB252*CB173+CC252*CC173+CD252*CD173+CE252*CE173+CF252*CF173+CG252*CG173+CH252*CH173+CI252*CI173+CJ252*CJ173+CK252*CK173+CL252*CL173+CM252*CM173+CN252*CN173</f>
        <v>0</v>
      </c>
      <c r="CV173" s="2652">
        <f>E253*E173+F253*F173+G253*G173+H253*H173+I253*I173+J253*J173+K253*K173+L253*L173+M253*M173+N253*N173+O253*O173+P253*P173+Q253*Q173+R253*R173+S253*S173+T253*T173+U253*U173+V253*V173+W253*W173+X253*X173+Y253*Y173+Z253*Z173+AA253*AA173+AB253*AB173+AC253*AC173+AD253*AD173+AE253*AE173+AF253*AF173+AG253*AG173+AH253*AH173+AI253*AI173+AJ253*AJ173+AK253*AK173+AL253*AL173+AM253*AM173+AN253*AN173+AO253*AO173+AP253*AP173+AQ253*AQ173+AR253*AR173+AS253*AS173+AT253*AT173+AU253*AU173+AV253*AV173+AW253*AW173+AX253*AX173+AY253*AY173+AZ253*AZ173+BA253*BA173+BB253*BB173+BC253*BC173+BD253*BD173+BE253*BE173+BF253*BF173+BG253*BG173+BH253*BH173+BI253*BI173+BJ253*BJ173+BK253*BK173+BL253*BL173+BM253*BM173+BN253*BN173+BO253*BO173+BP253*BP173+BQ253*BQ173+BR253*BR173+BS253*BS173+BT253*BT173+BU253*BU173+BV253*BV173+BW253*BW173+BX253*BX173+BY253*BY173+BZ253*BZ173+CA253*CA173+CB253*CB173+CC253*CC173+CD253*CD173+CE253*CE173+CF253*CF173+CG253*CG173+CH253*CH173+CI253*CI173+CJ253*CJ173+CK253*CK173+CL253*CL173+CM253*CM173+CN253*CN173</f>
        <v>0</v>
      </c>
      <c r="CW173" s="2652">
        <f>E254*E173+F254*F173+G254*G173+H254*H173+I254*I173+J254*J173+K254*K173+L254*L173+M254*M173+N254*N173+O254*O173+P254*P173+Q254*Q173+R254*R173+S254*S173+T254*T173+U254*U173+V254*V173+W254*W173+X254*X173+Y254*Y173+Z254*Z173+AA254*AA173+AB254*AB173+AC254*AC173+AD254*AD173+AE254*AE173+AF254*AF173+AG254*AG173+AH254*AH173+AI254*AI173+AJ254*AJ173+AK254*AK173+AL254*AL173+AM254*AM173+AN254*AN173+AO254*AO173+AP254*AP173+AQ254*AQ173+AR254*AR173+AS254*AS173+AT254*AT173+AU254*AU173+AV254*AV173+AW254*AW173+AX254*AX173+AY254*AY173+AZ254*AZ173+BA254*BA173+BB254*BB173+BC254*BC173+BD254*BD173+BE254*BE173+BF254*BF173+BG254*BG173+BH254*BH173+BI254*BI173+BJ254*BJ173+BK254*BK173+BL254*BL173+BM254*BM173+BN254*BN173+BO254*BO173+BP254*BP173+BQ254*BQ173+BR254*BR173+BS254*BS173+BT254*BT173+BU254*BU173+BV254*BV173+BW254*BW173+BX254*BX173+BY254*BY173+BZ254*BZ173+CA254*CA173+CB254*CB173+CC254*CC173+CD254*CD173+CE254*CE173+CF254*CF173+CG254*CG173+CH254*CH173+CI254*CI173+CJ254*CJ173+CK254*CK173+CL254*CL173+CM254*CM173+CN254*CN173</f>
        <v>3.4694469519536142E-18</v>
      </c>
      <c r="CX173" s="2652">
        <f>E255*E173+F255*F173+G255*G173+H255*H173+I255*I173+J255*J173+K255*K173+L255*L173+M255*M173+N255*N173+O255*O173+P255*P173+Q255*Q173+R255*R173+S255*S173+T255*T173+U255*U173+V255*V173+W255*W173+X255*X173+Y255*Y173+Z255*Z173+AA255*AA173+AB255*AB173+AC255*AC173+AD255*AD173+AE255*AE173+AF255*AF173+AG255*AG173+AH255*AH173+AI255*AI173+AJ255*AJ173+AK255*AK173+AL255*AL173+AM255*AM173+AN255*AN173+AO255*AO173+AP255*AP173+AQ255*AQ173+AR255*AR173+AS255*AS173+AT255*AT173+AU255*AU173+AV255*AV173+AW255*AW173+AX255*AX173+AY255*AY173+AZ255*AZ173+BA255*BA173+BB255*BB173+BC255*BC173+BD255*BD173+BE255*BE173+BF255*BF173+BG255*BG173+BH255*BH173+BI255*BI173+BJ255*BJ173+BK255*BK173+BL255*BL173+BM255*BM173+BN255*BN173+BO255*BO173+BP255*BP173+BQ255*BQ173+BR255*BR173+BS255*BS173+BT255*BT173+BU255*BU173+BV255*BV173+BW255*BW173+BX255*BX173+BY255*BY173+BZ255*BZ173+CA255*CA173+CB255*CB173+CC255*CC173+CD255*CD173+CE255*CE173+CF255*CF173+CG255*CG173+CH255*CH173+CI255*CI173+CJ255*CJ173+CK255*CK173+CL255*CL173+CM255*CM173+CN255*CN173</f>
        <v>6.9388939039072284E-18</v>
      </c>
      <c r="CY173" s="2652">
        <f>E256*E173+F256*F173+G256*G173+H256*H173+I256*I173+J256*J173+K256*K173+L256*L173+M256*M173+N256*N173+O256*O173+P256*P173+Q256*Q173+R256*R173+S256*S173+T256*T173+U256*U173+V256*V173+W256*W173+X256*X173+Y256*Y173+Z256*Z173+AA256*AA173+AB256*AB173+AC256*AC173+AD256*AD173+AE256*AE173+AF256*AF173+AG256*AG173+AH256*AH173+AI256*AI173+AJ256*AJ173+AK256*AK173+AL256*AL173+AM256*AM173+AN256*AN173+AO256*AO173+AP256*AP173+AQ256*AQ173+AR256*AR173+AS256*AS173+AT256*AT173+AU256*AU173+AV256*AV173+AW256*AW173+AX256*AX173+AY256*AY173+AZ256*AZ173+BA256*BA173+BB256*BB173+BC256*BC173+BD256*BD173+BE256*BE173+BF256*BF173+BG256*BG173+BH256*BH173+BI256*BI173+BJ256*BJ173+BK256*BK173+BL256*BL173+BM256*BM173+BN256*BN173+BO256*BO173+BP256*BP173+BQ256*BQ173+BR256*BR173+BS256*BS173+BT256*BT173+BU256*BU173+BV256*BV173+BW256*BW173+BX256*BX173+BY256*BY173+BZ256*BZ173+CA256*CA173+CB256*CB173+CC256*CC173+CD256*CD173+CE256*CE173+CF256*CF173+CG256*CG173+CH256*CH173+CI256*CI173+CJ256*CJ173+CK256*CK173+CL256*CL173+CM256*CM173+CN256*CN173</f>
        <v>0</v>
      </c>
      <c r="CZ173" s="2652">
        <f>E257*E173+F257*F173+G257*G173+H257*H173+I257*I173+J257*J173+K257*K173+L257*L173+M257*M173+N257*N173+O257*O173+P257*P173+Q257*Q173+R257*R173+S257*S173+T257*T173+U257*U173+V257*V173+W257*W173+X257*X173+Y257*Y173+Z257*Z173+AA257*AA173+AB257*AB173+AC257*AC173+AD257*AD173+AE257*AE173+AF257*AF173+AG257*AG173+AH257*AH173+AI257*AI173+AJ257*AJ173+AK257*AK173+AL257*AL173+AM257*AM173+AN257*AN173+AO257*AO173+AP257*AP173+AQ257*AQ173+AR257*AR173+AS257*AS173+AT257*AT173+AU257*AU173+AV257*AV173+AW257*AW173+AX257*AX173+AY257*AY173+AZ257*AZ173+BA257*BA173+BB257*BB173+BC257*BC173+BD257*BD173+BE257*BE173+BF257*BF173+BG257*BG173+BH257*BH173+BI257*BI173+BJ257*BJ173+BK257*BK173+BL257*BL173+BM257*BM173+BN257*BN173+BO257*BO173+BP257*BP173+BQ257*BQ173+BR257*BR173+BS257*BS173+BT257*BT173+BU257*BU173+BV257*BV173+BW257*BW173+BX257*BX173+BY257*BY173+BZ257*BZ173+CA257*CA173+CB257*CB173+CC257*CC173+CD257*CD173+CE257*CE173+CF257*CF173+CG257*CG173+CH257*CH173+CI257*CI173+CJ257*CJ173+CK257*CK173+CL257*CL173+CM257*CM173+CN257*CN173</f>
        <v>0</v>
      </c>
      <c r="DA173" s="2652">
        <f>E258*E173+F258*F173+G258*G173+H258*H173+I258*I173+J258*J173+K258*K173+L258*L173+M258*M173+N258*N173+O258*O173+P258*P173+Q258*Q173+R258*R173+S258*S173+T258*T173+U258*U173+V258*V173+W258*W173+X258*X173+Y258*Y173+Z258*Z173+AA258*AA173+AB258*AB173+AC258*AC173+AD258*AD173+AE258*AE173+AF258*AF173+AG258*AG173+AH258*AH173+AI258*AI173+AJ258*AJ173+AK258*AK173+AL258*AL173+AM258*AM173+AN258*AN173+AO258*AO173+AP258*AP173+AQ258*AQ173+AR258*AR173+AS258*AS173+AT258*AT173+AU258*AU173+AV258*AV173+AW258*AW173+AX258*AX173+AY258*AY173+AZ258*AZ173+BA258*BA173+BB258*BB173+BC258*BC173+BD258*BD173+BE258*BE173+BF258*BF173+BG258*BG173+BH258*BH173+BI258*BI173+BJ258*BJ173+BK258*BK173+BL258*BL173+BM258*BM173+BN258*BN173+BO258*BO173+BP258*BP173+BQ258*BQ173+BR258*BR173+BS258*BS173+BT258*BT173+BU258*BU173+BV258*BV173+BW258*BW173+BX258*BX173+BY258*BY173+BZ258*BZ173+CA258*CA173+CB258*CB173+CC258*CC173+CD258*CD173+CE258*CE173+CF258*CF173+CG258*CG173+CH258*CH173+CI258*CI173+CJ258*CJ173+CK258*CK173+CL258*CL173+CM258*CM173+CN258*CN173</f>
        <v>0</v>
      </c>
    </row>
    <row r="174" spans="2:105" ht="18" x14ac:dyDescent="0.25">
      <c r="B174" s="2121">
        <v>41</v>
      </c>
      <c r="C174" s="2122" t="s">
        <v>4378</v>
      </c>
      <c r="D174" s="2123" t="s">
        <v>4726</v>
      </c>
      <c r="E174" s="2679">
        <f>0</f>
        <v>0</v>
      </c>
      <c r="F174" s="2679">
        <f>0</f>
        <v>0</v>
      </c>
      <c r="G174" s="2679">
        <f>0</f>
        <v>0</v>
      </c>
      <c r="H174" s="2679">
        <f>0</f>
        <v>0</v>
      </c>
      <c r="I174" s="2679">
        <f>0</f>
        <v>0</v>
      </c>
      <c r="J174" s="2679">
        <f>0</f>
        <v>0</v>
      </c>
      <c r="K174" s="2679">
        <f>0</f>
        <v>0</v>
      </c>
      <c r="L174" s="2679">
        <f>0</f>
        <v>0</v>
      </c>
      <c r="M174" s="2679">
        <f>0</f>
        <v>0</v>
      </c>
      <c r="N174" s="2679">
        <f>0</f>
        <v>0</v>
      </c>
      <c r="O174" s="2679">
        <f>0</f>
        <v>0</v>
      </c>
      <c r="P174" s="2679">
        <f>0</f>
        <v>0</v>
      </c>
      <c r="Q174" s="2679">
        <f>0</f>
        <v>0</v>
      </c>
      <c r="R174" s="2728">
        <f>0</f>
        <v>0</v>
      </c>
      <c r="S174" s="2679">
        <f>0</f>
        <v>0</v>
      </c>
      <c r="T174" s="2679">
        <f>0</f>
        <v>0</v>
      </c>
      <c r="U174" s="2679">
        <f>0</f>
        <v>0</v>
      </c>
      <c r="V174" s="2679">
        <f>0</f>
        <v>0</v>
      </c>
      <c r="W174" s="2679">
        <f>0</f>
        <v>0</v>
      </c>
      <c r="X174" s="2728">
        <f>0</f>
        <v>0</v>
      </c>
      <c r="Y174" s="2679">
        <f>0</f>
        <v>0</v>
      </c>
      <c r="Z174" s="2679">
        <f>0</f>
        <v>0</v>
      </c>
      <c r="AA174" s="2679">
        <f>0</f>
        <v>0</v>
      </c>
      <c r="AB174" s="2679">
        <f>0</f>
        <v>0</v>
      </c>
      <c r="AC174" s="2741">
        <f>0</f>
        <v>0</v>
      </c>
      <c r="AD174" s="2679">
        <f>0</f>
        <v>0</v>
      </c>
      <c r="AE174" s="2728">
        <f>0</f>
        <v>0</v>
      </c>
      <c r="AF174" s="2679">
        <f>0</f>
        <v>0</v>
      </c>
      <c r="AG174" s="2679">
        <f>0</f>
        <v>0</v>
      </c>
      <c r="AH174" s="2679">
        <f>0</f>
        <v>0</v>
      </c>
      <c r="AI174" s="2679">
        <f>0</f>
        <v>0</v>
      </c>
      <c r="AJ174" s="2679">
        <f>0</f>
        <v>0</v>
      </c>
      <c r="AK174" s="2679">
        <f>0</f>
        <v>0</v>
      </c>
      <c r="AL174" s="2679">
        <f>0</f>
        <v>0</v>
      </c>
      <c r="AM174" s="2679">
        <f>0</f>
        <v>0</v>
      </c>
      <c r="AN174" s="2679">
        <f>0</f>
        <v>0</v>
      </c>
      <c r="AO174" s="2679">
        <f>0</f>
        <v>0</v>
      </c>
      <c r="AP174" s="2679">
        <f>0</f>
        <v>0</v>
      </c>
      <c r="AQ174" s="2679">
        <f>0</f>
        <v>0</v>
      </c>
      <c r="AR174" s="2679">
        <f>0</f>
        <v>0</v>
      </c>
      <c r="AS174" s="2679">
        <f>0</f>
        <v>0</v>
      </c>
      <c r="AT174" s="2728">
        <f>0</f>
        <v>0</v>
      </c>
      <c r="AU174" s="2679">
        <f>0</f>
        <v>0</v>
      </c>
      <c r="AV174" s="2728">
        <f>0</f>
        <v>0</v>
      </c>
      <c r="AW174" s="2679">
        <f>0</f>
        <v>0</v>
      </c>
      <c r="AX174" s="2679">
        <f>0</f>
        <v>0</v>
      </c>
      <c r="AY174" s="2728">
        <f>0</f>
        <v>0</v>
      </c>
      <c r="AZ174" s="2728">
        <f>0</f>
        <v>0</v>
      </c>
      <c r="BA174" s="2679">
        <f>0</f>
        <v>0</v>
      </c>
      <c r="BB174" s="2728">
        <f>0</f>
        <v>0</v>
      </c>
      <c r="BC174" s="2728">
        <f>0</f>
        <v>0</v>
      </c>
      <c r="BD174" s="2679">
        <f>0</f>
        <v>0</v>
      </c>
      <c r="BE174" s="2679">
        <f>0</f>
        <v>0</v>
      </c>
      <c r="BF174" s="2728">
        <f>0</f>
        <v>0</v>
      </c>
      <c r="BG174" s="2728">
        <f>0</f>
        <v>0</v>
      </c>
      <c r="BH174" s="2679">
        <f>0</f>
        <v>0</v>
      </c>
      <c r="BI174" s="2728">
        <f>0</f>
        <v>0</v>
      </c>
      <c r="BJ174" s="2728">
        <f>0</f>
        <v>0</v>
      </c>
      <c r="BK174" s="2728">
        <f>0</f>
        <v>0</v>
      </c>
      <c r="BL174" s="2728">
        <f>0</f>
        <v>0</v>
      </c>
      <c r="BM174" s="2728">
        <f>0</f>
        <v>0</v>
      </c>
      <c r="BN174" s="2728">
        <f>0</f>
        <v>0</v>
      </c>
      <c r="BO174" s="2728">
        <f>0</f>
        <v>0</v>
      </c>
      <c r="BP174" s="2728">
        <f>0</f>
        <v>0</v>
      </c>
      <c r="BQ174" s="2728">
        <f>0</f>
        <v>0</v>
      </c>
      <c r="BR174" s="2728">
        <f>0</f>
        <v>0</v>
      </c>
      <c r="BS174" s="2728">
        <f>0</f>
        <v>0</v>
      </c>
      <c r="BT174" s="2728">
        <f>0</f>
        <v>0</v>
      </c>
      <c r="BU174" s="2728">
        <f>0</f>
        <v>0</v>
      </c>
      <c r="BV174" s="2758">
        <f>0</f>
        <v>0</v>
      </c>
      <c r="BW174" s="2758">
        <f>0</f>
        <v>0</v>
      </c>
      <c r="BX174" s="2758">
        <f>0</f>
        <v>0</v>
      </c>
      <c r="BY174" s="2758">
        <f>0</f>
        <v>0</v>
      </c>
      <c r="BZ174" s="2728">
        <f>0</f>
        <v>0</v>
      </c>
      <c r="CA174" s="2728">
        <f>0</f>
        <v>0</v>
      </c>
      <c r="CB174" s="2728">
        <f>1</f>
        <v>1</v>
      </c>
      <c r="CC174" s="2728">
        <f>0</f>
        <v>0</v>
      </c>
      <c r="CD174" s="2728">
        <f>0</f>
        <v>0</v>
      </c>
      <c r="CE174" s="2728">
        <f>0</f>
        <v>0</v>
      </c>
      <c r="CF174" s="2728">
        <f>0</f>
        <v>0</v>
      </c>
      <c r="CG174" s="2728">
        <f>0</f>
        <v>0</v>
      </c>
      <c r="CH174" s="2728">
        <f>0</f>
        <v>0</v>
      </c>
      <c r="CI174" s="2728">
        <f>0</f>
        <v>0</v>
      </c>
      <c r="CJ174" s="2728">
        <f>0</f>
        <v>0</v>
      </c>
      <c r="CK174" s="2816">
        <f>0</f>
        <v>0</v>
      </c>
      <c r="CL174" s="2816">
        <f>0</f>
        <v>0</v>
      </c>
      <c r="CM174" s="2818">
        <f>0</f>
        <v>0</v>
      </c>
      <c r="CN174" s="2816">
        <f>0</f>
        <v>0</v>
      </c>
      <c r="CO174" s="2830">
        <f>k_ORPswitch*(O_RP+o_ffsetORPswitch-S_ORPswitch)</f>
        <v>6848.780487804881</v>
      </c>
      <c r="CQ174" s="2650">
        <f>E248*E174+F248*F174+G248*G174+H248*H174+I248*I174+J248*J174+K248*K174+L248*L174+M248*M174+N248*N174+O248*O174+P248*P174+Q248*Q174+R248*R174+S248*S174+T248*T174+U248*U174+V248*V174+W248*W174+X248*X174+Y248*Y174+Z248*Z174+AA248*AA174+AB248*AB174+AC248*AC174+AD248*AD174+AE248*AE174+AF248*AF174+AG248*AG174+AH248*AH174+AI248*AI174+AJ248*AJ174+AK248*AK174+AL248*AL174+AM248*AM174+AN248*AN174+AO248*AO174+AP248*AP174+AQ248*AQ174+AR248*AR174+AS248*AS174+AT248*AT174+AU248*AU174+AV248*AV174+AW248*AW174+AX248*AX174+AY248*AY174+AZ248*AZ174+BA248*BA174+BB248*BB174+BC248*BC174+BD248*BD174+BE248*BE174+BF248*BF174+BG248*BG174+BH248*BH174+BI248*BI174+BJ248*BJ174+BK248*BK174+BL248*BL174+BM248*BM174+BN248*BN174+BO248*BO174+BP248*BP174+BQ248*BQ174+BR248*BR174+BS248*BS174+BT248*BT174+BU248*BU174+BV248*BV174+BW248*BW174+BX248*BX174+BY248*BY174+BZ248*BZ174+CA248*CA174+CB248*CB174+CC248*CC174+CD248*CD174+CE248*CE174+CF248*CF174+CG248*CG174+CH248*CH174+CI248*CI174+CJ248*CJ174+CK248*CK174+CL248*CL174+CM248*CM174+CN248*CN174</f>
        <v>0</v>
      </c>
      <c r="CR174" s="2650">
        <f>E249*E174+F249*F174+G249*G174+H249*H174+I249*I174+J249*J174+K249*K174+L249*L174+M249*M174+N249*N174+O249*O174+P249*P174+Q249*Q174+R249*R174+S249*S174+T249*T174+U249*U174+V249*V174+W249*W174+X249*X174+Y249*Y174+Z249*Z174+AA249*AA174+AB249*AB174+AC249*AC174+AD249*AD174+AE249*AE174+AF249*AF174+AG249*AG174+AH249*AH174+AI249*AI174+AJ249*AJ174+AK249*AK174+AL249*AL174+AM249*AM174+AN249*AN174+AO249*AO174+AP249*AP174+AQ249*AQ174+AR249*AR174+AS249*AS174+AT249*AT174+AU249*AU174+AV249*AV174+AW249*AW174+AX249*AX174+AY249*AY174+AZ249*AZ174+BA249*BA174+BB249*BB174+BC249*BC174+BD249*BD174+BE249*BE174+BF249*BF174+BG249*BG174+BH249*BH174+BI249*BI174+BJ249*BJ174+BK249*BK174+BL249*BL174+BM249*BM174+BN249*BN174+BO249*BO174+BP249*BP174+BQ249*BQ174+BR249*BR174+BS249*BS174+BT249*BT174+BU249*BU174+BV249*BV174+BW249*BW174+BX249*BX174+BY249*BY174+BZ249*BZ174+CA249*CA174+CB249*CB174+CC249*CC174+CD249*CD174+CE249*CE174+CF249*CF174+CG249*CG174+CH249*CH174+CI249*CI174+CJ249*CJ174+CK249*CK174+CL249*CL174+CM249*CM174+CN249*CN174</f>
        <v>0</v>
      </c>
      <c r="CS174" s="2651">
        <f>E250*E174+F250*F174+G250*G174+H250*H174+I250*I174+J250*J174+K250*K174+L250*L174+M250*M174+N250*N174+O250*O174+P250*P174+Q250*Q174+R250*R174+S250*S174+T250*T174+U250*U174+V250*V174+W250*W174+X250*X174+Y250*Y174+Z250*Z174+AA250*AA174+AB250*AB174+AC250*AC174+AD250*AD174+AE250*AE174+AF250*AF174+AG250*AG174+AH250*AH174+AI250*AI174+AJ250*AJ174+AK250*AK174+AL250*AL174+AM250*AM174+AN250*AN174+AO250*AO174+AP250*AP174+AQ250*AQ174+AR250*AR174+AS250*AS174+AT250*AT174+AU250*AU174+AV250*AV174+AW250*AW174+AX250*AX174+AY250*AY174+AZ250*AZ174+BA250*BA174+BB250*BB174+BC250*BC174+BD250*BD174+BE250*BE174+BF250*BF174+BG250*BG174+BH250*BH174+BI250*BI174+BJ250*BJ174+BK250*BK174+BL250*BL174+BM250*BM174+BN250*BN174+BO250*BO174+BP250*BP174+BQ250*BQ174+BR250*BR174+BS250*BS174+BT250*BT174+BU250*BU174+BV250*BV174+BW250*BW174+BX250*BX174+BY250*BY174+BZ250*BZ174+CA250*CA174+CB250*CB174+CC250*CC174+CD250*CD174+CE250*CE174+CF250*CF174+CG250*CG174+CH250*CH174+CI250*CI174+CJ250*CJ174+CK250*CK174+CL250*CL174+CM250*CM174+CN250*CN174</f>
        <v>0</v>
      </c>
      <c r="CT174" s="2652">
        <f>E251*E174+F251*F174+G251*G174+H251*H174+I251*I174+J251*J174+K251*K174+L251*L174+M251*M174+N251*N174+O251*O174+P251*P174+Q251*Q174+R251*R174+S251*S174+T251*T174+U251*U174+V251*V174+W251*W174+X251*X174+Y251*Y174+Z251*Z174+AA251*AA174+AB251*AB174+AC251*AC174+AD251*AD174+AE251*AE174+AF251*AF174+AG251*AG174+AH251*AH174+AI251*AI174+AJ251*AJ174+AK251*AK174+AL251*AL174+AM251*AM174+AN251*AN174+AO251*AO174+AP251*AP174+AQ251*AQ174+AR251*AR174+AS251*AS174+AT251*AT174+AU251*AU174+AV251*AV174+AW251*AW174+AX251*AX174+AY251*AY174+AZ251*AZ174+BA251*BA174+BB251*BB174+BC251*BC174+BD251*BD174+BE251*BE174+BF251*BF174+BG251*BG174+BH251*BH174+BI251*BI174+BJ251*BJ174+BK251*BK174+BL251*BL174+BM251*BM174+BN251*BN174+BO251*BO174+BP251*BP174+BQ251*BQ174+BR251*BR174+BS251*BS174+BT251*BT174+BU251*BU174+BV251*BV174+BW251*BW174+BX251*BX174+BY251*BY174+BZ251*BZ174+CA251*CA174+CB251*CB174+CC251*CC174+CD251*CD174+CE251*CE174+CF251*CF174+CG251*CG174+CH251*CH174+CI251*CI174+CJ251*CJ174+CK251*CK174+CL251*CL174+CM251*CM174+CN251*CN174</f>
        <v>0</v>
      </c>
      <c r="CU174" s="2652">
        <f>E252*E174+F252*F174+G252*G174+H252*H174+I252*I174+J252*J174+K252*K174+L252*L174+M252*M174+N252*N174+O252*O174+P252*P174+Q252*Q174+R252*R174+S252*S174+T252*T174+U252*U174+V252*V174+W252*W174+X252*X174+Y252*Y174+Z252*Z174+AA252*AA174+AB252*AB174+AC252*AC174+AD252*AD174+AE252*AE174+AF252*AF174+AG252*AG174+AH252*AH174+AI252*AI174+AJ252*AJ174+AK252*AK174+AL252*AL174+AM252*AM174+AN252*AN174+AO252*AO174+AP252*AP174+AQ252*AQ174+AR252*AR174+AS252*AS174+AT252*AT174+AU252*AU174+AV252*AV174+AW252*AW174+AX252*AX174+AY252*AY174+AZ252*AZ174+BA252*BA174+BB252*BB174+BC252*BC174+BD252*BD174+BE252*BE174+BF252*BF174+BG252*BG174+BH252*BH174+BI252*BI174+BJ252*BJ174+BK252*BK174+BL252*BL174+BM252*BM174+BN252*BN174+BO252*BO174+BP252*BP174+BQ252*BQ174+BR252*BR174+BS252*BS174+BT252*BT174+BU252*BU174+BV252*BV174+BW252*BW174+BX252*BX174+BY252*BY174+BZ252*BZ174+CA252*CA174+CB252*CB174+CC252*CC174+CD252*CD174+CE252*CE174+CF252*CF174+CG252*CG174+CH252*CH174+CI252*CI174+CJ252*CJ174+CK252*CK174+CL252*CL174+CM252*CM174+CN252*CN174</f>
        <v>0</v>
      </c>
      <c r="CV174" s="2652">
        <f>E253*E174+F253*F174+G253*G174+H253*H174+I253*I174+J253*J174+K253*K174+L253*L174+M253*M174+N253*N174+O253*O174+P253*P174+Q253*Q174+R253*R174+S253*S174+T253*T174+U253*U174+V253*V174+W253*W174+X253*X174+Y253*Y174+Z253*Z174+AA253*AA174+AB253*AB174+AC253*AC174+AD253*AD174+AE253*AE174+AF253*AF174+AG253*AG174+AH253*AH174+AI253*AI174+AJ253*AJ174+AK253*AK174+AL253*AL174+AM253*AM174+AN253*AN174+AO253*AO174+AP253*AP174+AQ253*AQ174+AR253*AR174+AS253*AS174+AT253*AT174+AU253*AU174+AV253*AV174+AW253*AW174+AX253*AX174+AY253*AY174+AZ253*AZ174+BA253*BA174+BB253*BB174+BC253*BC174+BD253*BD174+BE253*BE174+BF253*BF174+BG253*BG174+BH253*BH174+BI253*BI174+BJ253*BJ174+BK253*BK174+BL253*BL174+BM253*BM174+BN253*BN174+BO253*BO174+BP253*BP174+BQ253*BQ174+BR253*BR174+BS253*BS174+BT253*BT174+BU253*BU174+BV253*BV174+BW253*BW174+BX253*BX174+BY253*BY174+BZ253*BZ174+CA253*CA174+CB253*CB174+CC253*CC174+CD253*CD174+CE253*CE174+CF253*CF174+CG253*CG174+CH253*CH174+CI253*CI174+CJ253*CJ174+CK253*CK174+CL253*CL174+CM253*CM174+CN253*CN174</f>
        <v>0</v>
      </c>
      <c r="CW174" s="2652">
        <f>E254*E174+F254*F174+G254*G174+H254*H174+I254*I174+J254*J174+K254*K174+L254*L174+M254*M174+N254*N174+O254*O174+P254*P174+Q254*Q174+R254*R174+S254*S174+T254*T174+U254*U174+V254*V174+W254*W174+X254*X174+Y254*Y174+Z254*Z174+AA254*AA174+AB254*AB174+AC254*AC174+AD254*AD174+AE254*AE174+AF254*AF174+AG254*AG174+AH254*AH174+AI254*AI174+AJ254*AJ174+AK254*AK174+AL254*AL174+AM254*AM174+AN254*AN174+AO254*AO174+AP254*AP174+AQ254*AQ174+AR254*AR174+AS254*AS174+AT254*AT174+AU254*AU174+AV254*AV174+AW254*AW174+AX254*AX174+AY254*AY174+AZ254*AZ174+BA254*BA174+BB254*BB174+BC254*BC174+BD254*BD174+BE254*BE174+BF254*BF174+BG254*BG174+BH254*BH174+BI254*BI174+BJ254*BJ174+BK254*BK174+BL254*BL174+BM254*BM174+BN254*BN174+BO254*BO174+BP254*BP174+BQ254*BQ174+BR254*BR174+BS254*BS174+BT254*BT174+BU254*BU174+BV254*BV174+BW254*BW174+BX254*BX174+BY254*BY174+BZ254*BZ174+CA254*CA174+CB254*CB174+CC254*CC174+CD254*CD174+CE254*CE174+CF254*CF174+CG254*CG174+CH254*CH174+CI254*CI174+CJ254*CJ174+CK254*CK174+CL254*CL174+CM254*CM174+CN254*CN174</f>
        <v>0</v>
      </c>
      <c r="CX174" s="2652">
        <f>E255*E174+F255*F174+G255*G174+H255*H174+I255*I174+J255*J174+K255*K174+L255*L174+M255*M174+N255*N174+O255*O174+P255*P174+Q255*Q174+R255*R174+S255*S174+T255*T174+U255*U174+V255*V174+W255*W174+X255*X174+Y255*Y174+Z255*Z174+AA255*AA174+AB255*AB174+AC255*AC174+AD255*AD174+AE255*AE174+AF255*AF174+AG255*AG174+AH255*AH174+AI255*AI174+AJ255*AJ174+AK255*AK174+AL255*AL174+AM255*AM174+AN255*AN174+AO255*AO174+AP255*AP174+AQ255*AQ174+AR255*AR174+AS255*AS174+AT255*AT174+AU255*AU174+AV255*AV174+AW255*AW174+AX255*AX174+AY255*AY174+AZ255*AZ174+BA255*BA174+BB255*BB174+BC255*BC174+BD255*BD174+BE255*BE174+BF255*BF174+BG255*BG174+BH255*BH174+BI255*BI174+BJ255*BJ174+BK255*BK174+BL255*BL174+BM255*BM174+BN255*BN174+BO255*BO174+BP255*BP174+BQ255*BQ174+BR255*BR174+BS255*BS174+BT255*BT174+BU255*BU174+BV255*BV174+BW255*BW174+BX255*BX174+BY255*BY174+BZ255*BZ174+CA255*CA174+CB255*CB174+CC255*CC174+CD255*CD174+CE255*CE174+CF255*CF174+CG255*CG174+CH255*CH174+CI255*CI174+CJ255*CJ174+CK255*CK174+CL255*CL174+CM255*CM174+CN255*CN174</f>
        <v>0</v>
      </c>
      <c r="CY174" s="2652">
        <f>E256*E174+F256*F174+G256*G174+H256*H174+I256*I174+J256*J174+K256*K174+L256*L174+M256*M174+N256*N174+O256*O174+P256*P174+Q256*Q174+R256*R174+S256*S174+T256*T174+U256*U174+V256*V174+W256*W174+X256*X174+Y256*Y174+Z256*Z174+AA256*AA174+AB256*AB174+AC256*AC174+AD256*AD174+AE256*AE174+AF256*AF174+AG256*AG174+AH256*AH174+AI256*AI174+AJ256*AJ174+AK256*AK174+AL256*AL174+AM256*AM174+AN256*AN174+AO256*AO174+AP256*AP174+AQ256*AQ174+AR256*AR174+AS256*AS174+AT256*AT174+AU256*AU174+AV256*AV174+AW256*AW174+AX256*AX174+AY256*AY174+AZ256*AZ174+BA256*BA174+BB256*BB174+BC256*BC174+BD256*BD174+BE256*BE174+BF256*BF174+BG256*BG174+BH256*BH174+BI256*BI174+BJ256*BJ174+BK256*BK174+BL256*BL174+BM256*BM174+BN256*BN174+BO256*BO174+BP256*BP174+BQ256*BQ174+BR256*BR174+BS256*BS174+BT256*BT174+BU256*BU174+BV256*BV174+BW256*BW174+BX256*BX174+BY256*BY174+BZ256*BZ174+CA256*CA174+CB256*CB174+CC256*CC174+CD256*CD174+CE256*CE174+CF256*CF174+CG256*CG174+CH256*CH174+CI256*CI174+CJ256*CJ174+CK256*CK174+CL256*CL174+CM256*CM174+CN256*CN174</f>
        <v>0</v>
      </c>
      <c r="CZ174" s="2652">
        <f>E257*E174+F257*F174+G257*G174+H257*H174+I257*I174+J257*J174+K257*K174+L257*L174+M257*M174+N257*N174+O257*O174+P257*P174+Q257*Q174+R257*R174+S257*S174+T257*T174+U257*U174+V257*V174+W257*W174+X257*X174+Y257*Y174+Z257*Z174+AA257*AA174+AB257*AB174+AC257*AC174+AD257*AD174+AE257*AE174+AF257*AF174+AG257*AG174+AH257*AH174+AI257*AI174+AJ257*AJ174+AK257*AK174+AL257*AL174+AM257*AM174+AN257*AN174+AO257*AO174+AP257*AP174+AQ257*AQ174+AR257*AR174+AS257*AS174+AT257*AT174+AU257*AU174+AV257*AV174+AW257*AW174+AX257*AX174+AY257*AY174+AZ257*AZ174+BA257*BA174+BB257*BB174+BC257*BC174+BD257*BD174+BE257*BE174+BF257*BF174+BG257*BG174+BH257*BH174+BI257*BI174+BJ257*BJ174+BK257*BK174+BL257*BL174+BM257*BM174+BN257*BN174+BO257*BO174+BP257*BP174+BQ257*BQ174+BR257*BR174+BS257*BS174+BT257*BT174+BU257*BU174+BV257*BV174+BW257*BW174+BX257*BX174+BY257*BY174+BZ257*BZ174+CA257*CA174+CB257*CB174+CC257*CC174+CD257*CD174+CE257*CE174+CF257*CF174+CG257*CG174+CH257*CH174+CI257*CI174+CJ257*CJ174+CK257*CK174+CL257*CL174+CM257*CM174+CN257*CN174</f>
        <v>0</v>
      </c>
      <c r="DA174" s="2652">
        <f>E258*E174+F258*F174+G258*G174+H258*H174+I258*I174+J258*J174+K258*K174+L258*L174+M258*M174+N258*N174+O258*O174+P258*P174+Q258*Q174+R258*R174+S258*S174+T258*T174+U258*U174+V258*V174+W258*W174+X258*X174+Y258*Y174+Z258*Z174+AA258*AA174+AB258*AB174+AC258*AC174+AD258*AD174+AE258*AE174+AF258*AF174+AG258*AG174+AH258*AH174+AI258*AI174+AJ258*AJ174+AK258*AK174+AL258*AL174+AM258*AM174+AN258*AN174+AO258*AO174+AP258*AP174+AQ258*AQ174+AR258*AR174+AS258*AS174+AT258*AT174+AU258*AU174+AV258*AV174+AW258*AW174+AX258*AX174+AY258*AY174+AZ258*AZ174+BA258*BA174+BB258*BB174+BC258*BC174+BD258*BD174+BE258*BE174+BF258*BF174+BG258*BG174+BH258*BH174+BI258*BI174+BJ258*BJ174+BK258*BK174+BL258*BL174+BM258*BM174+BN258*BN174+BO258*BO174+BP258*BP174+BQ258*BQ174+BR258*BR174+BS258*BS174+BT258*BT174+BU258*BU174+BV258*BV174+BW258*BW174+BX258*BX174+BY258*BY174+BZ258*BZ174+CA258*CA174+CB258*CB174+CC258*CC174+CD258*CD174+CE258*CE174+CF258*CF174+CG258*CG174+CH258*CH174+CI258*CI174+CJ258*CJ174+CK258*CK174+CL258*CL174+CM258*CM174+CN258*CN174</f>
        <v>0</v>
      </c>
    </row>
    <row r="175" spans="2:105" ht="18" x14ac:dyDescent="0.25">
      <c r="B175" s="2106">
        <v>42</v>
      </c>
      <c r="C175" s="2107" t="s">
        <v>4379</v>
      </c>
      <c r="D175" s="2108" t="s">
        <v>2189</v>
      </c>
      <c r="E175" s="2682">
        <f>0</f>
        <v>0</v>
      </c>
      <c r="F175" s="2682">
        <f>0</f>
        <v>0</v>
      </c>
      <c r="G175" s="2708">
        <f>0</f>
        <v>0</v>
      </c>
      <c r="H175" s="2708">
        <f>0</f>
        <v>0</v>
      </c>
      <c r="I175" s="2708">
        <f>0</f>
        <v>0</v>
      </c>
      <c r="J175" s="2708">
        <f>0</f>
        <v>0</v>
      </c>
      <c r="K175" s="2708">
        <f>0</f>
        <v>0</v>
      </c>
      <c r="L175" s="2708">
        <f>0</f>
        <v>0</v>
      </c>
      <c r="M175" s="2708">
        <f>0</f>
        <v>0</v>
      </c>
      <c r="N175" s="2708">
        <f>0</f>
        <v>0</v>
      </c>
      <c r="O175" s="2708">
        <f>0</f>
        <v>0</v>
      </c>
      <c r="P175" s="2708">
        <f>0</f>
        <v>0</v>
      </c>
      <c r="Q175" s="2708">
        <f>0</f>
        <v>0</v>
      </c>
      <c r="R175" s="2708">
        <f>0</f>
        <v>0</v>
      </c>
      <c r="S175" s="2708">
        <f>0</f>
        <v>0</v>
      </c>
      <c r="T175" s="2708">
        <f>0</f>
        <v>0</v>
      </c>
      <c r="U175" s="2708">
        <f>0</f>
        <v>0</v>
      </c>
      <c r="V175" s="2708">
        <f>0</f>
        <v>0</v>
      </c>
      <c r="W175" s="2708">
        <f>0</f>
        <v>0</v>
      </c>
      <c r="X175" s="2708">
        <f>1</f>
        <v>1</v>
      </c>
      <c r="Y175" s="2708">
        <f>0</f>
        <v>0</v>
      </c>
      <c r="Z175" s="2708">
        <f>0</f>
        <v>0</v>
      </c>
      <c r="AA175" s="2708">
        <f>0</f>
        <v>0</v>
      </c>
      <c r="AB175" s="2708">
        <f>0</f>
        <v>0</v>
      </c>
      <c r="AC175" s="2743">
        <f>0</f>
        <v>0</v>
      </c>
      <c r="AD175" s="2708">
        <f>-1/Y_AOB-i_N_BIO</f>
        <v>-6.7366666666666672</v>
      </c>
      <c r="AE175" s="2682">
        <f>1/Y_AOB</f>
        <v>6.666666666666667</v>
      </c>
      <c r="AF175" s="2682">
        <f>0</f>
        <v>0</v>
      </c>
      <c r="AG175" s="2708">
        <f>0</f>
        <v>0</v>
      </c>
      <c r="AH175" s="2708">
        <f>0</f>
        <v>0</v>
      </c>
      <c r="AI175" s="2708">
        <f>0</f>
        <v>0</v>
      </c>
      <c r="AJ175" s="2708">
        <f>0</f>
        <v>0</v>
      </c>
      <c r="AK175" s="2708">
        <f>0</f>
        <v>0</v>
      </c>
      <c r="AL175" s="2682">
        <f>-i_P_BIO</f>
        <v>-0.02</v>
      </c>
      <c r="AM175" s="2682">
        <f>0</f>
        <v>0</v>
      </c>
      <c r="AN175" s="2708">
        <f>0</f>
        <v>0</v>
      </c>
      <c r="AO175" s="2708">
        <f>0</f>
        <v>0</v>
      </c>
      <c r="AP175" s="2708">
        <f>0</f>
        <v>0</v>
      </c>
      <c r="AQ175" s="2708">
        <f>0</f>
        <v>0</v>
      </c>
      <c r="AR175" s="2682">
        <f>-(E_EQNO2-Y_AOB)/Y_AOB</f>
        <v>-21.845352581264677</v>
      </c>
      <c r="AS175" s="2708">
        <f>0</f>
        <v>0</v>
      </c>
      <c r="AT175" s="2708">
        <f>0</f>
        <v>0</v>
      </c>
      <c r="AU175" s="2682">
        <f>-i_CIT_BIO</f>
        <v>-0.35199999999999998</v>
      </c>
      <c r="AV175" s="2682">
        <f>i_INORG</f>
        <v>0.11</v>
      </c>
      <c r="AW175" s="2682">
        <f>-i_INORG*(1-i_Ca_INORG*(A_MCa+2*A_MCl)/A_MCa-i_Mg_INORG*(A_MMg+2*A_MCl)/A_MMg)*f_Na</f>
        <v>-2.8804303582798466E-2</v>
      </c>
      <c r="AX175" s="2682">
        <f>-i_INORG*(i_Ca_INORG*(2*A_MCl)/A_MCa+i_Mg_INORG*(2*A_MCl)/A_MMg)-i_INORG*(1-i_Ca_INORG*(A_MCa+2*A_MCl)/A_MCa-i_Mg_INORG*(A_MMg+2*A_MCl)/A_MMg)*(1-f_Na)</f>
        <v>-7.0195696417201539E-2</v>
      </c>
      <c r="AY175" s="2682">
        <f>-i_INORG*i_Ca_INORG</f>
        <v>-5.5000000000000005E-3</v>
      </c>
      <c r="AZ175" s="2682">
        <f>-i_INORG*i_Mg_INORG</f>
        <v>-5.5000000000000005E-3</v>
      </c>
      <c r="BA175" s="2682">
        <f>0</f>
        <v>0</v>
      </c>
      <c r="BB175" s="2708">
        <f>0</f>
        <v>0</v>
      </c>
      <c r="BC175" s="2708">
        <f>0</f>
        <v>0</v>
      </c>
      <c r="BD175" s="2708">
        <f>0</f>
        <v>0</v>
      </c>
      <c r="BE175" s="2708">
        <f>0</f>
        <v>0</v>
      </c>
      <c r="BF175" s="2708">
        <f>0</f>
        <v>0</v>
      </c>
      <c r="BG175" s="2708">
        <f>0</f>
        <v>0</v>
      </c>
      <c r="BH175" s="2708">
        <f>0</f>
        <v>0</v>
      </c>
      <c r="BI175" s="2708">
        <f>0</f>
        <v>0</v>
      </c>
      <c r="BJ175" s="2708">
        <f>0</f>
        <v>0</v>
      </c>
      <c r="BK175" s="2708">
        <f>0</f>
        <v>0</v>
      </c>
      <c r="BL175" s="2708">
        <f>0</f>
        <v>0</v>
      </c>
      <c r="BM175" s="2708">
        <f>0</f>
        <v>0</v>
      </c>
      <c r="BN175" s="2708">
        <f>0</f>
        <v>0</v>
      </c>
      <c r="BO175" s="2708">
        <f>0</f>
        <v>0</v>
      </c>
      <c r="BP175" s="2708">
        <f>0</f>
        <v>0</v>
      </c>
      <c r="BQ175" s="2708">
        <f>0</f>
        <v>0</v>
      </c>
      <c r="BR175" s="2708">
        <f>0</f>
        <v>0</v>
      </c>
      <c r="BS175" s="2708">
        <f>0</f>
        <v>0</v>
      </c>
      <c r="BT175" s="2708">
        <f>0</f>
        <v>0</v>
      </c>
      <c r="BU175" s="2708">
        <f>0</f>
        <v>0</v>
      </c>
      <c r="BV175" s="2743">
        <f>0</f>
        <v>0</v>
      </c>
      <c r="BW175" s="2743">
        <f>0</f>
        <v>0</v>
      </c>
      <c r="BX175" s="2743">
        <f>0</f>
        <v>0</v>
      </c>
      <c r="BY175" s="2743">
        <f>0</f>
        <v>0</v>
      </c>
      <c r="BZ175" s="2708">
        <f>0</f>
        <v>0</v>
      </c>
      <c r="CA175" s="2708">
        <f>0</f>
        <v>0</v>
      </c>
      <c r="CB175" s="2708">
        <f>0</f>
        <v>0</v>
      </c>
      <c r="CC175" s="2708">
        <f>0</f>
        <v>0</v>
      </c>
      <c r="CD175" s="2708">
        <f>0</f>
        <v>0</v>
      </c>
      <c r="CE175" s="2708">
        <f>0</f>
        <v>0</v>
      </c>
      <c r="CF175" s="2708">
        <f>0</f>
        <v>0</v>
      </c>
      <c r="CG175" s="2708">
        <f>0</f>
        <v>0</v>
      </c>
      <c r="CH175" s="2708">
        <f>0</f>
        <v>0</v>
      </c>
      <c r="CI175" s="2708">
        <f>0</f>
        <v>0</v>
      </c>
      <c r="CJ175" s="2708">
        <f>0</f>
        <v>0</v>
      </c>
      <c r="CK175" s="2708">
        <f>0</f>
        <v>0</v>
      </c>
      <c r="CL175" s="2708">
        <f>0</f>
        <v>0</v>
      </c>
      <c r="CM175" s="2708">
        <f>0</f>
        <v>0</v>
      </c>
      <c r="CN175" s="2708">
        <f>0</f>
        <v>0</v>
      </c>
      <c r="CO175" s="2820">
        <f>µ_AOB_T*X_AOB*M_satSNHx_KNHx_AOB*L_ogsatpHCO2_AOB*M_satSO2_KO2_AOB*M_satSPO4_KPO4_BIO*M_satSCAT_KCAT*M_satSAN_KAN*M_satSCa_KCa*M_satSMg_KMg*M_inhpHHNO2_AOB*B_ellinhpH_AOB</f>
        <v>13.626667144265822</v>
      </c>
      <c r="CQ175" s="2650">
        <f>E248*E175+F248*F175+G248*G175+H248*H175+I248*I175+J248*J175+K248*K175+L248*L175+M248*M175+N248*N175+O248*O175+P248*P175+Q248*Q175+R248*R175+S248*S175+T248*T175+U248*U175+V248*V175+W248*W175+X248*X175+Y248*Y175+Z248*Z175+AA248*AA175+AB248*AB175+AC248*AC175+AD248*AD175+AE248*AE175+AF248*AF175+AG248*AG175+AH248*AH175+AI248*AI175+AJ248*AJ175+AK248*AK175+AL248*AL175+AM248*AM175+AN248*AN175+AO248*AO175+AP248*AP175+AQ248*AQ175+AR248*AR175+AS248*AS175+AT248*AT175+AU248*AU175+AV248*AV175+AW248*AW175+AX248*AX175+AY248*AY175+AZ248*AZ175+BA248*BA175+BB248*BB175+BC248*BC175+BD248*BD175+BE248*BE175+BF248*BF175+BG248*BG175+BH248*BH175+BI248*BI175+BJ248*BJ175+BK248*BK175+BL248*BL175+BM248*BM175+BN248*BN175+BO248*BO175+BP248*BP175+BQ248*BQ175+BR248*BR175+BS248*BS175+BT248*BT175+BU248*BU175+BV248*BV175+BW248*BW175+BX248*BX175+BY248*BY175+BZ248*BZ175+CA248*CA175+CB248*CB175+CC248*CC175+CD248*CD175+CE248*CE175+CF248*CF175+CG248*CG175+CH248*CH175+CI248*CI175+CJ248*CJ175+CK248*CK175+CL248*CL175+CM248*CM175+CN248*CN175</f>
        <v>0</v>
      </c>
      <c r="CR175" s="2650">
        <f>E249*E175+F249*F175+G249*G175+H249*H175+I249*I175+J249*J175+K249*K175+L249*L175+M249*M175+N249*N175+O249*O175+P249*P175+Q249*Q175+R249*R175+S249*S175+T249*T175+U249*U175+V249*V175+W249*W175+X249*X175+Y249*Y175+Z249*Z175+AA249*AA175+AB249*AB175+AC249*AC175+AD249*AD175+AE249*AE175+AF249*AF175+AG249*AG175+AH249*AH175+AI249*AI175+AJ249*AJ175+AK249*AK175+AL249*AL175+AM249*AM175+AN249*AN175+AO249*AO175+AP249*AP175+AQ249*AQ175+AR249*AR175+AS249*AS175+AT249*AT175+AU249*AU175+AV249*AV175+AW249*AW175+AX249*AX175+AY249*AY175+AZ249*AZ175+BA249*BA175+BB249*BB175+BC249*BC175+BD249*BD175+BE249*BE175+BF249*BF175+BG249*BG175+BH249*BH175+BI249*BI175+BJ249*BJ175+BK249*BK175+BL249*BL175+BM249*BM175+BN249*BN175+BO249*BO175+BP249*BP175+BQ249*BQ175+BR249*BR175+BS249*BS175+BT249*BT175+BU249*BU175+BV249*BV175+BW249*BW175+BX249*BX175+BY249*BY175+BZ249*BZ175+CA249*CA175+CB249*CB175+CC249*CC175+CD249*CD175+CE249*CE175+CF249*CF175+CG249*CG175+CH249*CH175+CI249*CI175+CJ249*CJ175+CK249*CK175+CL249*CL175+CM249*CM175+CN249*CN175</f>
        <v>0</v>
      </c>
      <c r="CS175" s="2651">
        <f>E250*E175+F250*F175+G250*G175+H250*H175+I250*I175+J250*J175+K250*K175+L250*L175+M250*M175+N250*N175+O250*O175+P250*P175+Q250*Q175+R250*R175+S250*S175+T250*T175+U250*U175+V250*V175+W250*W175+X250*X175+Y250*Y175+Z250*Z175+AA250*AA175+AB250*AB175+AC250*AC175+AD250*AD175+AE250*AE175+AF250*AF175+AG250*AG175+AH250*AH175+AI250*AI175+AJ250*AJ175+AK250*AK175+AL250*AL175+AM250*AM175+AN250*AN175+AO250*AO175+AP250*AP175+AQ250*AQ175+AR250*AR175+AS250*AS175+AT250*AT175+AU250*AU175+AV250*AV175+AW250*AW175+AX250*AX175+AY250*AY175+AZ250*AZ175+BA250*BA175+BB250*BB175+BC250*BC175+BD250*BD175+BE250*BE175+BF250*BF175+BG250*BG175+BH250*BH175+BI250*BI175+BJ250*BJ175+BK250*BK175+BL250*BL175+BM250*BM175+BN250*BN175+BO250*BO175+BP250*BP175+BQ250*BQ175+BR250*BR175+BS250*BS175+BT250*BT175+BU250*BU175+BV250*BV175+BW250*BW175+BX250*BX175+BY250*BY175+BZ250*BZ175+CA250*CA175+CB250*CB175+CC250*CC175+CD250*CD175+CE250*CE175+CF250*CF175+CG250*CG175+CH250*CH175+CI250*CI175+CJ250*CJ175+CK250*CK175+CL250*CL175+CM250*CM175+CN250*CN175</f>
        <v>0</v>
      </c>
      <c r="CT175" s="2652">
        <f>E251*E175+F251*F175+G251*G175+H251*H175+I251*I175+J251*J175+K251*K175+L251*L175+M251*M175+N251*N175+O251*O175+P251*P175+Q251*Q175+R251*R175+S251*S175+T251*T175+U251*U175+V251*V175+W251*W175+X251*X175+Y251*Y175+Z251*Z175+AA251*AA175+AB251*AB175+AC251*AC175+AD251*AD175+AE251*AE175+AF251*AF175+AG251*AG175+AH251*AH175+AI251*AI175+AJ251*AJ175+AK251*AK175+AL251*AL175+AM251*AM175+AN251*AN175+AO251*AO175+AP251*AP175+AQ251*AQ175+AR251*AR175+AS251*AS175+AT251*AT175+AU251*AU175+AV251*AV175+AW251*AW175+AX251*AX175+AY251*AY175+AZ251*AZ175+BA251*BA175+BB251*BB175+BC251*BC175+BD251*BD175+BE251*BE175+BF251*BF175+BG251*BG175+BH251*BH175+BI251*BI175+BJ251*BJ175+BK251*BK175+BL251*BL175+BM251*BM175+BN251*BN175+BO251*BO175+BP251*BP175+BQ251*BQ175+BR251*BR175+BS251*BS175+BT251*BT175+BU251*BU175+BV251*BV175+BW251*BW175+BX251*BX175+BY251*BY175+BZ251*BZ175+CA251*CA175+CB251*CB175+CC251*CC175+CD251*CD175+CE251*CE175+CF251*CF175+CG251*CG175+CH251*CH175+CI251*CI175+CJ251*CJ175+CK251*CK175+CL251*CL175+CM251*CM175+CN251*CN175</f>
        <v>0</v>
      </c>
      <c r="CU175" s="2652">
        <f>E252*E175+F252*F175+G252*G175+H252*H175+I252*I175+J252*J175+K252*K175+L252*L175+M252*M175+N252*N175+O252*O175+P252*P175+Q252*Q175+R252*R175+S252*S175+T252*T175+U252*U175+V252*V175+W252*W175+X252*X175+Y252*Y175+Z252*Z175+AA252*AA175+AB252*AB175+AC252*AC175+AD252*AD175+AE252*AE175+AF252*AF175+AG252*AG175+AH252*AH175+AI252*AI175+AJ252*AJ175+AK252*AK175+AL252*AL175+AM252*AM175+AN252*AN175+AO252*AO175+AP252*AP175+AQ252*AQ175+AR252*AR175+AS252*AS175+AT252*AT175+AU252*AU175+AV252*AV175+AW252*AW175+AX252*AX175+AY252*AY175+AZ252*AZ175+BA252*BA175+BB252*BB175+BC252*BC175+BD252*BD175+BE252*BE175+BF252*BF175+BG252*BG175+BH252*BH175+BI252*BI175+BJ252*BJ175+BK252*BK175+BL252*BL175+BM252*BM175+BN252*BN175+BO252*BO175+BP252*BP175+BQ252*BQ175+BR252*BR175+BS252*BS175+BT252*BT175+BU252*BU175+BV252*BV175+BW252*BW175+BX252*BX175+BY252*BY175+BZ252*BZ175+CA252*CA175+CB252*CB175+CC252*CC175+CD252*CD175+CE252*CE175+CF252*CF175+CG252*CG175+CH252*CH175+CI252*CI175+CJ252*CJ175+CK252*CK175+CL252*CL175+CM252*CM175+CN252*CN175</f>
        <v>0</v>
      </c>
      <c r="CV175" s="2652">
        <f>E253*E175+F253*F175+G253*G175+H253*H175+I253*I175+J253*J175+K253*K175+L253*L175+M253*M175+N253*N175+O253*O175+P253*P175+Q253*Q175+R253*R175+S253*S175+T253*T175+U253*U175+V253*V175+W253*W175+X253*X175+Y253*Y175+Z253*Z175+AA253*AA175+AB253*AB175+AC253*AC175+AD253*AD175+AE253*AE175+AF253*AF175+AG253*AG175+AH253*AH175+AI253*AI175+AJ253*AJ175+AK253*AK175+AL253*AL175+AM253*AM175+AN253*AN175+AO253*AO175+AP253*AP175+AQ253*AQ175+AR253*AR175+AS253*AS175+AT253*AT175+AU253*AU175+AV253*AV175+AW253*AW175+AX253*AX175+AY253*AY175+AZ253*AZ175+BA253*BA175+BB253*BB175+BC253*BC175+BD253*BD175+BE253*BE175+BF253*BF175+BG253*BG175+BH253*BH175+BI253*BI175+BJ253*BJ175+BK253*BK175+BL253*BL175+BM253*BM175+BN253*BN175+BO253*BO175+BP253*BP175+BQ253*BQ175+BR253*BR175+BS253*BS175+BT253*BT175+BU253*BU175+BV253*BV175+BW253*BW175+BX253*BX175+BY253*BY175+BZ253*BZ175+CA253*CA175+CB253*CB175+CC253*CC175+CD253*CD175+CE253*CE175+CF253*CF175+CG253*CG175+CH253*CH175+CI253*CI175+CJ253*CJ175+CK253*CK175+CL253*CL175+CM253*CM175+CN253*CN175</f>
        <v>0</v>
      </c>
      <c r="CW175" s="2652">
        <f>E254*E175+F254*F175+G254*G175+H254*H175+I254*I175+J254*J175+K254*K175+L254*L175+M254*M175+N254*N175+O254*O175+P254*P175+Q254*Q175+R254*R175+S254*S175+T254*T175+U254*U175+V254*V175+W254*W175+X254*X175+Y254*Y175+Z254*Z175+AA254*AA175+AB254*AB175+AC254*AC175+AD254*AD175+AE254*AE175+AF254*AF175+AG254*AG175+AH254*AH175+AI254*AI175+AJ254*AJ175+AK254*AK175+AL254*AL175+AM254*AM175+AN254*AN175+AO254*AO175+AP254*AP175+AQ254*AQ175+AR254*AR175+AS254*AS175+AT254*AT175+AU254*AU175+AV254*AV175+AW254*AW175+AX254*AX175+AY254*AY175+AZ254*AZ175+BA254*BA175+BB254*BB175+BC254*BC175+BD254*BD175+BE254*BE175+BF254*BF175+BG254*BG175+BH254*BH175+BI254*BI175+BJ254*BJ175+BK254*BK175+BL254*BL175+BM254*BM175+BN254*BN175+BO254*BO175+BP254*BP175+BQ254*BQ175+BR254*BR175+BS254*BS175+BT254*BT175+BU254*BU175+BV254*BV175+BW254*BW175+BX254*BX175+BY254*BY175+BZ254*BZ175+CA254*CA175+CB254*CB175+CC254*CC175+CD254*CD175+CE254*CE175+CF254*CF175+CG254*CG175+CH254*CH175+CI254*CI175+CJ254*CJ175+CK254*CK175+CL254*CL175+CM254*CM175+CN254*CN175</f>
        <v>0</v>
      </c>
      <c r="CX175" s="2652">
        <f>E255*E175+F255*F175+G255*G175+H255*H175+I255*I175+J255*J175+K255*K175+L255*L175+M255*M175+N255*N175+O255*O175+P255*P175+Q255*Q175+R255*R175+S255*S175+T255*T175+U255*U175+V255*V175+W255*W175+X255*X175+Y255*Y175+Z255*Z175+AA255*AA175+AB255*AB175+AC255*AC175+AD255*AD175+AE255*AE175+AF255*AF175+AG255*AG175+AH255*AH175+AI255*AI175+AJ255*AJ175+AK255*AK175+AL255*AL175+AM255*AM175+AN255*AN175+AO255*AO175+AP255*AP175+AQ255*AQ175+AR255*AR175+AS255*AS175+AT255*AT175+AU255*AU175+AV255*AV175+AW255*AW175+AX255*AX175+AY255*AY175+AZ255*AZ175+BA255*BA175+BB255*BB175+BC255*BC175+BD255*BD175+BE255*BE175+BF255*BF175+BG255*BG175+BH255*BH175+BI255*BI175+BJ255*BJ175+BK255*BK175+BL255*BL175+BM255*BM175+BN255*BN175+BO255*BO175+BP255*BP175+BQ255*BQ175+BR255*BR175+BS255*BS175+BT255*BT175+BU255*BU175+BV255*BV175+BW255*BW175+BX255*BX175+BY255*BY175+BZ255*BZ175+CA255*CA175+CB255*CB175+CC255*CC175+CD255*CD175+CE255*CE175+CF255*CF175+CG255*CG175+CH255*CH175+CI255*CI175+CJ255*CJ175+CK255*CK175+CL255*CL175+CM255*CM175+CN255*CN175</f>
        <v>0</v>
      </c>
      <c r="CY175" s="2652">
        <f>E256*E175+F256*F175+G256*G175+H256*H175+I256*I175+J256*J175+K256*K175+L256*L175+M256*M175+N256*N175+O256*O175+P256*P175+Q256*Q175+R256*R175+S256*S175+T256*T175+U256*U175+V256*V175+W256*W175+X256*X175+Y256*Y175+Z256*Z175+AA256*AA175+AB256*AB175+AC256*AC175+AD256*AD175+AE256*AE175+AF256*AF175+AG256*AG175+AH256*AH175+AI256*AI175+AJ256*AJ175+AK256*AK175+AL256*AL175+AM256*AM175+AN256*AN175+AO256*AO175+AP256*AP175+AQ256*AQ175+AR256*AR175+AS256*AS175+AT256*AT175+AU256*AU175+AV256*AV175+AW256*AW175+AX256*AX175+AY256*AY175+AZ256*AZ175+BA256*BA175+BB256*BB175+BC256*BC175+BD256*BD175+BE256*BE175+BF256*BF175+BG256*BG175+BH256*BH175+BI256*BI175+BJ256*BJ175+BK256*BK175+BL256*BL175+BM256*BM175+BN256*BN175+BO256*BO175+BP256*BP175+BQ256*BQ175+BR256*BR175+BS256*BS175+BT256*BT175+BU256*BU175+BV256*BV175+BW256*BW175+BX256*BX175+BY256*BY175+BZ256*BZ175+CA256*CA175+CB256*CB175+CC256*CC175+CD256*CD175+CE256*CE175+CF256*CF175+CG256*CG175+CH256*CH175+CI256*CI175+CJ256*CJ175+CK256*CK175+CL256*CL175+CM256*CM175+CN256*CN175</f>
        <v>0</v>
      </c>
      <c r="CZ175" s="2652">
        <f>E257*E175+F257*F175+G257*G175+H257*H175+I257*I175+J257*J175+K257*K175+L257*L175+M257*M175+N257*N175+O257*O175+P257*P175+Q257*Q175+R257*R175+S257*S175+T257*T175+U257*U175+V257*V175+W257*W175+X257*X175+Y257*Y175+Z257*Z175+AA257*AA175+AB257*AB175+AC257*AC175+AD257*AD175+AE257*AE175+AF257*AF175+AG257*AG175+AH257*AH175+AI257*AI175+AJ257*AJ175+AK257*AK175+AL257*AL175+AM257*AM175+AN257*AN175+AO257*AO175+AP257*AP175+AQ257*AQ175+AR257*AR175+AS257*AS175+AT257*AT175+AU257*AU175+AV257*AV175+AW257*AW175+AX257*AX175+AY257*AY175+AZ257*AZ175+BA257*BA175+BB257*BB175+BC257*BC175+BD257*BD175+BE257*BE175+BF257*BF175+BG257*BG175+BH257*BH175+BI257*BI175+BJ257*BJ175+BK257*BK175+BL257*BL175+BM257*BM175+BN257*BN175+BO257*BO175+BP257*BP175+BQ257*BQ175+BR257*BR175+BS257*BS175+BT257*BT175+BU257*BU175+BV257*BV175+BW257*BW175+BX257*BX175+BY257*BY175+BZ257*BZ175+CA257*CA175+CB257*CB175+CC257*CC175+CD257*CD175+CE257*CE175+CF257*CF175+CG257*CG175+CH257*CH175+CI257*CI175+CJ257*CJ175+CK257*CK175+CL257*CL175+CM257*CM175+CN257*CN175</f>
        <v>0</v>
      </c>
      <c r="DA175" s="2652">
        <f>E258*E175+F258*F175+G258*G175+H258*H175+I258*I175+J258*J175+K258*K175+L258*L175+M258*M175+N258*N175+O258*O175+P258*P175+Q258*Q175+R258*R175+S258*S175+T258*T175+U258*U175+V258*V175+W258*W175+X258*X175+Y258*Y175+Z258*Z175+AA258*AA175+AB258*AB175+AC258*AC175+AD258*AD175+AE258*AE175+AF258*AF175+AG258*AG175+AH258*AH175+AI258*AI175+AJ258*AJ175+AK258*AK175+AL258*AL175+AM258*AM175+AN258*AN175+AO258*AO175+AP258*AP175+AQ258*AQ175+AR258*AR175+AS258*AS175+AT258*AT175+AU258*AU175+AV258*AV175+AW258*AW175+AX258*AX175+AY258*AY175+AZ258*AZ175+BA258*BA175+BB258*BB175+BC258*BC175+BD258*BD175+BE258*BE175+BF258*BF175+BG258*BG175+BH258*BH175+BI258*BI175+BJ258*BJ175+BK258*BK175+BL258*BL175+BM258*BM175+BN258*BN175+BO258*BO175+BP258*BP175+BQ258*BQ175+BR258*BR175+BS258*BS175+BT258*BT175+BU258*BU175+BV258*BV175+BW258*BW175+BX258*BX175+BY258*BY175+BZ258*BZ175+CA258*CA175+CB258*CB175+CC258*CC175+CD258*CD175+CE258*CE175+CF258*CF175+CG258*CG175+CH258*CH175+CI258*CI175+CJ258*CJ175+CK258*CK175+CL258*CL175+CM258*CM175+CN258*CN175</f>
        <v>0</v>
      </c>
    </row>
    <row r="176" spans="2:105" ht="18" x14ac:dyDescent="0.25">
      <c r="B176" s="1084">
        <v>43</v>
      </c>
      <c r="C176" s="1074" t="s">
        <v>4380</v>
      </c>
      <c r="D176" s="809" t="s">
        <v>2190</v>
      </c>
      <c r="E176" s="2683">
        <f>0</f>
        <v>0</v>
      </c>
      <c r="F176" s="2683">
        <f>0</f>
        <v>0</v>
      </c>
      <c r="G176" s="2709">
        <f>0</f>
        <v>0</v>
      </c>
      <c r="H176" s="2709">
        <f>0</f>
        <v>0</v>
      </c>
      <c r="I176" s="2714">
        <f>f_C</f>
        <v>0.1</v>
      </c>
      <c r="J176" s="2709">
        <f>0</f>
        <v>0</v>
      </c>
      <c r="K176" s="2709">
        <f>(1-f_E)*(1-f_C)</f>
        <v>0.82800000000000007</v>
      </c>
      <c r="L176" s="2709">
        <f>0</f>
        <v>0</v>
      </c>
      <c r="M176" s="2709">
        <f>0</f>
        <v>0</v>
      </c>
      <c r="N176" s="2709">
        <f>0</f>
        <v>0</v>
      </c>
      <c r="O176" s="2709">
        <f>0</f>
        <v>0</v>
      </c>
      <c r="P176" s="2709">
        <f>0</f>
        <v>0</v>
      </c>
      <c r="Q176" s="2709">
        <f>0</f>
        <v>0</v>
      </c>
      <c r="R176" s="2709">
        <f>f_E*(1-f_C)</f>
        <v>7.2000000000000008E-2</v>
      </c>
      <c r="S176" s="2709">
        <f>0</f>
        <v>0</v>
      </c>
      <c r="T176" s="2709">
        <f>0</f>
        <v>0</v>
      </c>
      <c r="U176" s="2709">
        <f>0</f>
        <v>0</v>
      </c>
      <c r="V176" s="2709">
        <f>0</f>
        <v>0</v>
      </c>
      <c r="W176" s="2709">
        <f>0</f>
        <v>0</v>
      </c>
      <c r="X176" s="2709">
        <f>-1</f>
        <v>-1</v>
      </c>
      <c r="Y176" s="2709">
        <f>0</f>
        <v>0</v>
      </c>
      <c r="Z176" s="2709">
        <f>0</f>
        <v>0</v>
      </c>
      <c r="AA176" s="2709">
        <f>0</f>
        <v>0</v>
      </c>
      <c r="AB176" s="2709">
        <f>0</f>
        <v>0</v>
      </c>
      <c r="AC176" s="2744">
        <f>0</f>
        <v>0</v>
      </c>
      <c r="AD176" s="2709">
        <f>i_N_BIO-f_E*(1-f_C)*i_N_XE-f_C*i_N_CB-(1-f_E)*(1-f_C)*i_N_BIO</f>
        <v>6.7199999999999899E-3</v>
      </c>
      <c r="AE176" s="2709">
        <f>0</f>
        <v>0</v>
      </c>
      <c r="AF176" s="2709">
        <f>0</f>
        <v>0</v>
      </c>
      <c r="AG176" s="2709">
        <f>0</f>
        <v>0</v>
      </c>
      <c r="AH176" s="2709">
        <f>0</f>
        <v>0</v>
      </c>
      <c r="AI176" s="2709">
        <f>0</f>
        <v>0</v>
      </c>
      <c r="AJ176" s="2709">
        <f>(1-f_E)*(1-f_C)*i_N_BIO</f>
        <v>5.7960000000000012E-2</v>
      </c>
      <c r="AK176" s="2709">
        <f>0</f>
        <v>0</v>
      </c>
      <c r="AL176" s="2709">
        <f>i_P_BIO-f_E*(1-f_C)*i_P_BIO-f_C*i_P_CB-(1-f_E)*(1-f_C)*i_P_BIO</f>
        <v>1.7999999999999995E-3</v>
      </c>
      <c r="AM176" s="2709">
        <f>0</f>
        <v>0</v>
      </c>
      <c r="AN176" s="2709">
        <f>0</f>
        <v>0</v>
      </c>
      <c r="AO176" s="2709">
        <f>0</f>
        <v>0</v>
      </c>
      <c r="AP176" s="2709">
        <f>(1-f_E)*(1-f_C)*i_P_BIO</f>
        <v>1.6560000000000002E-2</v>
      </c>
      <c r="AQ176" s="2709">
        <f>0</f>
        <v>0</v>
      </c>
      <c r="AR176" s="2709">
        <f>0</f>
        <v>0</v>
      </c>
      <c r="AS176" s="2709">
        <f>0</f>
        <v>0</v>
      </c>
      <c r="AT176" s="2709">
        <f>0</f>
        <v>0</v>
      </c>
      <c r="AU176" s="2709">
        <f>i_CIT_BIO-f_E*(1-f_C)*i_CIT_BIO-(1-f_E)*(1-f_C)*i_CIT_XBe-(1-f_E)*f_C*i_CIT_XBe-f_E*f_C*i_CIT_XBe</f>
        <v>6.1248000000000011E-2</v>
      </c>
      <c r="AV176" s="2683">
        <f>0</f>
        <v>0</v>
      </c>
      <c r="AW176" s="2683">
        <f>0</f>
        <v>0</v>
      </c>
      <c r="AX176" s="2683">
        <f>0</f>
        <v>0</v>
      </c>
      <c r="AY176" s="2683">
        <f>0</f>
        <v>0</v>
      </c>
      <c r="AZ176" s="2683">
        <f>0</f>
        <v>0</v>
      </c>
      <c r="BA176" s="2683">
        <f>0</f>
        <v>0</v>
      </c>
      <c r="BB176" s="2709">
        <f>0</f>
        <v>0</v>
      </c>
      <c r="BC176" s="2709">
        <f>0</f>
        <v>0</v>
      </c>
      <c r="BD176" s="2709">
        <f>0</f>
        <v>0</v>
      </c>
      <c r="BE176" s="2709">
        <f>0</f>
        <v>0</v>
      </c>
      <c r="BF176" s="2709">
        <f>0</f>
        <v>0</v>
      </c>
      <c r="BG176" s="2709">
        <f>0</f>
        <v>0</v>
      </c>
      <c r="BH176" s="2709">
        <f>0</f>
        <v>0</v>
      </c>
      <c r="BI176" s="2709">
        <f>0</f>
        <v>0</v>
      </c>
      <c r="BJ176" s="2768">
        <f>0</f>
        <v>0</v>
      </c>
      <c r="BK176" s="2768">
        <f>0</f>
        <v>0</v>
      </c>
      <c r="BL176" s="2768">
        <f>0</f>
        <v>0</v>
      </c>
      <c r="BM176" s="2768">
        <f>0</f>
        <v>0</v>
      </c>
      <c r="BN176" s="2768">
        <f>0</f>
        <v>0</v>
      </c>
      <c r="BO176" s="2768">
        <f>0</f>
        <v>0</v>
      </c>
      <c r="BP176" s="2768">
        <f>0</f>
        <v>0</v>
      </c>
      <c r="BQ176" s="2709">
        <f>0</f>
        <v>0</v>
      </c>
      <c r="BR176" s="2709">
        <f>0</f>
        <v>0</v>
      </c>
      <c r="BS176" s="2768">
        <f>0</f>
        <v>0</v>
      </c>
      <c r="BT176" s="2709">
        <f>0</f>
        <v>0</v>
      </c>
      <c r="BU176" s="2709">
        <f>0</f>
        <v>0</v>
      </c>
      <c r="BV176" s="2744">
        <f>0</f>
        <v>0</v>
      </c>
      <c r="BW176" s="2744">
        <f>0</f>
        <v>0</v>
      </c>
      <c r="BX176" s="2744">
        <f>0</f>
        <v>0</v>
      </c>
      <c r="BY176" s="2744">
        <f>0</f>
        <v>0</v>
      </c>
      <c r="BZ176" s="2709">
        <f>0</f>
        <v>0</v>
      </c>
      <c r="CA176" s="2709">
        <f>0</f>
        <v>0</v>
      </c>
      <c r="CB176" s="2799">
        <f>0</f>
        <v>0</v>
      </c>
      <c r="CC176" s="2709">
        <f>0</f>
        <v>0</v>
      </c>
      <c r="CD176" s="2709">
        <f>0</f>
        <v>0</v>
      </c>
      <c r="CE176" s="2709">
        <f>0</f>
        <v>0</v>
      </c>
      <c r="CF176" s="2709">
        <f>0</f>
        <v>0</v>
      </c>
      <c r="CG176" s="2709">
        <f>0</f>
        <v>0</v>
      </c>
      <c r="CH176" s="2709">
        <f>0</f>
        <v>0</v>
      </c>
      <c r="CI176" s="2709">
        <f>0</f>
        <v>0</v>
      </c>
      <c r="CJ176" s="2709">
        <f>0</f>
        <v>0</v>
      </c>
      <c r="CK176" s="2709">
        <f>0</f>
        <v>0</v>
      </c>
      <c r="CL176" s="2709">
        <f>0</f>
        <v>0</v>
      </c>
      <c r="CM176" s="2709">
        <f>0</f>
        <v>0</v>
      </c>
      <c r="CN176" s="2709">
        <f>0</f>
        <v>0</v>
      </c>
      <c r="CO176" s="2821">
        <f>b_AOB_T*X_AOB*(M_satSO2_KO2_AOB+η_b_anox*M_satSNOx_KNOx_AOB*M_inhSO2_KO2_AOB)</f>
        <v>5.045719298245614</v>
      </c>
      <c r="CQ176" s="2650">
        <f>E248*E176+F248*F176+G248*G176+H248*H176+I248*I176+J248*J176+K248*K176+L248*L176+M248*M176+N248*N176+O248*O176+P248*P176+Q248*Q176+R248*R176+S248*S176+T248*T176+U248*U176+V248*V176+W248*W176+X248*X176+Y248*Y176+Z248*Z176+AA248*AA176+AB248*AB176+AC248*AC176+AD248*AD176+AE248*AE176+AF248*AF176+AG248*AG176+AH248*AH176+AI248*AI176+AJ248*AJ176+AK248*AK176+AL248*AL176+AM248*AM176+AN248*AN176+AO248*AO176+AP248*AP176+AQ248*AQ176+AR248*AR176+AS248*AS176+AT248*AT176+AU248*AU176+AV248*AV176+AW248*AW176+AX248*AX176+AY248*AY176+AZ248*AZ176+BA248*BA176+BB248*BB176+BC248*BC176+BD248*BD176+BE248*BE176+BF248*BF176+BG248*BG176+BH248*BH176+BI248*BI176+BJ248*BJ176+BK248*BK176+BL248*BL176+BM248*BM176+BN248*BN176+BO248*BO176+BP248*BP176+BQ248*BQ176+BR248*BR176+BS248*BS176+BT248*BT176+BU248*BU176+BV248*BV176+BW248*BW176+BX248*BX176+BY248*BY176+BZ248*BZ176+CA248*CA176+CB248*CB176+CC248*CC176+CD248*CD176+CE248*CE176+CF248*CF176+CG248*CG176+CH248*CH176+CI248*CI176+CJ248*CJ176+CK248*CK176+CL248*CL176+CM248*CM176+CN248*CN176</f>
        <v>0</v>
      </c>
      <c r="CR176" s="2650">
        <f>E249*E176+F249*F176+G249*G176+H249*H176+I249*I176+J249*J176+K249*K176+L249*L176+M249*M176+N249*N176+O249*O176+P249*P176+Q249*Q176+R249*R176+S249*S176+T249*T176+U249*U176+V249*V176+W249*W176+X249*X176+Y249*Y176+Z249*Z176+AA249*AA176+AB249*AB176+AC249*AC176+AD249*AD176+AE249*AE176+AF249*AF176+AG249*AG176+AH249*AH176+AI249*AI176+AJ249*AJ176+AK249*AK176+AL249*AL176+AM249*AM176+AN249*AN176+AO249*AO176+AP249*AP176+AQ249*AQ176+AR249*AR176+AS249*AS176+AT249*AT176+AU249*AU176+AV249*AV176+AW249*AW176+AX249*AX176+AY249*AY176+AZ249*AZ176+BA249*BA176+BB249*BB176+BC249*BC176+BD249*BD176+BE249*BE176+BF249*BF176+BG249*BG176+BH249*BH176+BI249*BI176+BJ249*BJ176+BK249*BK176+BL249*BL176+BM249*BM176+BN249*BN176+BO249*BO176+BP249*BP176+BQ249*BQ176+BR249*BR176+BS249*BS176+BT249*BT176+BU249*BU176+BV249*BV176+BW249*BW176+BX249*BX176+BY249*BY176+BZ249*BZ176+CA249*CA176+CB249*CB176+CC249*CC176+CD249*CD176+CE249*CE176+CF249*CF176+CG249*CG176+CH249*CH176+CI249*CI176+CJ249*CJ176+CK249*CK176+CL249*CL176+CM249*CM176+CN249*CN176</f>
        <v>-1.3877787807814457E-17</v>
      </c>
      <c r="CS176" s="2651">
        <f>E250*E176+F250*F176+G250*G176+H250*H176+I250*I176+J250*J176+K250*K176+L250*L176+M250*M176+N250*N176+O250*O176+P250*P176+Q250*Q176+R250*R176+S250*S176+T250*T176+U250*U176+V250*V176+W250*W176+X250*X176+Y250*Y176+Z250*Z176+AA250*AA176+AB250*AB176+AC250*AC176+AD250*AD176+AE250*AE176+AF250*AF176+AG250*AG176+AH250*AH176+AI250*AI176+AJ250*AJ176+AK250*AK176+AL250*AL176+AM250*AM176+AN250*AN176+AO250*AO176+AP250*AP176+AQ250*AQ176+AR250*AR176+AS250*AS176+AT250*AT176+AU250*AU176+AV250*AV176+AW250*AW176+AX250*AX176+AY250*AY176+AZ250*AZ176+BA250*BA176+BB250*BB176+BC250*BC176+BD250*BD176+BE250*BE176+BF250*BF176+BG250*BG176+BH250*BH176+BI250*BI176+BJ250*BJ176+BK250*BK176+BL250*BL176+BM250*BM176+BN250*BN176+BO250*BO176+BP250*BP176+BQ250*BQ176+BR250*BR176+BS250*BS176+BT250*BT176+BU250*BU176+BV250*BV176+BW250*BW176+BX250*BX176+BY250*BY176+BZ250*BZ176+CA250*CA176+CB250*CB176+CC250*CC176+CD250*CD176+CE250*CE176+CF250*CF176+CG250*CG176+CH250*CH176+CI250*CI176+CJ250*CJ176+CK250*CK176+CL250*CL176+CM250*CM176+CN250*CN176</f>
        <v>0</v>
      </c>
      <c r="CT176" s="2652">
        <f>E251*E176+F251*F176+G251*G176+H251*H176+I251*I176+J251*J176+K251*K176+L251*L176+M251*M176+N251*N176+O251*O176+P251*P176+Q251*Q176+R251*R176+S251*S176+T251*T176+U251*U176+V251*V176+W251*W176+X251*X176+Y251*Y176+Z251*Z176+AA251*AA176+AB251*AB176+AC251*AC176+AD251*AD176+AE251*AE176+AF251*AF176+AG251*AG176+AH251*AH176+AI251*AI176+AJ251*AJ176+AK251*AK176+AL251*AL176+AM251*AM176+AN251*AN176+AO251*AO176+AP251*AP176+AQ251*AQ176+AR251*AR176+AS251*AS176+AT251*AT176+AU251*AU176+AV251*AV176+AW251*AW176+AX251*AX176+AY251*AY176+AZ251*AZ176+BA251*BA176+BB251*BB176+BC251*BC176+BD251*BD176+BE251*BE176+BF251*BF176+BG251*BG176+BH251*BH176+BI251*BI176+BJ251*BJ176+BK251*BK176+BL251*BL176+BM251*BM176+BN251*BN176+BO251*BO176+BP251*BP176+BQ251*BQ176+BR251*BR176+BS251*BS176+BT251*BT176+BU251*BU176+BV251*BV176+BW251*BW176+BX251*BX176+BY251*BY176+BZ251*BZ176+CA251*CA176+CB251*CB176+CC251*CC176+CD251*CD176+CE251*CE176+CF251*CF176+CG251*CG176+CH251*CH176+CI251*CI176+CJ251*CJ176+CK251*CK176+CL251*CL176+CM251*CM176+CN251*CN176</f>
        <v>0</v>
      </c>
      <c r="CU176" s="2652">
        <f>E252*E176+F252*F176+G252*G176+H252*H176+I252*I176+J252*J176+K252*K176+L252*L176+M252*M176+N252*N176+O252*O176+P252*P176+Q252*Q176+R252*R176+S252*S176+T252*T176+U252*U176+V252*V176+W252*W176+X252*X176+Y252*Y176+Z252*Z176+AA252*AA176+AB252*AB176+AC252*AC176+AD252*AD176+AE252*AE176+AF252*AF176+AG252*AG176+AH252*AH176+AI252*AI176+AJ252*AJ176+AK252*AK176+AL252*AL176+AM252*AM176+AN252*AN176+AO252*AO176+AP252*AP176+AQ252*AQ176+AR252*AR176+AS252*AS176+AT252*AT176+AU252*AU176+AV252*AV176+AW252*AW176+AX252*AX176+AY252*AY176+AZ252*AZ176+BA252*BA176+BB252*BB176+BC252*BC176+BD252*BD176+BE252*BE176+BF252*BF176+BG252*BG176+BH252*BH176+BI252*BI176+BJ252*BJ176+BK252*BK176+BL252*BL176+BM252*BM176+BN252*BN176+BO252*BO176+BP252*BP176+BQ252*BQ176+BR252*BR176+BS252*BS176+BT252*BT176+BU252*BU176+BV252*BV176+BW252*BW176+BX252*BX176+BY252*BY176+BZ252*BZ176+CA252*CA176+CB252*CB176+CC252*CC176+CD252*CD176+CE252*CE176+CF252*CF176+CG252*CG176+CH252*CH176+CI252*CI176+CJ252*CJ176+CK252*CK176+CL252*CL176+CM252*CM176+CN252*CN176</f>
        <v>0</v>
      </c>
      <c r="CV176" s="2652">
        <f>E253*E176+F253*F176+G253*G176+H253*H176+I253*I176+J253*J176+K253*K176+L253*L176+M253*M176+N253*N176+O253*O176+P253*P176+Q253*Q176+R253*R176+S253*S176+T253*T176+U253*U176+V253*V176+W253*W176+X253*X176+Y253*Y176+Z253*Z176+AA253*AA176+AB253*AB176+AC253*AC176+AD253*AD176+AE253*AE176+AF253*AF176+AG253*AG176+AH253*AH176+AI253*AI176+AJ253*AJ176+AK253*AK176+AL253*AL176+AM253*AM176+AN253*AN176+AO253*AO176+AP253*AP176+AQ253*AQ176+AR253*AR176+AS253*AS176+AT253*AT176+AU253*AU176+AV253*AV176+AW253*AW176+AX253*AX176+AY253*AY176+AZ253*AZ176+BA253*BA176+BB253*BB176+BC253*BC176+BD253*BD176+BE253*BE176+BF253*BF176+BG253*BG176+BH253*BH176+BI253*BI176+BJ253*BJ176+BK253*BK176+BL253*BL176+BM253*BM176+BN253*BN176+BO253*BO176+BP253*BP176+BQ253*BQ176+BR253*BR176+BS253*BS176+BT253*BT176+BU253*BU176+BV253*BV176+BW253*BW176+BX253*BX176+BY253*BY176+BZ253*BZ176+CA253*CA176+CB253*CB176+CC253*CC176+CD253*CD176+CE253*CE176+CF253*CF176+CG253*CG176+CH253*CH176+CI253*CI176+CJ253*CJ176+CK253*CK176+CL253*CL176+CM253*CM176+CN253*CN176</f>
        <v>0</v>
      </c>
      <c r="CW176" s="2652">
        <f>E254*E176+F254*F176+G254*G176+H254*H176+I254*I176+J254*J176+K254*K176+L254*L176+M254*M176+N254*N176+O254*O176+P254*P176+Q254*Q176+R254*R176+S254*S176+T254*T176+U254*U176+V254*V176+W254*W176+X254*X176+Y254*Y176+Z254*Z176+AA254*AA176+AB254*AB176+AC254*AC176+AD254*AD176+AE254*AE176+AF254*AF176+AG254*AG176+AH254*AH176+AI254*AI176+AJ254*AJ176+AK254*AK176+AL254*AL176+AM254*AM176+AN254*AN176+AO254*AO176+AP254*AP176+AQ254*AQ176+AR254*AR176+AS254*AS176+AT254*AT176+AU254*AU176+AV254*AV176+AW254*AW176+AX254*AX176+AY254*AY176+AZ254*AZ176+BA254*BA176+BB254*BB176+BC254*BC176+BD254*BD176+BE254*BE176+BF254*BF176+BG254*BG176+BH254*BH176+BI254*BI176+BJ254*BJ176+BK254*BK176+BL254*BL176+BM254*BM176+BN254*BN176+BO254*BO176+BP254*BP176+BQ254*BQ176+BR254*BR176+BS254*BS176+BT254*BT176+BU254*BU176+BV254*BV176+BW254*BW176+BX254*BX176+BY254*BY176+BZ254*BZ176+CA254*CA176+CB254*CB176+CC254*CC176+CD254*CD176+CE254*CE176+CF254*CF176+CG254*CG176+CH254*CH176+CI254*CI176+CJ254*CJ176+CK254*CK176+CL254*CL176+CM254*CM176+CN254*CN176</f>
        <v>0</v>
      </c>
      <c r="CX176" s="2652">
        <f>E255*E176+F255*F176+G255*G176+H255*H176+I255*I176+J255*J176+K255*K176+L255*L176+M255*M176+N255*N176+O255*O176+P255*P176+Q255*Q176+R255*R176+S255*S176+T255*T176+U255*U176+V255*V176+W255*W176+X255*X176+Y255*Y176+Z255*Z176+AA255*AA176+AB255*AB176+AC255*AC176+AD255*AD176+AE255*AE176+AF255*AF176+AG255*AG176+AH255*AH176+AI255*AI176+AJ255*AJ176+AK255*AK176+AL255*AL176+AM255*AM176+AN255*AN176+AO255*AO176+AP255*AP176+AQ255*AQ176+AR255*AR176+AS255*AS176+AT255*AT176+AU255*AU176+AV255*AV176+AW255*AW176+AX255*AX176+AY255*AY176+AZ255*AZ176+BA255*BA176+BB255*BB176+BC255*BC176+BD255*BD176+BE255*BE176+BF255*BF176+BG255*BG176+BH255*BH176+BI255*BI176+BJ255*BJ176+BK255*BK176+BL255*BL176+BM255*BM176+BN255*BN176+BO255*BO176+BP255*BP176+BQ255*BQ176+BR255*BR176+BS255*BS176+BT255*BT176+BU255*BU176+BV255*BV176+BW255*BW176+BX255*BX176+BY255*BY176+BZ255*BZ176+CA255*CA176+CB255*CB176+CC255*CC176+CD255*CD176+CE255*CE176+CF255*CF176+CG255*CG176+CH255*CH176+CI255*CI176+CJ255*CJ176+CK255*CK176+CL255*CL176+CM255*CM176+CN255*CN176</f>
        <v>0</v>
      </c>
      <c r="CY176" s="2652">
        <f>E256*E176+F256*F176+G256*G176+H256*H176+I256*I176+J256*J176+K256*K176+L256*L176+M256*M176+N256*N176+O256*O176+P256*P176+Q256*Q176+R256*R176+S256*S176+T256*T176+U256*U176+V256*V176+W256*W176+X256*X176+Y256*Y176+Z256*Z176+AA256*AA176+AB256*AB176+AC256*AC176+AD256*AD176+AE256*AE176+AF256*AF176+AG256*AG176+AH256*AH176+AI256*AI176+AJ256*AJ176+AK256*AK176+AL256*AL176+AM256*AM176+AN256*AN176+AO256*AO176+AP256*AP176+AQ256*AQ176+AR256*AR176+AS256*AS176+AT256*AT176+AU256*AU176+AV256*AV176+AW256*AW176+AX256*AX176+AY256*AY176+AZ256*AZ176+BA256*BA176+BB256*BB176+BC256*BC176+BD256*BD176+BE256*BE176+BF256*BF176+BG256*BG176+BH256*BH176+BI256*BI176+BJ256*BJ176+BK256*BK176+BL256*BL176+BM256*BM176+BN256*BN176+BO256*BO176+BP256*BP176+BQ256*BQ176+BR256*BR176+BS256*BS176+BT256*BT176+BU256*BU176+BV256*BV176+BW256*BW176+BX256*BX176+BY256*BY176+BZ256*BZ176+CA256*CA176+CB256*CB176+CC256*CC176+CD256*CD176+CE256*CE176+CF256*CF176+CG256*CG176+CH256*CH176+CI256*CI176+CJ256*CJ176+CK256*CK176+CL256*CL176+CM256*CM176+CN256*CN176</f>
        <v>0</v>
      </c>
      <c r="CZ176" s="2652">
        <f>E257*E176+F257*F176+G257*G176+H257*H176+I257*I176+J257*J176+K257*K176+L257*L176+M257*M176+N257*N176+O257*O176+P257*P176+Q257*Q176+R257*R176+S257*S176+T257*T176+U257*U176+V257*V176+W257*W176+X257*X176+Y257*Y176+Z257*Z176+AA257*AA176+AB257*AB176+AC257*AC176+AD257*AD176+AE257*AE176+AF257*AF176+AG257*AG176+AH257*AH176+AI257*AI176+AJ257*AJ176+AK257*AK176+AL257*AL176+AM257*AM176+AN257*AN176+AO257*AO176+AP257*AP176+AQ257*AQ176+AR257*AR176+AS257*AS176+AT257*AT176+AU257*AU176+AV257*AV176+AW257*AW176+AX257*AX176+AY257*AY176+AZ257*AZ176+BA257*BA176+BB257*BB176+BC257*BC176+BD257*BD176+BE257*BE176+BF257*BF176+BG257*BG176+BH257*BH176+BI257*BI176+BJ257*BJ176+BK257*BK176+BL257*BL176+BM257*BM176+BN257*BN176+BO257*BO176+BP257*BP176+BQ257*BQ176+BR257*BR176+BS257*BS176+BT257*BT176+BU257*BU176+BV257*BV176+BW257*BW176+BX257*BX176+BY257*BY176+BZ257*BZ176+CA257*CA176+CB257*CB176+CC257*CC176+CD257*CD176+CE257*CE176+CF257*CF176+CG257*CG176+CH257*CH176+CI257*CI176+CJ257*CJ176+CK257*CK176+CL257*CL176+CM257*CM176+CN257*CN176</f>
        <v>0</v>
      </c>
      <c r="DA176" s="2652">
        <f>E258*E176+F258*F176+G258*G176+H258*H176+I258*I176+J258*J176+K258*K176+L258*L176+M258*M176+N258*N176+O258*O176+P258*P176+Q258*Q176+R258*R176+S258*S176+T258*T176+U258*U176+V258*V176+W258*W176+X258*X176+Y258*Y176+Z258*Z176+AA258*AA176+AB258*AB176+AC258*AC176+AD258*AD176+AE258*AE176+AF258*AF176+AG258*AG176+AH258*AH176+AI258*AI176+AJ258*AJ176+AK258*AK176+AL258*AL176+AM258*AM176+AN258*AN176+AO258*AO176+AP258*AP176+AQ258*AQ176+AR258*AR176+AS258*AS176+AT258*AT176+AU258*AU176+AV258*AV176+AW258*AW176+AX258*AX176+AY258*AY176+AZ258*AZ176+BA258*BA176+BB258*BB176+BC258*BC176+BD258*BD176+BE258*BE176+BF258*BF176+BG258*BG176+BH258*BH176+BI258*BI176+BJ258*BJ176+BK258*BK176+BL258*BL176+BM258*BM176+BN258*BN176+BO258*BO176+BP258*BP176+BQ258*BQ176+BR258*BR176+BS258*BS176+BT258*BT176+BU258*BU176+BV258*BV176+BW258*BW176+BX258*BX176+BY258*BY176+BZ258*BZ176+CA258*CA176+CB258*CB176+CC258*CC176+CD258*CD176+CE258*CE176+CF258*CF176+CG258*CG176+CH258*CH176+CI258*CI176+CJ258*CJ176+CK258*CK176+CL258*CL176+CM258*CM176+CN258*CN176</f>
        <v>0</v>
      </c>
    </row>
    <row r="177" spans="2:105" ht="18" x14ac:dyDescent="0.25">
      <c r="B177" s="1084">
        <v>44</v>
      </c>
      <c r="C177" s="1074" t="s">
        <v>4381</v>
      </c>
      <c r="D177" s="809" t="s">
        <v>2955</v>
      </c>
      <c r="E177" s="2683">
        <f>0</f>
        <v>0</v>
      </c>
      <c r="F177" s="2683">
        <f>0</f>
        <v>0</v>
      </c>
      <c r="G177" s="2709">
        <f>0</f>
        <v>0</v>
      </c>
      <c r="H177" s="2709">
        <f>0</f>
        <v>0</v>
      </c>
      <c r="I177" s="2714">
        <f>f_C</f>
        <v>0.1</v>
      </c>
      <c r="J177" s="2709">
        <f>0</f>
        <v>0</v>
      </c>
      <c r="K177" s="2709">
        <f>(1-f_E)*(1-f_C)</f>
        <v>0.82800000000000007</v>
      </c>
      <c r="L177" s="2709">
        <f>0</f>
        <v>0</v>
      </c>
      <c r="M177" s="2709">
        <f>0</f>
        <v>0</v>
      </c>
      <c r="N177" s="2709">
        <f>0</f>
        <v>0</v>
      </c>
      <c r="O177" s="2709">
        <f>0</f>
        <v>0</v>
      </c>
      <c r="P177" s="2709">
        <f>0</f>
        <v>0</v>
      </c>
      <c r="Q177" s="2709">
        <f>0</f>
        <v>0</v>
      </c>
      <c r="R177" s="2709">
        <f>0</f>
        <v>0</v>
      </c>
      <c r="S177" s="2709">
        <f>f_E*(1-f_C)</f>
        <v>7.2000000000000008E-2</v>
      </c>
      <c r="T177" s="2709">
        <f>0</f>
        <v>0</v>
      </c>
      <c r="U177" s="2709">
        <f>0</f>
        <v>0</v>
      </c>
      <c r="V177" s="2709">
        <f>0</f>
        <v>0</v>
      </c>
      <c r="W177" s="2709">
        <f>0</f>
        <v>0</v>
      </c>
      <c r="X177" s="2709">
        <f>-1</f>
        <v>-1</v>
      </c>
      <c r="Y177" s="2709">
        <f>0</f>
        <v>0</v>
      </c>
      <c r="Z177" s="2709">
        <f>0</f>
        <v>0</v>
      </c>
      <c r="AA177" s="2709">
        <f>0</f>
        <v>0</v>
      </c>
      <c r="AB177" s="2709">
        <f>0</f>
        <v>0</v>
      </c>
      <c r="AC177" s="2744">
        <f>0</f>
        <v>0</v>
      </c>
      <c r="AD177" s="2709">
        <f>i_N_BIO-f_E*(1-f_C)*i_N_XE-f_C*i_N_CB-(1-f_E)*(1-f_C)*i_N_BIO</f>
        <v>6.7199999999999899E-3</v>
      </c>
      <c r="AE177" s="2709">
        <f>0</f>
        <v>0</v>
      </c>
      <c r="AF177" s="2709">
        <f>0</f>
        <v>0</v>
      </c>
      <c r="AG177" s="2709">
        <f>0</f>
        <v>0</v>
      </c>
      <c r="AH177" s="2709">
        <f>0</f>
        <v>0</v>
      </c>
      <c r="AI177" s="2709">
        <f>0</f>
        <v>0</v>
      </c>
      <c r="AJ177" s="2709">
        <f>(1-f_E)*(1-f_C)*i_N_BIO</f>
        <v>5.7960000000000012E-2</v>
      </c>
      <c r="AK177" s="2709">
        <f>0</f>
        <v>0</v>
      </c>
      <c r="AL177" s="2709">
        <f>i_P_BIO-f_E*(1-f_C)*i_P_BIO-f_C*i_P_CB-(1-f_E)*(1-f_C)*i_P_BIO</f>
        <v>1.7999999999999995E-3</v>
      </c>
      <c r="AM177" s="2709">
        <f>0</f>
        <v>0</v>
      </c>
      <c r="AN177" s="2709">
        <f>0</f>
        <v>0</v>
      </c>
      <c r="AO177" s="2709">
        <f>0</f>
        <v>0</v>
      </c>
      <c r="AP177" s="2709">
        <f>(1-f_E)*(1-f_C)*i_P_BIO</f>
        <v>1.6560000000000002E-2</v>
      </c>
      <c r="AQ177" s="2709">
        <f>0</f>
        <v>0</v>
      </c>
      <c r="AR177" s="2709">
        <f>0</f>
        <v>0</v>
      </c>
      <c r="AS177" s="2709">
        <f>0</f>
        <v>0</v>
      </c>
      <c r="AT177" s="2709">
        <f>0</f>
        <v>0</v>
      </c>
      <c r="AU177" s="2709">
        <f>i_CIT_BIO-f_E*(1-f_C)*i_CIT_BIO-(1-f_E)*(1-f_C)*i_CIT_XBe-(1-f_E)*f_C*i_CIT_XBe-f_E*f_C*i_CIT_XBe</f>
        <v>6.1248000000000011E-2</v>
      </c>
      <c r="AV177" s="2683">
        <f>0</f>
        <v>0</v>
      </c>
      <c r="AW177" s="2683">
        <f>0</f>
        <v>0</v>
      </c>
      <c r="AX177" s="2683">
        <f>0</f>
        <v>0</v>
      </c>
      <c r="AY177" s="2683">
        <f>0</f>
        <v>0</v>
      </c>
      <c r="AZ177" s="2683">
        <f>0</f>
        <v>0</v>
      </c>
      <c r="BA177" s="2683">
        <f>0</f>
        <v>0</v>
      </c>
      <c r="BB177" s="2709">
        <f>0</f>
        <v>0</v>
      </c>
      <c r="BC177" s="2709">
        <f>0</f>
        <v>0</v>
      </c>
      <c r="BD177" s="2709">
        <f>0</f>
        <v>0</v>
      </c>
      <c r="BE177" s="2709">
        <f>0</f>
        <v>0</v>
      </c>
      <c r="BF177" s="2709">
        <f>0</f>
        <v>0</v>
      </c>
      <c r="BG177" s="2709">
        <f>0</f>
        <v>0</v>
      </c>
      <c r="BH177" s="2709">
        <f>0</f>
        <v>0</v>
      </c>
      <c r="BI177" s="2709">
        <f>0</f>
        <v>0</v>
      </c>
      <c r="BJ177" s="2768">
        <f>0</f>
        <v>0</v>
      </c>
      <c r="BK177" s="2768">
        <f>0</f>
        <v>0</v>
      </c>
      <c r="BL177" s="2768">
        <f>0</f>
        <v>0</v>
      </c>
      <c r="BM177" s="2768">
        <f>0</f>
        <v>0</v>
      </c>
      <c r="BN177" s="2768">
        <f>0</f>
        <v>0</v>
      </c>
      <c r="BO177" s="2768">
        <f>0</f>
        <v>0</v>
      </c>
      <c r="BP177" s="2768">
        <f>0</f>
        <v>0</v>
      </c>
      <c r="BQ177" s="2709">
        <f>0</f>
        <v>0</v>
      </c>
      <c r="BR177" s="2709">
        <f>0</f>
        <v>0</v>
      </c>
      <c r="BS177" s="2768">
        <f>0</f>
        <v>0</v>
      </c>
      <c r="BT177" s="2709">
        <f>0</f>
        <v>0</v>
      </c>
      <c r="BU177" s="2709">
        <f>0</f>
        <v>0</v>
      </c>
      <c r="BV177" s="2744">
        <f>0</f>
        <v>0</v>
      </c>
      <c r="BW177" s="2744">
        <f>0</f>
        <v>0</v>
      </c>
      <c r="BX177" s="2744">
        <f>0</f>
        <v>0</v>
      </c>
      <c r="BY177" s="2744">
        <f>0</f>
        <v>0</v>
      </c>
      <c r="BZ177" s="2709">
        <f>0</f>
        <v>0</v>
      </c>
      <c r="CA177" s="2709">
        <f>0</f>
        <v>0</v>
      </c>
      <c r="CB177" s="2799">
        <f>0</f>
        <v>0</v>
      </c>
      <c r="CC177" s="2709">
        <f>0</f>
        <v>0</v>
      </c>
      <c r="CD177" s="2709">
        <f>0</f>
        <v>0</v>
      </c>
      <c r="CE177" s="2709">
        <f>0</f>
        <v>0</v>
      </c>
      <c r="CF177" s="2709">
        <f>0</f>
        <v>0</v>
      </c>
      <c r="CG177" s="2709">
        <f>0</f>
        <v>0</v>
      </c>
      <c r="CH177" s="2709">
        <f>0</f>
        <v>0</v>
      </c>
      <c r="CI177" s="2709">
        <f>0</f>
        <v>0</v>
      </c>
      <c r="CJ177" s="2709">
        <f>0</f>
        <v>0</v>
      </c>
      <c r="CK177" s="2709">
        <f>0</f>
        <v>0</v>
      </c>
      <c r="CL177" s="2709">
        <f>0</f>
        <v>0</v>
      </c>
      <c r="CM177" s="2709">
        <f>0</f>
        <v>0</v>
      </c>
      <c r="CN177" s="2709">
        <f>0</f>
        <v>0</v>
      </c>
      <c r="CO177" s="2821">
        <f>b_AOB_T*X_AOB*(η_b_ana*M_inhSNOx_KNOx_AOB*M_inhSO2_KO2_AOB+m_tox_ana)</f>
        <v>1.6403508771929826E-3</v>
      </c>
      <c r="CQ177" s="2650">
        <f>E248*E177+F248*F177+G248*G177+H248*H177+I248*I177+J248*J177+K248*K177+L248*L177+M248*M177+N248*N177+O248*O177+P248*P177+Q248*Q177+R248*R177+S248*S177+T248*T177+U248*U177+V248*V177+W248*W177+X248*X177+Y248*Y177+Z248*Z177+AA248*AA177+AB248*AB177+AC248*AC177+AD248*AD177+AE248*AE177+AF248*AF177+AG248*AG177+AH248*AH177+AI248*AI177+AJ248*AJ177+AK248*AK177+AL248*AL177+AM248*AM177+AN248*AN177+AO248*AO177+AP248*AP177+AQ248*AQ177+AR248*AR177+AS248*AS177+AT248*AT177+AU248*AU177+AV248*AV177+AW248*AW177+AX248*AX177+AY248*AY177+AZ248*AZ177+BA248*BA177+BB248*BB177+BC248*BC177+BD248*BD177+BE248*BE177+BF248*BF177+BG248*BG177+BH248*BH177+BI248*BI177+BJ248*BJ177+BK248*BK177+BL248*BL177+BM248*BM177+BN248*BN177+BO248*BO177+BP248*BP177+BQ248*BQ177+BR248*BR177+BS248*BS177+BT248*BT177+BU248*BU177+BV248*BV177+BW248*BW177+BX248*BX177+BY248*BY177+BZ248*BZ177+CA248*CA177+CB248*CB177+CC248*CC177+CD248*CD177+CE248*CE177+CF248*CF177+CG248*CG177+CH248*CH177+CI248*CI177+CJ248*CJ177+CK248*CK177+CL248*CL177+CM248*CM177+CN248*CN177</f>
        <v>0</v>
      </c>
      <c r="CR177" s="2650">
        <f>E249*E177+F249*F177+G249*G177+H249*H177+I249*I177+J249*J177+K249*K177+L249*L177+M249*M177+N249*N177+O249*O177+P249*P177+Q249*Q177+R249*R177+S249*S177+T249*T177+U249*U177+V249*V177+W249*W177+X249*X177+Y249*Y177+Z249*Z177+AA249*AA177+AB249*AB177+AC249*AC177+AD249*AD177+AE249*AE177+AF249*AF177+AG249*AG177+AH249*AH177+AI249*AI177+AJ249*AJ177+AK249*AK177+AL249*AL177+AM249*AM177+AN249*AN177+AO249*AO177+AP249*AP177+AQ249*AQ177+AR249*AR177+AS249*AS177+AT249*AT177+AU249*AU177+AV249*AV177+AW249*AW177+AX249*AX177+AY249*AY177+AZ249*AZ177+BA249*BA177+BB249*BB177+BC249*BC177+BD249*BD177+BE249*BE177+BF249*BF177+BG249*BG177+BH249*BH177+BI249*BI177+BJ249*BJ177+BK249*BK177+BL249*BL177+BM249*BM177+BN249*BN177+BO249*BO177+BP249*BP177+BQ249*BQ177+BR249*BR177+BS249*BS177+BT249*BT177+BU249*BU177+BV249*BV177+BW249*BW177+BX249*BX177+BY249*BY177+BZ249*BZ177+CA249*CA177+CB249*CB177+CC249*CC177+CD249*CD177+CE249*CE177+CF249*CF177+CG249*CG177+CH249*CH177+CI249*CI177+CJ249*CJ177+CK249*CK177+CL249*CL177+CM249*CM177+CN249*CN177</f>
        <v>-1.3877787807814457E-17</v>
      </c>
      <c r="CS177" s="2651">
        <f>E250*E177+F250*F177+G250*G177+H250*H177+I250*I177+J250*J177+K250*K177+L250*L177+M250*M177+N250*N177+O250*O177+P250*P177+Q250*Q177+R250*R177+S250*S177+T250*T177+U250*U177+V250*V177+W250*W177+X250*X177+Y250*Y177+Z250*Z177+AA250*AA177+AB250*AB177+AC250*AC177+AD250*AD177+AE250*AE177+AF250*AF177+AG250*AG177+AH250*AH177+AI250*AI177+AJ250*AJ177+AK250*AK177+AL250*AL177+AM250*AM177+AN250*AN177+AO250*AO177+AP250*AP177+AQ250*AQ177+AR250*AR177+AS250*AS177+AT250*AT177+AU250*AU177+AV250*AV177+AW250*AW177+AX250*AX177+AY250*AY177+AZ250*AZ177+BA250*BA177+BB250*BB177+BC250*BC177+BD250*BD177+BE250*BE177+BF250*BF177+BG250*BG177+BH250*BH177+BI250*BI177+BJ250*BJ177+BK250*BK177+BL250*BL177+BM250*BM177+BN250*BN177+BO250*BO177+BP250*BP177+BQ250*BQ177+BR250*BR177+BS250*BS177+BT250*BT177+BU250*BU177+BV250*BV177+BW250*BW177+BX250*BX177+BY250*BY177+BZ250*BZ177+CA250*CA177+CB250*CB177+CC250*CC177+CD250*CD177+CE250*CE177+CF250*CF177+CG250*CG177+CH250*CH177+CI250*CI177+CJ250*CJ177+CK250*CK177+CL250*CL177+CM250*CM177+CN250*CN177</f>
        <v>0</v>
      </c>
      <c r="CT177" s="2652">
        <f>E251*E177+F251*F177+G251*G177+H251*H177+I251*I177+J251*J177+K251*K177+L251*L177+M251*M177+N251*N177+O251*O177+P251*P177+Q251*Q177+R251*R177+S251*S177+T251*T177+U251*U177+V251*V177+W251*W177+X251*X177+Y251*Y177+Z251*Z177+AA251*AA177+AB251*AB177+AC251*AC177+AD251*AD177+AE251*AE177+AF251*AF177+AG251*AG177+AH251*AH177+AI251*AI177+AJ251*AJ177+AK251*AK177+AL251*AL177+AM251*AM177+AN251*AN177+AO251*AO177+AP251*AP177+AQ251*AQ177+AR251*AR177+AS251*AS177+AT251*AT177+AU251*AU177+AV251*AV177+AW251*AW177+AX251*AX177+AY251*AY177+AZ251*AZ177+BA251*BA177+BB251*BB177+BC251*BC177+BD251*BD177+BE251*BE177+BF251*BF177+BG251*BG177+BH251*BH177+BI251*BI177+BJ251*BJ177+BK251*BK177+BL251*BL177+BM251*BM177+BN251*BN177+BO251*BO177+BP251*BP177+BQ251*BQ177+BR251*BR177+BS251*BS177+BT251*BT177+BU251*BU177+BV251*BV177+BW251*BW177+BX251*BX177+BY251*BY177+BZ251*BZ177+CA251*CA177+CB251*CB177+CC251*CC177+CD251*CD177+CE251*CE177+CF251*CF177+CG251*CG177+CH251*CH177+CI251*CI177+CJ251*CJ177+CK251*CK177+CL251*CL177+CM251*CM177+CN251*CN177</f>
        <v>0</v>
      </c>
      <c r="CU177" s="2652">
        <f>E252*E177+F252*F177+G252*G177+H252*H177+I252*I177+J252*J177+K252*K177+L252*L177+M252*M177+N252*N177+O252*O177+P252*P177+Q252*Q177+R252*R177+S252*S177+T252*T177+U252*U177+V252*V177+W252*W177+X252*X177+Y252*Y177+Z252*Z177+AA252*AA177+AB252*AB177+AC252*AC177+AD252*AD177+AE252*AE177+AF252*AF177+AG252*AG177+AH252*AH177+AI252*AI177+AJ252*AJ177+AK252*AK177+AL252*AL177+AM252*AM177+AN252*AN177+AO252*AO177+AP252*AP177+AQ252*AQ177+AR252*AR177+AS252*AS177+AT252*AT177+AU252*AU177+AV252*AV177+AW252*AW177+AX252*AX177+AY252*AY177+AZ252*AZ177+BA252*BA177+BB252*BB177+BC252*BC177+BD252*BD177+BE252*BE177+BF252*BF177+BG252*BG177+BH252*BH177+BI252*BI177+BJ252*BJ177+BK252*BK177+BL252*BL177+BM252*BM177+BN252*BN177+BO252*BO177+BP252*BP177+BQ252*BQ177+BR252*BR177+BS252*BS177+BT252*BT177+BU252*BU177+BV252*BV177+BW252*BW177+BX252*BX177+BY252*BY177+BZ252*BZ177+CA252*CA177+CB252*CB177+CC252*CC177+CD252*CD177+CE252*CE177+CF252*CF177+CG252*CG177+CH252*CH177+CI252*CI177+CJ252*CJ177+CK252*CK177+CL252*CL177+CM252*CM177+CN252*CN177</f>
        <v>0</v>
      </c>
      <c r="CV177" s="2652">
        <f>E253*E177+F253*F177+G253*G177+H253*H177+I253*I177+J253*J177+K253*K177+L253*L177+M253*M177+N253*N177+O253*O177+P253*P177+Q253*Q177+R253*R177+S253*S177+T253*T177+U253*U177+V253*V177+W253*W177+X253*X177+Y253*Y177+Z253*Z177+AA253*AA177+AB253*AB177+AC253*AC177+AD253*AD177+AE253*AE177+AF253*AF177+AG253*AG177+AH253*AH177+AI253*AI177+AJ253*AJ177+AK253*AK177+AL253*AL177+AM253*AM177+AN253*AN177+AO253*AO177+AP253*AP177+AQ253*AQ177+AR253*AR177+AS253*AS177+AT253*AT177+AU253*AU177+AV253*AV177+AW253*AW177+AX253*AX177+AY253*AY177+AZ253*AZ177+BA253*BA177+BB253*BB177+BC253*BC177+BD253*BD177+BE253*BE177+BF253*BF177+BG253*BG177+BH253*BH177+BI253*BI177+BJ253*BJ177+BK253*BK177+BL253*BL177+BM253*BM177+BN253*BN177+BO253*BO177+BP253*BP177+BQ253*BQ177+BR253*BR177+BS253*BS177+BT253*BT177+BU253*BU177+BV253*BV177+BW253*BW177+BX253*BX177+BY253*BY177+BZ253*BZ177+CA253*CA177+CB253*CB177+CC253*CC177+CD253*CD177+CE253*CE177+CF253*CF177+CG253*CG177+CH253*CH177+CI253*CI177+CJ253*CJ177+CK253*CK177+CL253*CL177+CM253*CM177+CN253*CN177</f>
        <v>0</v>
      </c>
      <c r="CW177" s="2652">
        <f>E254*E177+F254*F177+G254*G177+H254*H177+I254*I177+J254*J177+K254*K177+L254*L177+M254*M177+N254*N177+O254*O177+P254*P177+Q254*Q177+R254*R177+S254*S177+T254*T177+U254*U177+V254*V177+W254*W177+X254*X177+Y254*Y177+Z254*Z177+AA254*AA177+AB254*AB177+AC254*AC177+AD254*AD177+AE254*AE177+AF254*AF177+AG254*AG177+AH254*AH177+AI254*AI177+AJ254*AJ177+AK254*AK177+AL254*AL177+AM254*AM177+AN254*AN177+AO254*AO177+AP254*AP177+AQ254*AQ177+AR254*AR177+AS254*AS177+AT254*AT177+AU254*AU177+AV254*AV177+AW254*AW177+AX254*AX177+AY254*AY177+AZ254*AZ177+BA254*BA177+BB254*BB177+BC254*BC177+BD254*BD177+BE254*BE177+BF254*BF177+BG254*BG177+BH254*BH177+BI254*BI177+BJ254*BJ177+BK254*BK177+BL254*BL177+BM254*BM177+BN254*BN177+BO254*BO177+BP254*BP177+BQ254*BQ177+BR254*BR177+BS254*BS177+BT254*BT177+BU254*BU177+BV254*BV177+BW254*BW177+BX254*BX177+BY254*BY177+BZ254*BZ177+CA254*CA177+CB254*CB177+CC254*CC177+CD254*CD177+CE254*CE177+CF254*CF177+CG254*CG177+CH254*CH177+CI254*CI177+CJ254*CJ177+CK254*CK177+CL254*CL177+CM254*CM177+CN254*CN177</f>
        <v>0</v>
      </c>
      <c r="CX177" s="2652">
        <f>E255*E177+F255*F177+G255*G177+H255*H177+I255*I177+J255*J177+K255*K177+L255*L177+M255*M177+N255*N177+O255*O177+P255*P177+Q255*Q177+R255*R177+S255*S177+T255*T177+U255*U177+V255*V177+W255*W177+X255*X177+Y255*Y177+Z255*Z177+AA255*AA177+AB255*AB177+AC255*AC177+AD255*AD177+AE255*AE177+AF255*AF177+AG255*AG177+AH255*AH177+AI255*AI177+AJ255*AJ177+AK255*AK177+AL255*AL177+AM255*AM177+AN255*AN177+AO255*AO177+AP255*AP177+AQ255*AQ177+AR255*AR177+AS255*AS177+AT255*AT177+AU255*AU177+AV255*AV177+AW255*AW177+AX255*AX177+AY255*AY177+AZ255*AZ177+BA255*BA177+BB255*BB177+BC255*BC177+BD255*BD177+BE255*BE177+BF255*BF177+BG255*BG177+BH255*BH177+BI255*BI177+BJ255*BJ177+BK255*BK177+BL255*BL177+BM255*BM177+BN255*BN177+BO255*BO177+BP255*BP177+BQ255*BQ177+BR255*BR177+BS255*BS177+BT255*BT177+BU255*BU177+BV255*BV177+BW255*BW177+BX255*BX177+BY255*BY177+BZ255*BZ177+CA255*CA177+CB255*CB177+CC255*CC177+CD255*CD177+CE255*CE177+CF255*CF177+CG255*CG177+CH255*CH177+CI255*CI177+CJ255*CJ177+CK255*CK177+CL255*CL177+CM255*CM177+CN255*CN177</f>
        <v>0</v>
      </c>
      <c r="CY177" s="2652">
        <f>E256*E177+F256*F177+G256*G177+H256*H177+I256*I177+J256*J177+K256*K177+L256*L177+M256*M177+N256*N177+O256*O177+P256*P177+Q256*Q177+R256*R177+S256*S177+T256*T177+U256*U177+V256*V177+W256*W177+X256*X177+Y256*Y177+Z256*Z177+AA256*AA177+AB256*AB177+AC256*AC177+AD256*AD177+AE256*AE177+AF256*AF177+AG256*AG177+AH256*AH177+AI256*AI177+AJ256*AJ177+AK256*AK177+AL256*AL177+AM256*AM177+AN256*AN177+AO256*AO177+AP256*AP177+AQ256*AQ177+AR256*AR177+AS256*AS177+AT256*AT177+AU256*AU177+AV256*AV177+AW256*AW177+AX256*AX177+AY256*AY177+AZ256*AZ177+BA256*BA177+BB256*BB177+BC256*BC177+BD256*BD177+BE256*BE177+BF256*BF177+BG256*BG177+BH256*BH177+BI256*BI177+BJ256*BJ177+BK256*BK177+BL256*BL177+BM256*BM177+BN256*BN177+BO256*BO177+BP256*BP177+BQ256*BQ177+BR256*BR177+BS256*BS177+BT256*BT177+BU256*BU177+BV256*BV177+BW256*BW177+BX256*BX177+BY256*BY177+BZ256*BZ177+CA256*CA177+CB256*CB177+CC256*CC177+CD256*CD177+CE256*CE177+CF256*CF177+CG256*CG177+CH256*CH177+CI256*CI177+CJ256*CJ177+CK256*CK177+CL256*CL177+CM256*CM177+CN256*CN177</f>
        <v>0</v>
      </c>
      <c r="CZ177" s="2652">
        <f>E257*E177+F257*F177+G257*G177+H257*H177+I257*I177+J257*J177+K257*K177+L257*L177+M257*M177+N257*N177+O257*O177+P257*P177+Q257*Q177+R257*R177+S257*S177+T257*T177+U257*U177+V257*V177+W257*W177+X257*X177+Y257*Y177+Z257*Z177+AA257*AA177+AB257*AB177+AC257*AC177+AD257*AD177+AE257*AE177+AF257*AF177+AG257*AG177+AH257*AH177+AI257*AI177+AJ257*AJ177+AK257*AK177+AL257*AL177+AM257*AM177+AN257*AN177+AO257*AO177+AP257*AP177+AQ257*AQ177+AR257*AR177+AS257*AS177+AT257*AT177+AU257*AU177+AV257*AV177+AW257*AW177+AX257*AX177+AY257*AY177+AZ257*AZ177+BA257*BA177+BB257*BB177+BC257*BC177+BD257*BD177+BE257*BE177+BF257*BF177+BG257*BG177+BH257*BH177+BI257*BI177+BJ257*BJ177+BK257*BK177+BL257*BL177+BM257*BM177+BN257*BN177+BO257*BO177+BP257*BP177+BQ257*BQ177+BR257*BR177+BS257*BS177+BT257*BT177+BU257*BU177+BV257*BV177+BW257*BW177+BX257*BX177+BY257*BY177+BZ257*BZ177+CA257*CA177+CB257*CB177+CC257*CC177+CD257*CD177+CE257*CE177+CF257*CF177+CG257*CG177+CH257*CH177+CI257*CI177+CJ257*CJ177+CK257*CK177+CL257*CL177+CM257*CM177+CN257*CN177</f>
        <v>0</v>
      </c>
      <c r="DA177" s="2652">
        <f>E258*E177+F258*F177+G258*G177+H258*H177+I258*I177+J258*J177+K258*K177+L258*L177+M258*M177+N258*N177+O258*O177+P258*P177+Q258*Q177+R258*R177+S258*S177+T258*T177+U258*U177+V258*V177+W258*W177+X258*X177+Y258*Y177+Z258*Z177+AA258*AA177+AB258*AB177+AC258*AC177+AD258*AD177+AE258*AE177+AF258*AF177+AG258*AG177+AH258*AH177+AI258*AI177+AJ258*AJ177+AK258*AK177+AL258*AL177+AM258*AM177+AN258*AN177+AO258*AO177+AP258*AP177+AQ258*AQ177+AR258*AR177+AS258*AS177+AT258*AT177+AU258*AU177+AV258*AV177+AW258*AW177+AX258*AX177+AY258*AY177+AZ258*AZ177+BA258*BA177+BB258*BB177+BC258*BC177+BD258*BD177+BE258*BE177+BF258*BF177+BG258*BG177+BH258*BH177+BI258*BI177+BJ258*BJ177+BK258*BK177+BL258*BL177+BM258*BM177+BN258*BN177+BO258*BO177+BP258*BP177+BQ258*BQ177+BR258*BR177+BS258*BS177+BT258*BT177+BU258*BU177+BV258*BV177+BW258*BW177+BX258*BX177+BY258*BY177+BZ258*BZ177+CA258*CA177+CB258*CB177+CC258*CC177+CD258*CD177+CE258*CE177+CF258*CF177+CG258*CG177+CH258*CH177+CI258*CI177+CJ258*CJ177+CK258*CK177+CL258*CL177+CM258*CM177+CN258*CN177</f>
        <v>0</v>
      </c>
    </row>
    <row r="178" spans="2:105" ht="18" x14ac:dyDescent="0.25">
      <c r="B178" s="1085">
        <v>45</v>
      </c>
      <c r="C178" s="1075" t="s">
        <v>4382</v>
      </c>
      <c r="D178" s="814" t="s">
        <v>2191</v>
      </c>
      <c r="E178" s="2684">
        <f>0</f>
        <v>0</v>
      </c>
      <c r="F178" s="2684">
        <f>0</f>
        <v>0</v>
      </c>
      <c r="G178" s="2684">
        <f>0</f>
        <v>0</v>
      </c>
      <c r="H178" s="2684">
        <f>0</f>
        <v>0</v>
      </c>
      <c r="I178" s="2684">
        <f>0</f>
        <v>0</v>
      </c>
      <c r="J178" s="2684">
        <f>0</f>
        <v>0</v>
      </c>
      <c r="K178" s="2684">
        <f>0</f>
        <v>0</v>
      </c>
      <c r="L178" s="2684">
        <f>0</f>
        <v>0</v>
      </c>
      <c r="M178" s="2684">
        <f>0</f>
        <v>0</v>
      </c>
      <c r="N178" s="2684">
        <f>0</f>
        <v>0</v>
      </c>
      <c r="O178" s="2684">
        <f>0</f>
        <v>0</v>
      </c>
      <c r="P178" s="2684">
        <f>0</f>
        <v>0</v>
      </c>
      <c r="Q178" s="2684">
        <f>0</f>
        <v>0</v>
      </c>
      <c r="R178" s="2684">
        <f>0</f>
        <v>0</v>
      </c>
      <c r="S178" s="2684">
        <f>0</f>
        <v>0</v>
      </c>
      <c r="T178" s="2684">
        <f>0</f>
        <v>0</v>
      </c>
      <c r="U178" s="2684">
        <f>0</f>
        <v>0</v>
      </c>
      <c r="V178" s="2684">
        <f>0</f>
        <v>0</v>
      </c>
      <c r="W178" s="2684">
        <f>0</f>
        <v>0</v>
      </c>
      <c r="X178" s="2684">
        <f>0</f>
        <v>0</v>
      </c>
      <c r="Y178" s="2684">
        <f>1</f>
        <v>1</v>
      </c>
      <c r="Z178" s="2684">
        <f>0</f>
        <v>0</v>
      </c>
      <c r="AA178" s="2684">
        <f>0</f>
        <v>0</v>
      </c>
      <c r="AB178" s="2684">
        <f>0</f>
        <v>0</v>
      </c>
      <c r="AC178" s="2745">
        <f>0</f>
        <v>0</v>
      </c>
      <c r="AD178" s="2684">
        <f>-i_N_BIO</f>
        <v>-7.0000000000000007E-2</v>
      </c>
      <c r="AE178" s="2684">
        <f>-1/Y_NOB</f>
        <v>-11.111111111111111</v>
      </c>
      <c r="AF178" s="2684">
        <f>1/Y_NOB</f>
        <v>11.111111111111111</v>
      </c>
      <c r="AG178" s="2684">
        <f>0</f>
        <v>0</v>
      </c>
      <c r="AH178" s="2684">
        <f>0</f>
        <v>0</v>
      </c>
      <c r="AI178" s="2684">
        <f>0</f>
        <v>0</v>
      </c>
      <c r="AJ178" s="2684">
        <f>0</f>
        <v>0</v>
      </c>
      <c r="AK178" s="2684">
        <f>0</f>
        <v>0</v>
      </c>
      <c r="AL178" s="2684">
        <f>-i_P_BIO</f>
        <v>-0.02</v>
      </c>
      <c r="AM178" s="2684">
        <f>0</f>
        <v>0</v>
      </c>
      <c r="AN178" s="2684">
        <f>0</f>
        <v>0</v>
      </c>
      <c r="AO178" s="2684">
        <f>0</f>
        <v>0</v>
      </c>
      <c r="AP178" s="2684">
        <f>0</f>
        <v>0</v>
      </c>
      <c r="AQ178" s="2684">
        <f>0</f>
        <v>0</v>
      </c>
      <c r="AR178" s="2684">
        <f>-(E_EQNO2_NO3-Y_NOB)/Y_NOB</f>
        <v>-11.691862545147043</v>
      </c>
      <c r="AS178" s="2684">
        <f>0</f>
        <v>0</v>
      </c>
      <c r="AT178" s="2684">
        <f>0</f>
        <v>0</v>
      </c>
      <c r="AU178" s="2684">
        <f>-i_CIT_BIO</f>
        <v>-0.35199999999999998</v>
      </c>
      <c r="AV178" s="2684">
        <f>i_INORG</f>
        <v>0.11</v>
      </c>
      <c r="AW178" s="2684">
        <f>-i_INORG*(1-i_Ca_INORG*(A_MCa+2*A_MCl)/A_MCa-i_Mg_INORG*(A_MMg+2*A_MCl)/A_MMg)*f_Na</f>
        <v>-2.8804303582798466E-2</v>
      </c>
      <c r="AX178" s="2684">
        <f>-i_INORG*(i_Ca_INORG*(2*A_MCl)/A_MCa+i_Mg_INORG*(2*A_MCl)/A_MMg)-i_INORG*(1-i_Ca_INORG*(A_MCa+2*A_MCl)/A_MCa-i_Mg_INORG*(A_MMg+2*A_MCl)/A_MMg)*(1-f_Na)</f>
        <v>-7.0195696417201539E-2</v>
      </c>
      <c r="AY178" s="2684">
        <f>-i_INORG*i_Ca_INORG</f>
        <v>-5.5000000000000005E-3</v>
      </c>
      <c r="AZ178" s="2684">
        <f>-i_INORG*i_Mg_INORG</f>
        <v>-5.5000000000000005E-3</v>
      </c>
      <c r="BA178" s="2684">
        <f>0</f>
        <v>0</v>
      </c>
      <c r="BB178" s="2684">
        <f>0</f>
        <v>0</v>
      </c>
      <c r="BC178" s="2684">
        <f>0</f>
        <v>0</v>
      </c>
      <c r="BD178" s="2684">
        <f>0</f>
        <v>0</v>
      </c>
      <c r="BE178" s="2684">
        <f>0</f>
        <v>0</v>
      </c>
      <c r="BF178" s="2684">
        <f>0</f>
        <v>0</v>
      </c>
      <c r="BG178" s="2684">
        <f>0</f>
        <v>0</v>
      </c>
      <c r="BH178" s="2684">
        <f>0</f>
        <v>0</v>
      </c>
      <c r="BI178" s="2684">
        <f>0</f>
        <v>0</v>
      </c>
      <c r="BJ178" s="2769">
        <f>0</f>
        <v>0</v>
      </c>
      <c r="BK178" s="2769">
        <f>0</f>
        <v>0</v>
      </c>
      <c r="BL178" s="2769">
        <f>0</f>
        <v>0</v>
      </c>
      <c r="BM178" s="2769">
        <f>0</f>
        <v>0</v>
      </c>
      <c r="BN178" s="2769">
        <f>0</f>
        <v>0</v>
      </c>
      <c r="BO178" s="2769">
        <f>0</f>
        <v>0</v>
      </c>
      <c r="BP178" s="2769">
        <f>0</f>
        <v>0</v>
      </c>
      <c r="BQ178" s="2684">
        <f>0</f>
        <v>0</v>
      </c>
      <c r="BR178" s="2684">
        <f>0</f>
        <v>0</v>
      </c>
      <c r="BS178" s="2769">
        <f>0</f>
        <v>0</v>
      </c>
      <c r="BT178" s="2684">
        <f>0</f>
        <v>0</v>
      </c>
      <c r="BU178" s="2684">
        <f>0</f>
        <v>0</v>
      </c>
      <c r="BV178" s="2745">
        <f>0</f>
        <v>0</v>
      </c>
      <c r="BW178" s="2745">
        <f>0</f>
        <v>0</v>
      </c>
      <c r="BX178" s="2745">
        <f>0</f>
        <v>0</v>
      </c>
      <c r="BY178" s="2745">
        <f>0</f>
        <v>0</v>
      </c>
      <c r="BZ178" s="2684">
        <f>0</f>
        <v>0</v>
      </c>
      <c r="CA178" s="2684">
        <f>0</f>
        <v>0</v>
      </c>
      <c r="CB178" s="2800">
        <f>0</f>
        <v>0</v>
      </c>
      <c r="CC178" s="2684">
        <f>0</f>
        <v>0</v>
      </c>
      <c r="CD178" s="2684">
        <f>0</f>
        <v>0</v>
      </c>
      <c r="CE178" s="2684">
        <f>0</f>
        <v>0</v>
      </c>
      <c r="CF178" s="2684">
        <f>0</f>
        <v>0</v>
      </c>
      <c r="CG178" s="2684">
        <f>0</f>
        <v>0</v>
      </c>
      <c r="CH178" s="2684">
        <f>0</f>
        <v>0</v>
      </c>
      <c r="CI178" s="2684">
        <f>0</f>
        <v>0</v>
      </c>
      <c r="CJ178" s="2684">
        <f>0</f>
        <v>0</v>
      </c>
      <c r="CK178" s="2684">
        <f>0</f>
        <v>0</v>
      </c>
      <c r="CL178" s="2684">
        <f>0</f>
        <v>0</v>
      </c>
      <c r="CM178" s="2684">
        <f>0</f>
        <v>0</v>
      </c>
      <c r="CN178" s="2684">
        <f>0</f>
        <v>0</v>
      </c>
      <c r="CO178" s="2822">
        <f>µ_NOB_T*X_NOB*M_satSNO2_KNO2_NOB*L_ogsatpHCO2_NOB*M_satSO2_KO2_NOB*M_satSNHx_KNHx_BIO*M_satSPO4_KPO4_BIO*M_satSCAT_KCAT*M_satSAN_KAN*M_satSCa_KCa*M_satSMg_KMg*M_inhpHNH3_NOB*B_ellinhpH_NOB</f>
        <v>5.0446311185016057</v>
      </c>
      <c r="CQ178" s="2650">
        <f>E248*E178+F248*F178+G248*G178+H248*H178+I248*I178+J248*J178+K248*K178+L248*L178+M248*M178+N248*N178+O248*O178+P248*P178+Q248*Q178+R248*R178+S248*S178+T248*T178+U248*U178+V248*V178+W248*W178+X248*X178+Y248*Y178+Z248*Z178+AA248*AA178+AB248*AB178+AC248*AC178+AD248*AD178+AE248*AE178+AF248*AF178+AG248*AG178+AH248*AH178+AI248*AI178+AJ248*AJ178+AK248*AK178+AL248*AL178+AM248*AM178+AN248*AN178+AO248*AO178+AP248*AP178+AQ248*AQ178+AR248*AR178+AS248*AS178+AT248*AT178+AU248*AU178+AV248*AV178+AW248*AW178+AX248*AX178+AY248*AY178+AZ248*AZ178+BA248*BA178+BB248*BB178+BC248*BC178+BD248*BD178+BE248*BE178+BF248*BF178+BG248*BG178+BH248*BH178+BI248*BI178+BJ248*BJ178+BK248*BK178+BL248*BL178+BM248*BM178+BN248*BN178+BO248*BO178+BP248*BP178+BQ248*BQ178+BR248*BR178+BS248*BS178+BT248*BT178+BU248*BU178+BV248*BV178+BW248*BW178+BX248*BX178+BY248*BY178+BZ248*BZ178+CA248*CA178+CB248*CB178+CC248*CC178+CD248*CD178+CE248*CE178+CF248*CF178+CG248*CG178+CH248*CH178+CI248*CI178+CJ248*CJ178+CK248*CK178+CL248*CL178+CM248*CM178+CN248*CN178</f>
        <v>-3.5527136788005009E-15</v>
      </c>
      <c r="CR178" s="2650">
        <f>E249*E178+F249*F178+G249*G178+H249*H178+I249*I178+J249*J178+K249*K178+L249*L178+M249*M178+N249*N178+O249*O178+P249*P178+Q249*Q178+R249*R178+S249*S178+T249*T178+U249*U178+V249*V178+W249*W178+X249*X178+Y249*Y178+Z249*Z178+AA249*AA178+AB249*AB178+AC249*AC178+AD249*AD178+AE249*AE178+AF249*AF178+AG249*AG178+AH249*AH178+AI249*AI178+AJ249*AJ178+AK249*AK178+AL249*AL178+AM249*AM178+AN249*AN178+AO249*AO178+AP249*AP178+AQ249*AQ178+AR249*AR178+AS249*AS178+AT249*AT178+AU249*AU178+AV249*AV178+AW249*AW178+AX249*AX178+AY249*AY178+AZ249*AZ178+BA249*BA178+BB249*BB178+BC249*BC178+BD249*BD178+BE249*BE178+BF249*BF178+BG249*BG178+BH249*BH178+BI249*BI178+BJ249*BJ178+BK249*BK178+BL249*BL178+BM249*BM178+BN249*BN178+BO249*BO178+BP249*BP178+BQ249*BQ178+BR249*BR178+BS249*BS178+BT249*BT178+BU249*BU178+BV249*BV178+BW249*BW178+BX249*BX178+BY249*BY178+BZ249*BZ178+CA249*CA178+CB249*CB178+CC249*CC178+CD249*CD178+CE249*CE178+CF249*CF178+CG249*CG178+CH249*CH178+CI249*CI178+CJ249*CJ178+CK249*CK178+CL249*CL178+CM249*CM178+CN249*CN178</f>
        <v>0</v>
      </c>
      <c r="CS178" s="2651">
        <f>E250*E178+F250*F178+G250*G178+H250*H178+I250*I178+J250*J178+K250*K178+L250*L178+M250*M178+N250*N178+O250*O178+P250*P178+Q250*Q178+R250*R178+S250*S178+T250*T178+U250*U178+V250*V178+W250*W178+X250*X178+Y250*Y178+Z250*Z178+AA250*AA178+AB250*AB178+AC250*AC178+AD250*AD178+AE250*AE178+AF250*AF178+AG250*AG178+AH250*AH178+AI250*AI178+AJ250*AJ178+AK250*AK178+AL250*AL178+AM250*AM178+AN250*AN178+AO250*AO178+AP250*AP178+AQ250*AQ178+AR250*AR178+AS250*AS178+AT250*AT178+AU250*AU178+AV250*AV178+AW250*AW178+AX250*AX178+AY250*AY178+AZ250*AZ178+BA250*BA178+BB250*BB178+BC250*BC178+BD250*BD178+BE250*BE178+BF250*BF178+BG250*BG178+BH250*BH178+BI250*BI178+BJ250*BJ178+BK250*BK178+BL250*BL178+BM250*BM178+BN250*BN178+BO250*BO178+BP250*BP178+BQ250*BQ178+BR250*BR178+BS250*BS178+BT250*BT178+BU250*BU178+BV250*BV178+BW250*BW178+BX250*BX178+BY250*BY178+BZ250*BZ178+CA250*CA178+CB250*CB178+CC250*CC178+CD250*CD178+CE250*CE178+CF250*CF178+CG250*CG178+CH250*CH178+CI250*CI178+CJ250*CJ178+CK250*CK178+CL250*CL178+CM250*CM178+CN250*CN178</f>
        <v>0</v>
      </c>
      <c r="CT178" s="2652">
        <f>E251*E178+F251*F178+G251*G178+H251*H178+I251*I178+J251*J178+K251*K178+L251*L178+M251*M178+N251*N178+O251*O178+P251*P178+Q251*Q178+R251*R178+S251*S178+T251*T178+U251*U178+V251*V178+W251*W178+X251*X178+Y251*Y178+Z251*Z178+AA251*AA178+AB251*AB178+AC251*AC178+AD251*AD178+AE251*AE178+AF251*AF178+AG251*AG178+AH251*AH178+AI251*AI178+AJ251*AJ178+AK251*AK178+AL251*AL178+AM251*AM178+AN251*AN178+AO251*AO178+AP251*AP178+AQ251*AQ178+AR251*AR178+AS251*AS178+AT251*AT178+AU251*AU178+AV251*AV178+AW251*AW178+AX251*AX178+AY251*AY178+AZ251*AZ178+BA251*BA178+BB251*BB178+BC251*BC178+BD251*BD178+BE251*BE178+BF251*BF178+BG251*BG178+BH251*BH178+BI251*BI178+BJ251*BJ178+BK251*BK178+BL251*BL178+BM251*BM178+BN251*BN178+BO251*BO178+BP251*BP178+BQ251*BQ178+BR251*BR178+BS251*BS178+BT251*BT178+BU251*BU178+BV251*BV178+BW251*BW178+BX251*BX178+BY251*BY178+BZ251*BZ178+CA251*CA178+CB251*CB178+CC251*CC178+CD251*CD178+CE251*CE178+CF251*CF178+CG251*CG178+CH251*CH178+CI251*CI178+CJ251*CJ178+CK251*CK178+CL251*CL178+CM251*CM178+CN251*CN178</f>
        <v>0</v>
      </c>
      <c r="CU178" s="2652">
        <f>E252*E178+F252*F178+G252*G178+H252*H178+I252*I178+J252*J178+K252*K178+L252*L178+M252*M178+N252*N178+O252*O178+P252*P178+Q252*Q178+R252*R178+S252*S178+T252*T178+U252*U178+V252*V178+W252*W178+X252*X178+Y252*Y178+Z252*Z178+AA252*AA178+AB252*AB178+AC252*AC178+AD252*AD178+AE252*AE178+AF252*AF178+AG252*AG178+AH252*AH178+AI252*AI178+AJ252*AJ178+AK252*AK178+AL252*AL178+AM252*AM178+AN252*AN178+AO252*AO178+AP252*AP178+AQ252*AQ178+AR252*AR178+AS252*AS178+AT252*AT178+AU252*AU178+AV252*AV178+AW252*AW178+AX252*AX178+AY252*AY178+AZ252*AZ178+BA252*BA178+BB252*BB178+BC252*BC178+BD252*BD178+BE252*BE178+BF252*BF178+BG252*BG178+BH252*BH178+BI252*BI178+BJ252*BJ178+BK252*BK178+BL252*BL178+BM252*BM178+BN252*BN178+BO252*BO178+BP252*BP178+BQ252*BQ178+BR252*BR178+BS252*BS178+BT252*BT178+BU252*BU178+BV252*BV178+BW252*BW178+BX252*BX178+BY252*BY178+BZ252*BZ178+CA252*CA178+CB252*CB178+CC252*CC178+CD252*CD178+CE252*CE178+CF252*CF178+CG252*CG178+CH252*CH178+CI252*CI178+CJ252*CJ178+CK252*CK178+CL252*CL178+CM252*CM178+CN252*CN178</f>
        <v>0</v>
      </c>
      <c r="CV178" s="2652">
        <f>E253*E178+F253*F178+G253*G178+H253*H178+I253*I178+J253*J178+K253*K178+L253*L178+M253*M178+N253*N178+O253*O178+P253*P178+Q253*Q178+R253*R178+S253*S178+T253*T178+U253*U178+V253*V178+W253*W178+X253*X178+Y253*Y178+Z253*Z178+AA253*AA178+AB253*AB178+AC253*AC178+AD253*AD178+AE253*AE178+AF253*AF178+AG253*AG178+AH253*AH178+AI253*AI178+AJ253*AJ178+AK253*AK178+AL253*AL178+AM253*AM178+AN253*AN178+AO253*AO178+AP253*AP178+AQ253*AQ178+AR253*AR178+AS253*AS178+AT253*AT178+AU253*AU178+AV253*AV178+AW253*AW178+AX253*AX178+AY253*AY178+AZ253*AZ178+BA253*BA178+BB253*BB178+BC253*BC178+BD253*BD178+BE253*BE178+BF253*BF178+BG253*BG178+BH253*BH178+BI253*BI178+BJ253*BJ178+BK253*BK178+BL253*BL178+BM253*BM178+BN253*BN178+BO253*BO178+BP253*BP178+BQ253*BQ178+BR253*BR178+BS253*BS178+BT253*BT178+BU253*BU178+BV253*BV178+BW253*BW178+BX253*BX178+BY253*BY178+BZ253*BZ178+CA253*CA178+CB253*CB178+CC253*CC178+CD253*CD178+CE253*CE178+CF253*CF178+CG253*CG178+CH253*CH178+CI253*CI178+CJ253*CJ178+CK253*CK178+CL253*CL178+CM253*CM178+CN253*CN178</f>
        <v>0</v>
      </c>
      <c r="CW178" s="2652">
        <f>E254*E178+F254*F178+G254*G178+H254*H178+I254*I178+J254*J178+K254*K178+L254*L178+M254*M178+N254*N178+O254*O178+P254*P178+Q254*Q178+R254*R178+S254*S178+T254*T178+U254*U178+V254*V178+W254*W178+X254*X178+Y254*Y178+Z254*Z178+AA254*AA178+AB254*AB178+AC254*AC178+AD254*AD178+AE254*AE178+AF254*AF178+AG254*AG178+AH254*AH178+AI254*AI178+AJ254*AJ178+AK254*AK178+AL254*AL178+AM254*AM178+AN254*AN178+AO254*AO178+AP254*AP178+AQ254*AQ178+AR254*AR178+AS254*AS178+AT254*AT178+AU254*AU178+AV254*AV178+AW254*AW178+AX254*AX178+AY254*AY178+AZ254*AZ178+BA254*BA178+BB254*BB178+BC254*BC178+BD254*BD178+BE254*BE178+BF254*BF178+BG254*BG178+BH254*BH178+BI254*BI178+BJ254*BJ178+BK254*BK178+BL254*BL178+BM254*BM178+BN254*BN178+BO254*BO178+BP254*BP178+BQ254*BQ178+BR254*BR178+BS254*BS178+BT254*BT178+BU254*BU178+BV254*BV178+BW254*BW178+BX254*BX178+BY254*BY178+BZ254*BZ178+CA254*CA178+CB254*CB178+CC254*CC178+CD254*CD178+CE254*CE178+CF254*CF178+CG254*CG178+CH254*CH178+CI254*CI178+CJ254*CJ178+CK254*CK178+CL254*CL178+CM254*CM178+CN254*CN178</f>
        <v>0</v>
      </c>
      <c r="CX178" s="2652">
        <f>E255*E178+F255*F178+G255*G178+H255*H178+I255*I178+J255*J178+K255*K178+L255*L178+M255*M178+N255*N178+O255*O178+P255*P178+Q255*Q178+R255*R178+S255*S178+T255*T178+U255*U178+V255*V178+W255*W178+X255*X178+Y255*Y178+Z255*Z178+AA255*AA178+AB255*AB178+AC255*AC178+AD255*AD178+AE255*AE178+AF255*AF178+AG255*AG178+AH255*AH178+AI255*AI178+AJ255*AJ178+AK255*AK178+AL255*AL178+AM255*AM178+AN255*AN178+AO255*AO178+AP255*AP178+AQ255*AQ178+AR255*AR178+AS255*AS178+AT255*AT178+AU255*AU178+AV255*AV178+AW255*AW178+AX255*AX178+AY255*AY178+AZ255*AZ178+BA255*BA178+BB255*BB178+BC255*BC178+BD255*BD178+BE255*BE178+BF255*BF178+BG255*BG178+BH255*BH178+BI255*BI178+BJ255*BJ178+BK255*BK178+BL255*BL178+BM255*BM178+BN255*BN178+BO255*BO178+BP255*BP178+BQ255*BQ178+BR255*BR178+BS255*BS178+BT255*BT178+BU255*BU178+BV255*BV178+BW255*BW178+BX255*BX178+BY255*BY178+BZ255*BZ178+CA255*CA178+CB255*CB178+CC255*CC178+CD255*CD178+CE255*CE178+CF255*CF178+CG255*CG178+CH255*CH178+CI255*CI178+CJ255*CJ178+CK255*CK178+CL255*CL178+CM255*CM178+CN255*CN178</f>
        <v>0</v>
      </c>
      <c r="CY178" s="2652">
        <f>E256*E178+F256*F178+G256*G178+H256*H178+I256*I178+J256*J178+K256*K178+L256*L178+M256*M178+N256*N178+O256*O178+P256*P178+Q256*Q178+R256*R178+S256*S178+T256*T178+U256*U178+V256*V178+W256*W178+X256*X178+Y256*Y178+Z256*Z178+AA256*AA178+AB256*AB178+AC256*AC178+AD256*AD178+AE256*AE178+AF256*AF178+AG256*AG178+AH256*AH178+AI256*AI178+AJ256*AJ178+AK256*AK178+AL256*AL178+AM256*AM178+AN256*AN178+AO256*AO178+AP256*AP178+AQ256*AQ178+AR256*AR178+AS256*AS178+AT256*AT178+AU256*AU178+AV256*AV178+AW256*AW178+AX256*AX178+AY256*AY178+AZ256*AZ178+BA256*BA178+BB256*BB178+BC256*BC178+BD256*BD178+BE256*BE178+BF256*BF178+BG256*BG178+BH256*BH178+BI256*BI178+BJ256*BJ178+BK256*BK178+BL256*BL178+BM256*BM178+BN256*BN178+BO256*BO178+BP256*BP178+BQ256*BQ178+BR256*BR178+BS256*BS178+BT256*BT178+BU256*BU178+BV256*BV178+BW256*BW178+BX256*BX178+BY256*BY178+BZ256*BZ178+CA256*CA178+CB256*CB178+CC256*CC178+CD256*CD178+CE256*CE178+CF256*CF178+CG256*CG178+CH256*CH178+CI256*CI178+CJ256*CJ178+CK256*CK178+CL256*CL178+CM256*CM178+CN256*CN178</f>
        <v>0</v>
      </c>
      <c r="CZ178" s="2652">
        <f>E257*E178+F257*F178+G257*G178+H257*H178+I257*I178+J257*J178+K257*K178+L257*L178+M257*M178+N257*N178+O257*O178+P257*P178+Q257*Q178+R257*R178+S257*S178+T257*T178+U257*U178+V257*V178+W257*W178+X257*X178+Y257*Y178+Z257*Z178+AA257*AA178+AB257*AB178+AC257*AC178+AD257*AD178+AE257*AE178+AF257*AF178+AG257*AG178+AH257*AH178+AI257*AI178+AJ257*AJ178+AK257*AK178+AL257*AL178+AM257*AM178+AN257*AN178+AO257*AO178+AP257*AP178+AQ257*AQ178+AR257*AR178+AS257*AS178+AT257*AT178+AU257*AU178+AV257*AV178+AW257*AW178+AX257*AX178+AY257*AY178+AZ257*AZ178+BA257*BA178+BB257*BB178+BC257*BC178+BD257*BD178+BE257*BE178+BF257*BF178+BG257*BG178+BH257*BH178+BI257*BI178+BJ257*BJ178+BK257*BK178+BL257*BL178+BM257*BM178+BN257*BN178+BO257*BO178+BP257*BP178+BQ257*BQ178+BR257*BR178+BS257*BS178+BT257*BT178+BU257*BU178+BV257*BV178+BW257*BW178+BX257*BX178+BY257*BY178+BZ257*BZ178+CA257*CA178+CB257*CB178+CC257*CC178+CD257*CD178+CE257*CE178+CF257*CF178+CG257*CG178+CH257*CH178+CI257*CI178+CJ257*CJ178+CK257*CK178+CL257*CL178+CM257*CM178+CN257*CN178</f>
        <v>0</v>
      </c>
      <c r="DA178" s="2652">
        <f>E258*E178+F258*F178+G258*G178+H258*H178+I258*I178+J258*J178+K258*K178+L258*L178+M258*M178+N258*N178+O258*O178+P258*P178+Q258*Q178+R258*R178+S258*S178+T258*T178+U258*U178+V258*V178+W258*W178+X258*X178+Y258*Y178+Z258*Z178+AA258*AA178+AB258*AB178+AC258*AC178+AD258*AD178+AE258*AE178+AF258*AF178+AG258*AG178+AH258*AH178+AI258*AI178+AJ258*AJ178+AK258*AK178+AL258*AL178+AM258*AM178+AN258*AN178+AO258*AO178+AP258*AP178+AQ258*AQ178+AR258*AR178+AS258*AS178+AT258*AT178+AU258*AU178+AV258*AV178+AW258*AW178+AX258*AX178+AY258*AY178+AZ258*AZ178+BA258*BA178+BB258*BB178+BC258*BC178+BD258*BD178+BE258*BE178+BF258*BF178+BG258*BG178+BH258*BH178+BI258*BI178+BJ258*BJ178+BK258*BK178+BL258*BL178+BM258*BM178+BN258*BN178+BO258*BO178+BP258*BP178+BQ258*BQ178+BR258*BR178+BS258*BS178+BT258*BT178+BU258*BU178+BV258*BV178+BW258*BW178+BX258*BX178+BY258*BY178+BZ258*BZ178+CA258*CA178+CB258*CB178+CC258*CC178+CD258*CD178+CE258*CE178+CF258*CF178+CG258*CG178+CH258*CH178+CI258*CI178+CJ258*CJ178+CK258*CK178+CL258*CL178+CM258*CM178+CN258*CN178</f>
        <v>0</v>
      </c>
    </row>
    <row r="179" spans="2:105" ht="18" x14ac:dyDescent="0.25">
      <c r="B179" s="1085">
        <v>46</v>
      </c>
      <c r="C179" s="1075" t="s">
        <v>444</v>
      </c>
      <c r="D179" s="814" t="s">
        <v>2192</v>
      </c>
      <c r="E179" s="2684">
        <f>0</f>
        <v>0</v>
      </c>
      <c r="F179" s="2684">
        <f>0</f>
        <v>0</v>
      </c>
      <c r="G179" s="2684">
        <f>0</f>
        <v>0</v>
      </c>
      <c r="H179" s="2684">
        <f>0</f>
        <v>0</v>
      </c>
      <c r="I179" s="2715">
        <f>f_C</f>
        <v>0.1</v>
      </c>
      <c r="J179" s="2684">
        <f>0</f>
        <v>0</v>
      </c>
      <c r="K179" s="2684">
        <f>(1-f_E)*(1-f_C)</f>
        <v>0.82800000000000007</v>
      </c>
      <c r="L179" s="2684">
        <f>0</f>
        <v>0</v>
      </c>
      <c r="M179" s="2684">
        <f>0</f>
        <v>0</v>
      </c>
      <c r="N179" s="2684">
        <f>0</f>
        <v>0</v>
      </c>
      <c r="O179" s="2684">
        <f>0</f>
        <v>0</v>
      </c>
      <c r="P179" s="2684">
        <f>0</f>
        <v>0</v>
      </c>
      <c r="Q179" s="2684">
        <f>0</f>
        <v>0</v>
      </c>
      <c r="R179" s="2684">
        <f>f_E*(1-f_C)</f>
        <v>7.2000000000000008E-2</v>
      </c>
      <c r="S179" s="2684">
        <f>0</f>
        <v>0</v>
      </c>
      <c r="T179" s="2684">
        <f>0</f>
        <v>0</v>
      </c>
      <c r="U179" s="2684">
        <f>0</f>
        <v>0</v>
      </c>
      <c r="V179" s="2684">
        <f>0</f>
        <v>0</v>
      </c>
      <c r="W179" s="2684">
        <f>0</f>
        <v>0</v>
      </c>
      <c r="X179" s="2684">
        <f>0</f>
        <v>0</v>
      </c>
      <c r="Y179" s="2684">
        <f>-1</f>
        <v>-1</v>
      </c>
      <c r="Z179" s="2684">
        <f>0</f>
        <v>0</v>
      </c>
      <c r="AA179" s="2684">
        <f>0</f>
        <v>0</v>
      </c>
      <c r="AB179" s="2684">
        <f>0</f>
        <v>0</v>
      </c>
      <c r="AC179" s="2745">
        <f>0</f>
        <v>0</v>
      </c>
      <c r="AD179" s="2684">
        <f>i_N_BIO-f_E*(1-f_C)*i_N_XE-f_C*i_N_CB-(1-f_E)*(1-f_C)*i_N_BIO</f>
        <v>6.7199999999999899E-3</v>
      </c>
      <c r="AE179" s="2684">
        <f>0</f>
        <v>0</v>
      </c>
      <c r="AF179" s="2684">
        <f>0</f>
        <v>0</v>
      </c>
      <c r="AG179" s="2684">
        <f>0</f>
        <v>0</v>
      </c>
      <c r="AH179" s="2684">
        <f>0</f>
        <v>0</v>
      </c>
      <c r="AI179" s="2684">
        <f>0</f>
        <v>0</v>
      </c>
      <c r="AJ179" s="2684">
        <f>(1-f_E)*(1-f_C)*i_N_BIO</f>
        <v>5.7960000000000012E-2</v>
      </c>
      <c r="AK179" s="2684">
        <f>0</f>
        <v>0</v>
      </c>
      <c r="AL179" s="2684">
        <f>i_P_BIO-f_E*(1-f_C)*i_P_BIO-f_C*i_P_CB-(1-f_E)*(1-f_C)*i_P_BIO</f>
        <v>1.7999999999999995E-3</v>
      </c>
      <c r="AM179" s="2684">
        <f>0</f>
        <v>0</v>
      </c>
      <c r="AN179" s="2684">
        <f>0</f>
        <v>0</v>
      </c>
      <c r="AO179" s="2684">
        <f>0</f>
        <v>0</v>
      </c>
      <c r="AP179" s="2684">
        <f>(1-f_E)*(1-f_C)*i_P_BIO</f>
        <v>1.6560000000000002E-2</v>
      </c>
      <c r="AQ179" s="2684">
        <f>0</f>
        <v>0</v>
      </c>
      <c r="AR179" s="2684">
        <f>0</f>
        <v>0</v>
      </c>
      <c r="AS179" s="2684">
        <f>0</f>
        <v>0</v>
      </c>
      <c r="AT179" s="2684">
        <f>0</f>
        <v>0</v>
      </c>
      <c r="AU179" s="2684">
        <f>i_CIT_BIO-f_E*(1-f_C)*i_CIT_BIO-(1-f_E)*(1-f_C)*i_CIT_XBe-(1-f_E)*f_C*i_CIT_XBe-f_E*f_C*i_CIT_XBe</f>
        <v>6.1248000000000011E-2</v>
      </c>
      <c r="AV179" s="2684">
        <f>0</f>
        <v>0</v>
      </c>
      <c r="AW179" s="2684">
        <f>0</f>
        <v>0</v>
      </c>
      <c r="AX179" s="2684">
        <f>0</f>
        <v>0</v>
      </c>
      <c r="AY179" s="2684">
        <f>0</f>
        <v>0</v>
      </c>
      <c r="AZ179" s="2684">
        <f>0</f>
        <v>0</v>
      </c>
      <c r="BA179" s="2684">
        <f>0</f>
        <v>0</v>
      </c>
      <c r="BB179" s="2684">
        <f>0</f>
        <v>0</v>
      </c>
      <c r="BC179" s="2684">
        <f>0</f>
        <v>0</v>
      </c>
      <c r="BD179" s="2684">
        <f>0</f>
        <v>0</v>
      </c>
      <c r="BE179" s="2684">
        <f>0</f>
        <v>0</v>
      </c>
      <c r="BF179" s="2684">
        <f>0</f>
        <v>0</v>
      </c>
      <c r="BG179" s="2684">
        <f>0</f>
        <v>0</v>
      </c>
      <c r="BH179" s="2684">
        <f>0</f>
        <v>0</v>
      </c>
      <c r="BI179" s="2684">
        <f>0</f>
        <v>0</v>
      </c>
      <c r="BJ179" s="2769">
        <f>0</f>
        <v>0</v>
      </c>
      <c r="BK179" s="2769">
        <f>0</f>
        <v>0</v>
      </c>
      <c r="BL179" s="2769">
        <f>0</f>
        <v>0</v>
      </c>
      <c r="BM179" s="2769">
        <f>0</f>
        <v>0</v>
      </c>
      <c r="BN179" s="2769">
        <f>0</f>
        <v>0</v>
      </c>
      <c r="BO179" s="2769">
        <f>0</f>
        <v>0</v>
      </c>
      <c r="BP179" s="2769">
        <f>0</f>
        <v>0</v>
      </c>
      <c r="BQ179" s="2684">
        <f>0</f>
        <v>0</v>
      </c>
      <c r="BR179" s="2684">
        <f>0</f>
        <v>0</v>
      </c>
      <c r="BS179" s="2769">
        <f>0</f>
        <v>0</v>
      </c>
      <c r="BT179" s="2684">
        <f>0</f>
        <v>0</v>
      </c>
      <c r="BU179" s="2684">
        <f>0</f>
        <v>0</v>
      </c>
      <c r="BV179" s="2745">
        <f>0</f>
        <v>0</v>
      </c>
      <c r="BW179" s="2745">
        <f>0</f>
        <v>0</v>
      </c>
      <c r="BX179" s="2745">
        <f>0</f>
        <v>0</v>
      </c>
      <c r="BY179" s="2745">
        <f>0</f>
        <v>0</v>
      </c>
      <c r="BZ179" s="2684">
        <f>0</f>
        <v>0</v>
      </c>
      <c r="CA179" s="2684">
        <f>0</f>
        <v>0</v>
      </c>
      <c r="CB179" s="2800">
        <f>0</f>
        <v>0</v>
      </c>
      <c r="CC179" s="2684">
        <f>0</f>
        <v>0</v>
      </c>
      <c r="CD179" s="2684">
        <f>0</f>
        <v>0</v>
      </c>
      <c r="CE179" s="2684">
        <f>0</f>
        <v>0</v>
      </c>
      <c r="CF179" s="2684">
        <f>0</f>
        <v>0</v>
      </c>
      <c r="CG179" s="2684">
        <f>0</f>
        <v>0</v>
      </c>
      <c r="CH179" s="2684">
        <f>0</f>
        <v>0</v>
      </c>
      <c r="CI179" s="2684">
        <f>0</f>
        <v>0</v>
      </c>
      <c r="CJ179" s="2684">
        <f>0</f>
        <v>0</v>
      </c>
      <c r="CK179" s="2684">
        <f>0</f>
        <v>0</v>
      </c>
      <c r="CL179" s="2684">
        <f>0</f>
        <v>0</v>
      </c>
      <c r="CM179" s="2684">
        <f>0</f>
        <v>0</v>
      </c>
      <c r="CN179" s="2684">
        <f>0</f>
        <v>0</v>
      </c>
      <c r="CO179" s="2822">
        <f>b_NOB_T*X_NOB*(M_satSO2_KO2_NOB+η_b_anox*M_satSNOx_KNOx_NOB*M_inhSO2_KO2_NOB)</f>
        <v>2.6982456140350877</v>
      </c>
      <c r="CQ179" s="2650">
        <f>E248*E179+F248*F179+G248*G179+H248*H179+I248*I179+J248*J179+K248*K179+L248*L179+M248*M179+N248*N179+O248*O179+P248*P179+Q248*Q179+R248*R179+S248*S179+T248*T179+U248*U179+V248*V179+W248*W179+X248*X179+Y248*Y179+Z248*Z179+AA248*AA179+AB248*AB179+AC248*AC179+AD248*AD179+AE248*AE179+AF248*AF179+AG248*AG179+AH248*AH179+AI248*AI179+AJ248*AJ179+AK248*AK179+AL248*AL179+AM248*AM179+AN248*AN179+AO248*AO179+AP248*AP179+AQ248*AQ179+AR248*AR179+AS248*AS179+AT248*AT179+AU248*AU179+AV248*AV179+AW248*AW179+AX248*AX179+AY248*AY179+AZ248*AZ179+BA248*BA179+BB248*BB179+BC248*BC179+BD248*BD179+BE248*BE179+BF248*BF179+BG248*BG179+BH248*BH179+BI248*BI179+BJ248*BJ179+BK248*BK179+BL248*BL179+BM248*BM179+BN248*BN179+BO248*BO179+BP248*BP179+BQ248*BQ179+BR248*BR179+BS248*BS179+BT248*BT179+BU248*BU179+BV248*BV179+BW248*BW179+BX248*BX179+BY248*BY179+BZ248*BZ179+CA248*CA179+CB248*CB179+CC248*CC179+CD248*CD179+CE248*CE179+CF248*CF179+CG248*CG179+CH248*CH179+CI248*CI179+CJ248*CJ179+CK248*CK179+CL248*CL179+CM248*CM179+CN248*CN179</f>
        <v>0</v>
      </c>
      <c r="CR179" s="2650">
        <f>E249*E179+F249*F179+G249*G179+H249*H179+I249*I179+J249*J179+K249*K179+L249*L179+M249*M179+N249*N179+O249*O179+P249*P179+Q249*Q179+R249*R179+S249*S179+T249*T179+U249*U179+V249*V179+W249*W179+X249*X179+Y249*Y179+Z249*Z179+AA249*AA179+AB249*AB179+AC249*AC179+AD249*AD179+AE249*AE179+AF249*AF179+AG249*AG179+AH249*AH179+AI249*AI179+AJ249*AJ179+AK249*AK179+AL249*AL179+AM249*AM179+AN249*AN179+AO249*AO179+AP249*AP179+AQ249*AQ179+AR249*AR179+AS249*AS179+AT249*AT179+AU249*AU179+AV249*AV179+AW249*AW179+AX249*AX179+AY249*AY179+AZ249*AZ179+BA249*BA179+BB249*BB179+BC249*BC179+BD249*BD179+BE249*BE179+BF249*BF179+BG249*BG179+BH249*BH179+BI249*BI179+BJ249*BJ179+BK249*BK179+BL249*BL179+BM249*BM179+BN249*BN179+BO249*BO179+BP249*BP179+BQ249*BQ179+BR249*BR179+BS249*BS179+BT249*BT179+BU249*BU179+BV249*BV179+BW249*BW179+BX249*BX179+BY249*BY179+BZ249*BZ179+CA249*CA179+CB249*CB179+CC249*CC179+CD249*CD179+CE249*CE179+CF249*CF179+CG249*CG179+CH249*CH179+CI249*CI179+CJ249*CJ179+CK249*CK179+CL249*CL179+CM249*CM179+CN249*CN179</f>
        <v>-1.3877787807814457E-17</v>
      </c>
      <c r="CS179" s="2651">
        <f>E250*E179+F250*F179+G250*G179+H250*H179+I250*I179+J250*J179+K250*K179+L250*L179+M250*M179+N250*N179+O250*O179+P250*P179+Q250*Q179+R250*R179+S250*S179+T250*T179+U250*U179+V250*V179+W250*W179+X250*X179+Y250*Y179+Z250*Z179+AA250*AA179+AB250*AB179+AC250*AC179+AD250*AD179+AE250*AE179+AF250*AF179+AG250*AG179+AH250*AH179+AI250*AI179+AJ250*AJ179+AK250*AK179+AL250*AL179+AM250*AM179+AN250*AN179+AO250*AO179+AP250*AP179+AQ250*AQ179+AR250*AR179+AS250*AS179+AT250*AT179+AU250*AU179+AV250*AV179+AW250*AW179+AX250*AX179+AY250*AY179+AZ250*AZ179+BA250*BA179+BB250*BB179+BC250*BC179+BD250*BD179+BE250*BE179+BF250*BF179+BG250*BG179+BH250*BH179+BI250*BI179+BJ250*BJ179+BK250*BK179+BL250*BL179+BM250*BM179+BN250*BN179+BO250*BO179+BP250*BP179+BQ250*BQ179+BR250*BR179+BS250*BS179+BT250*BT179+BU250*BU179+BV250*BV179+BW250*BW179+BX250*BX179+BY250*BY179+BZ250*BZ179+CA250*CA179+CB250*CB179+CC250*CC179+CD250*CD179+CE250*CE179+CF250*CF179+CG250*CG179+CH250*CH179+CI250*CI179+CJ250*CJ179+CK250*CK179+CL250*CL179+CM250*CM179+CN250*CN179</f>
        <v>0</v>
      </c>
      <c r="CT179" s="2652">
        <f>E251*E179+F251*F179+G251*G179+H251*H179+I251*I179+J251*J179+K251*K179+L251*L179+M251*M179+N251*N179+O251*O179+P251*P179+Q251*Q179+R251*R179+S251*S179+T251*T179+U251*U179+V251*V179+W251*W179+X251*X179+Y251*Y179+Z251*Z179+AA251*AA179+AB251*AB179+AC251*AC179+AD251*AD179+AE251*AE179+AF251*AF179+AG251*AG179+AH251*AH179+AI251*AI179+AJ251*AJ179+AK251*AK179+AL251*AL179+AM251*AM179+AN251*AN179+AO251*AO179+AP251*AP179+AQ251*AQ179+AR251*AR179+AS251*AS179+AT251*AT179+AU251*AU179+AV251*AV179+AW251*AW179+AX251*AX179+AY251*AY179+AZ251*AZ179+BA251*BA179+BB251*BB179+BC251*BC179+BD251*BD179+BE251*BE179+BF251*BF179+BG251*BG179+BH251*BH179+BI251*BI179+BJ251*BJ179+BK251*BK179+BL251*BL179+BM251*BM179+BN251*BN179+BO251*BO179+BP251*BP179+BQ251*BQ179+BR251*BR179+BS251*BS179+BT251*BT179+BU251*BU179+BV251*BV179+BW251*BW179+BX251*BX179+BY251*BY179+BZ251*BZ179+CA251*CA179+CB251*CB179+CC251*CC179+CD251*CD179+CE251*CE179+CF251*CF179+CG251*CG179+CH251*CH179+CI251*CI179+CJ251*CJ179+CK251*CK179+CL251*CL179+CM251*CM179+CN251*CN179</f>
        <v>0</v>
      </c>
      <c r="CU179" s="2652">
        <f>E252*E179+F252*F179+G252*G179+H252*H179+I252*I179+J252*J179+K252*K179+L252*L179+M252*M179+N252*N179+O252*O179+P252*P179+Q252*Q179+R252*R179+S252*S179+T252*T179+U252*U179+V252*V179+W252*W179+X252*X179+Y252*Y179+Z252*Z179+AA252*AA179+AB252*AB179+AC252*AC179+AD252*AD179+AE252*AE179+AF252*AF179+AG252*AG179+AH252*AH179+AI252*AI179+AJ252*AJ179+AK252*AK179+AL252*AL179+AM252*AM179+AN252*AN179+AO252*AO179+AP252*AP179+AQ252*AQ179+AR252*AR179+AS252*AS179+AT252*AT179+AU252*AU179+AV252*AV179+AW252*AW179+AX252*AX179+AY252*AY179+AZ252*AZ179+BA252*BA179+BB252*BB179+BC252*BC179+BD252*BD179+BE252*BE179+BF252*BF179+BG252*BG179+BH252*BH179+BI252*BI179+BJ252*BJ179+BK252*BK179+BL252*BL179+BM252*BM179+BN252*BN179+BO252*BO179+BP252*BP179+BQ252*BQ179+BR252*BR179+BS252*BS179+BT252*BT179+BU252*BU179+BV252*BV179+BW252*BW179+BX252*BX179+BY252*BY179+BZ252*BZ179+CA252*CA179+CB252*CB179+CC252*CC179+CD252*CD179+CE252*CE179+CF252*CF179+CG252*CG179+CH252*CH179+CI252*CI179+CJ252*CJ179+CK252*CK179+CL252*CL179+CM252*CM179+CN252*CN179</f>
        <v>0</v>
      </c>
      <c r="CV179" s="2652">
        <f>E253*E179+F253*F179+G253*G179+H253*H179+I253*I179+J253*J179+K253*K179+L253*L179+M253*M179+N253*N179+O253*O179+P253*P179+Q253*Q179+R253*R179+S253*S179+T253*T179+U253*U179+V253*V179+W253*W179+X253*X179+Y253*Y179+Z253*Z179+AA253*AA179+AB253*AB179+AC253*AC179+AD253*AD179+AE253*AE179+AF253*AF179+AG253*AG179+AH253*AH179+AI253*AI179+AJ253*AJ179+AK253*AK179+AL253*AL179+AM253*AM179+AN253*AN179+AO253*AO179+AP253*AP179+AQ253*AQ179+AR253*AR179+AS253*AS179+AT253*AT179+AU253*AU179+AV253*AV179+AW253*AW179+AX253*AX179+AY253*AY179+AZ253*AZ179+BA253*BA179+BB253*BB179+BC253*BC179+BD253*BD179+BE253*BE179+BF253*BF179+BG253*BG179+BH253*BH179+BI253*BI179+BJ253*BJ179+BK253*BK179+BL253*BL179+BM253*BM179+BN253*BN179+BO253*BO179+BP253*BP179+BQ253*BQ179+BR253*BR179+BS253*BS179+BT253*BT179+BU253*BU179+BV253*BV179+BW253*BW179+BX253*BX179+BY253*BY179+BZ253*BZ179+CA253*CA179+CB253*CB179+CC253*CC179+CD253*CD179+CE253*CE179+CF253*CF179+CG253*CG179+CH253*CH179+CI253*CI179+CJ253*CJ179+CK253*CK179+CL253*CL179+CM253*CM179+CN253*CN179</f>
        <v>0</v>
      </c>
      <c r="CW179" s="2652">
        <f>E254*E179+F254*F179+G254*G179+H254*H179+I254*I179+J254*J179+K254*K179+L254*L179+M254*M179+N254*N179+O254*O179+P254*P179+Q254*Q179+R254*R179+S254*S179+T254*T179+U254*U179+V254*V179+W254*W179+X254*X179+Y254*Y179+Z254*Z179+AA254*AA179+AB254*AB179+AC254*AC179+AD254*AD179+AE254*AE179+AF254*AF179+AG254*AG179+AH254*AH179+AI254*AI179+AJ254*AJ179+AK254*AK179+AL254*AL179+AM254*AM179+AN254*AN179+AO254*AO179+AP254*AP179+AQ254*AQ179+AR254*AR179+AS254*AS179+AT254*AT179+AU254*AU179+AV254*AV179+AW254*AW179+AX254*AX179+AY254*AY179+AZ254*AZ179+BA254*BA179+BB254*BB179+BC254*BC179+BD254*BD179+BE254*BE179+BF254*BF179+BG254*BG179+BH254*BH179+BI254*BI179+BJ254*BJ179+BK254*BK179+BL254*BL179+BM254*BM179+BN254*BN179+BO254*BO179+BP254*BP179+BQ254*BQ179+BR254*BR179+BS254*BS179+BT254*BT179+BU254*BU179+BV254*BV179+BW254*BW179+BX254*BX179+BY254*BY179+BZ254*BZ179+CA254*CA179+CB254*CB179+CC254*CC179+CD254*CD179+CE254*CE179+CF254*CF179+CG254*CG179+CH254*CH179+CI254*CI179+CJ254*CJ179+CK254*CK179+CL254*CL179+CM254*CM179+CN254*CN179</f>
        <v>0</v>
      </c>
      <c r="CX179" s="2652">
        <f>E255*E179+F255*F179+G255*G179+H255*H179+I255*I179+J255*J179+K255*K179+L255*L179+M255*M179+N255*N179+O255*O179+P255*P179+Q255*Q179+R255*R179+S255*S179+T255*T179+U255*U179+V255*V179+W255*W179+X255*X179+Y255*Y179+Z255*Z179+AA255*AA179+AB255*AB179+AC255*AC179+AD255*AD179+AE255*AE179+AF255*AF179+AG255*AG179+AH255*AH179+AI255*AI179+AJ255*AJ179+AK255*AK179+AL255*AL179+AM255*AM179+AN255*AN179+AO255*AO179+AP255*AP179+AQ255*AQ179+AR255*AR179+AS255*AS179+AT255*AT179+AU255*AU179+AV255*AV179+AW255*AW179+AX255*AX179+AY255*AY179+AZ255*AZ179+BA255*BA179+BB255*BB179+BC255*BC179+BD255*BD179+BE255*BE179+BF255*BF179+BG255*BG179+BH255*BH179+BI255*BI179+BJ255*BJ179+BK255*BK179+BL255*BL179+BM255*BM179+BN255*BN179+BO255*BO179+BP255*BP179+BQ255*BQ179+BR255*BR179+BS255*BS179+BT255*BT179+BU255*BU179+BV255*BV179+BW255*BW179+BX255*BX179+BY255*BY179+BZ255*BZ179+CA255*CA179+CB255*CB179+CC255*CC179+CD255*CD179+CE255*CE179+CF255*CF179+CG255*CG179+CH255*CH179+CI255*CI179+CJ255*CJ179+CK255*CK179+CL255*CL179+CM255*CM179+CN255*CN179</f>
        <v>0</v>
      </c>
      <c r="CY179" s="2652">
        <f>E256*E179+F256*F179+G256*G179+H256*H179+I256*I179+J256*J179+K256*K179+L256*L179+M256*M179+N256*N179+O256*O179+P256*P179+Q256*Q179+R256*R179+S256*S179+T256*T179+U256*U179+V256*V179+W256*W179+X256*X179+Y256*Y179+Z256*Z179+AA256*AA179+AB256*AB179+AC256*AC179+AD256*AD179+AE256*AE179+AF256*AF179+AG256*AG179+AH256*AH179+AI256*AI179+AJ256*AJ179+AK256*AK179+AL256*AL179+AM256*AM179+AN256*AN179+AO256*AO179+AP256*AP179+AQ256*AQ179+AR256*AR179+AS256*AS179+AT256*AT179+AU256*AU179+AV256*AV179+AW256*AW179+AX256*AX179+AY256*AY179+AZ256*AZ179+BA256*BA179+BB256*BB179+BC256*BC179+BD256*BD179+BE256*BE179+BF256*BF179+BG256*BG179+BH256*BH179+BI256*BI179+BJ256*BJ179+BK256*BK179+BL256*BL179+BM256*BM179+BN256*BN179+BO256*BO179+BP256*BP179+BQ256*BQ179+BR256*BR179+BS256*BS179+BT256*BT179+BU256*BU179+BV256*BV179+BW256*BW179+BX256*BX179+BY256*BY179+BZ256*BZ179+CA256*CA179+CB256*CB179+CC256*CC179+CD256*CD179+CE256*CE179+CF256*CF179+CG256*CG179+CH256*CH179+CI256*CI179+CJ256*CJ179+CK256*CK179+CL256*CL179+CM256*CM179+CN256*CN179</f>
        <v>0</v>
      </c>
      <c r="CZ179" s="2652">
        <f>E257*E179+F257*F179+G257*G179+H257*H179+I257*I179+J257*J179+K257*K179+L257*L179+M257*M179+N257*N179+O257*O179+P257*P179+Q257*Q179+R257*R179+S257*S179+T257*T179+U257*U179+V257*V179+W257*W179+X257*X179+Y257*Y179+Z257*Z179+AA257*AA179+AB257*AB179+AC257*AC179+AD257*AD179+AE257*AE179+AF257*AF179+AG257*AG179+AH257*AH179+AI257*AI179+AJ257*AJ179+AK257*AK179+AL257*AL179+AM257*AM179+AN257*AN179+AO257*AO179+AP257*AP179+AQ257*AQ179+AR257*AR179+AS257*AS179+AT257*AT179+AU257*AU179+AV257*AV179+AW257*AW179+AX257*AX179+AY257*AY179+AZ257*AZ179+BA257*BA179+BB257*BB179+BC257*BC179+BD257*BD179+BE257*BE179+BF257*BF179+BG257*BG179+BH257*BH179+BI257*BI179+BJ257*BJ179+BK257*BK179+BL257*BL179+BM257*BM179+BN257*BN179+BO257*BO179+BP257*BP179+BQ257*BQ179+BR257*BR179+BS257*BS179+BT257*BT179+BU257*BU179+BV257*BV179+BW257*BW179+BX257*BX179+BY257*BY179+BZ257*BZ179+CA257*CA179+CB257*CB179+CC257*CC179+CD257*CD179+CE257*CE179+CF257*CF179+CG257*CG179+CH257*CH179+CI257*CI179+CJ257*CJ179+CK257*CK179+CL257*CL179+CM257*CM179+CN257*CN179</f>
        <v>0</v>
      </c>
      <c r="DA179" s="2652">
        <f>E258*E179+F258*F179+G258*G179+H258*H179+I258*I179+J258*J179+K258*K179+L258*L179+M258*M179+N258*N179+O258*O179+P258*P179+Q258*Q179+R258*R179+S258*S179+T258*T179+U258*U179+V258*V179+W258*W179+X258*X179+Y258*Y179+Z258*Z179+AA258*AA179+AB258*AB179+AC258*AC179+AD258*AD179+AE258*AE179+AF258*AF179+AG258*AG179+AH258*AH179+AI258*AI179+AJ258*AJ179+AK258*AK179+AL258*AL179+AM258*AM179+AN258*AN179+AO258*AO179+AP258*AP179+AQ258*AQ179+AR258*AR179+AS258*AS179+AT258*AT179+AU258*AU179+AV258*AV179+AW258*AW179+AX258*AX179+AY258*AY179+AZ258*AZ179+BA258*BA179+BB258*BB179+BC258*BC179+BD258*BD179+BE258*BE179+BF258*BF179+BG258*BG179+BH258*BH179+BI258*BI179+BJ258*BJ179+BK258*BK179+BL258*BL179+BM258*BM179+BN258*BN179+BO258*BO179+BP258*BP179+BQ258*BQ179+BR258*BR179+BS258*BS179+BT258*BT179+BU258*BU179+BV258*BV179+BW258*BW179+BX258*BX179+BY258*BY179+BZ258*BZ179+CA258*CA179+CB258*CB179+CC258*CC179+CD258*CD179+CE258*CE179+CF258*CF179+CG258*CG179+CH258*CH179+CI258*CI179+CJ258*CJ179+CK258*CK179+CL258*CL179+CM258*CM179+CN258*CN179</f>
        <v>0</v>
      </c>
    </row>
    <row r="180" spans="2:105" ht="18" x14ac:dyDescent="0.25">
      <c r="B180" s="1085">
        <v>47</v>
      </c>
      <c r="C180" s="1075" t="s">
        <v>467</v>
      </c>
      <c r="D180" s="814" t="s">
        <v>2956</v>
      </c>
      <c r="E180" s="2684">
        <f>0</f>
        <v>0</v>
      </c>
      <c r="F180" s="2684">
        <f>0</f>
        <v>0</v>
      </c>
      <c r="G180" s="2684">
        <f>0</f>
        <v>0</v>
      </c>
      <c r="H180" s="2684">
        <f>0</f>
        <v>0</v>
      </c>
      <c r="I180" s="2715">
        <f>f_C</f>
        <v>0.1</v>
      </c>
      <c r="J180" s="2684">
        <f>0</f>
        <v>0</v>
      </c>
      <c r="K180" s="2684">
        <f>(1-f_E)*(1-f_C)</f>
        <v>0.82800000000000007</v>
      </c>
      <c r="L180" s="2684">
        <f>0</f>
        <v>0</v>
      </c>
      <c r="M180" s="2684">
        <f>0</f>
        <v>0</v>
      </c>
      <c r="N180" s="2684">
        <f>0</f>
        <v>0</v>
      </c>
      <c r="O180" s="2684">
        <f>0</f>
        <v>0</v>
      </c>
      <c r="P180" s="2684">
        <f>0</f>
        <v>0</v>
      </c>
      <c r="Q180" s="2684">
        <f>0</f>
        <v>0</v>
      </c>
      <c r="R180" s="2684">
        <f>0</f>
        <v>0</v>
      </c>
      <c r="S180" s="2684">
        <f>f_E*(1-f_C)</f>
        <v>7.2000000000000008E-2</v>
      </c>
      <c r="T180" s="2684">
        <f>0</f>
        <v>0</v>
      </c>
      <c r="U180" s="2684">
        <f>0</f>
        <v>0</v>
      </c>
      <c r="V180" s="2684">
        <f>0</f>
        <v>0</v>
      </c>
      <c r="W180" s="2684">
        <f>0</f>
        <v>0</v>
      </c>
      <c r="X180" s="2684">
        <f>0</f>
        <v>0</v>
      </c>
      <c r="Y180" s="2684">
        <f>-1</f>
        <v>-1</v>
      </c>
      <c r="Z180" s="2684">
        <f>0</f>
        <v>0</v>
      </c>
      <c r="AA180" s="2684">
        <f>0</f>
        <v>0</v>
      </c>
      <c r="AB180" s="2684">
        <f>0</f>
        <v>0</v>
      </c>
      <c r="AC180" s="2745">
        <f>0</f>
        <v>0</v>
      </c>
      <c r="AD180" s="2684">
        <f>i_N_BIO-f_E*(1-f_C)*i_N_XE-f_C*i_N_CB-(1-f_E)*(1-f_C)*i_N_BIO</f>
        <v>6.7199999999999899E-3</v>
      </c>
      <c r="AE180" s="2684">
        <f>0</f>
        <v>0</v>
      </c>
      <c r="AF180" s="2684">
        <f>0</f>
        <v>0</v>
      </c>
      <c r="AG180" s="2684">
        <f>0</f>
        <v>0</v>
      </c>
      <c r="AH180" s="2684">
        <f>0</f>
        <v>0</v>
      </c>
      <c r="AI180" s="2684">
        <f>0</f>
        <v>0</v>
      </c>
      <c r="AJ180" s="2684">
        <f>(1-f_E)*(1-f_C)*i_N_BIO</f>
        <v>5.7960000000000012E-2</v>
      </c>
      <c r="AK180" s="2684">
        <f>0</f>
        <v>0</v>
      </c>
      <c r="AL180" s="2684">
        <f>i_P_BIO-f_E*(1-f_C)*i_P_BIO-f_C*i_P_CB-(1-f_E)*(1-f_C)*i_P_BIO</f>
        <v>1.7999999999999995E-3</v>
      </c>
      <c r="AM180" s="2684">
        <f>0</f>
        <v>0</v>
      </c>
      <c r="AN180" s="2684">
        <f>0</f>
        <v>0</v>
      </c>
      <c r="AO180" s="2684">
        <f>0</f>
        <v>0</v>
      </c>
      <c r="AP180" s="2684">
        <f>(1-f_E)*(1-f_C)*i_P_BIO</f>
        <v>1.6560000000000002E-2</v>
      </c>
      <c r="AQ180" s="2684">
        <f>0</f>
        <v>0</v>
      </c>
      <c r="AR180" s="2684">
        <f>0</f>
        <v>0</v>
      </c>
      <c r="AS180" s="2684">
        <f>0</f>
        <v>0</v>
      </c>
      <c r="AT180" s="2684">
        <f>0</f>
        <v>0</v>
      </c>
      <c r="AU180" s="2684">
        <f>i_CIT_BIO-f_E*(1-f_C)*i_CIT_BIO-(1-f_E)*(1-f_C)*i_CIT_XBe-(1-f_E)*f_C*i_CIT_XBe-f_E*f_C*i_CIT_XBe</f>
        <v>6.1248000000000011E-2</v>
      </c>
      <c r="AV180" s="2684">
        <f>0</f>
        <v>0</v>
      </c>
      <c r="AW180" s="2684">
        <f>0</f>
        <v>0</v>
      </c>
      <c r="AX180" s="2684">
        <f>0</f>
        <v>0</v>
      </c>
      <c r="AY180" s="2684">
        <f>0</f>
        <v>0</v>
      </c>
      <c r="AZ180" s="2684">
        <f>0</f>
        <v>0</v>
      </c>
      <c r="BA180" s="2684">
        <f>0</f>
        <v>0</v>
      </c>
      <c r="BB180" s="2684">
        <f>0</f>
        <v>0</v>
      </c>
      <c r="BC180" s="2684">
        <f>0</f>
        <v>0</v>
      </c>
      <c r="BD180" s="2684">
        <f>0</f>
        <v>0</v>
      </c>
      <c r="BE180" s="2684">
        <f>0</f>
        <v>0</v>
      </c>
      <c r="BF180" s="2684">
        <f>0</f>
        <v>0</v>
      </c>
      <c r="BG180" s="2684">
        <f>0</f>
        <v>0</v>
      </c>
      <c r="BH180" s="2684">
        <f>0</f>
        <v>0</v>
      </c>
      <c r="BI180" s="2684">
        <f>0</f>
        <v>0</v>
      </c>
      <c r="BJ180" s="2769">
        <f>0</f>
        <v>0</v>
      </c>
      <c r="BK180" s="2769">
        <f>0</f>
        <v>0</v>
      </c>
      <c r="BL180" s="2769">
        <f>0</f>
        <v>0</v>
      </c>
      <c r="BM180" s="2769">
        <f>0</f>
        <v>0</v>
      </c>
      <c r="BN180" s="2769">
        <f>0</f>
        <v>0</v>
      </c>
      <c r="BO180" s="2769">
        <f>0</f>
        <v>0</v>
      </c>
      <c r="BP180" s="2769">
        <f>0</f>
        <v>0</v>
      </c>
      <c r="BQ180" s="2684">
        <f>0</f>
        <v>0</v>
      </c>
      <c r="BR180" s="2684">
        <f>0</f>
        <v>0</v>
      </c>
      <c r="BS180" s="2769">
        <f>0</f>
        <v>0</v>
      </c>
      <c r="BT180" s="2684">
        <f>0</f>
        <v>0</v>
      </c>
      <c r="BU180" s="2684">
        <f>0</f>
        <v>0</v>
      </c>
      <c r="BV180" s="2745">
        <f>0</f>
        <v>0</v>
      </c>
      <c r="BW180" s="2745">
        <f>0</f>
        <v>0</v>
      </c>
      <c r="BX180" s="2745">
        <f>0</f>
        <v>0</v>
      </c>
      <c r="BY180" s="2745">
        <f>0</f>
        <v>0</v>
      </c>
      <c r="BZ180" s="2684">
        <f>0</f>
        <v>0</v>
      </c>
      <c r="CA180" s="2684">
        <f>0</f>
        <v>0</v>
      </c>
      <c r="CB180" s="2800">
        <f>0</f>
        <v>0</v>
      </c>
      <c r="CC180" s="2684">
        <f>0</f>
        <v>0</v>
      </c>
      <c r="CD180" s="2684">
        <f>0</f>
        <v>0</v>
      </c>
      <c r="CE180" s="2684">
        <f>0</f>
        <v>0</v>
      </c>
      <c r="CF180" s="2684">
        <f>0</f>
        <v>0</v>
      </c>
      <c r="CG180" s="2684">
        <f>0</f>
        <v>0</v>
      </c>
      <c r="CH180" s="2684">
        <f>0</f>
        <v>0</v>
      </c>
      <c r="CI180" s="2684">
        <f>0</f>
        <v>0</v>
      </c>
      <c r="CJ180" s="2684">
        <f>0</f>
        <v>0</v>
      </c>
      <c r="CK180" s="2684">
        <f>0</f>
        <v>0</v>
      </c>
      <c r="CL180" s="2684">
        <f>0</f>
        <v>0</v>
      </c>
      <c r="CM180" s="2684">
        <f>0</f>
        <v>0</v>
      </c>
      <c r="CN180" s="2684">
        <f>0</f>
        <v>0</v>
      </c>
      <c r="CO180" s="2822">
        <f>b_NOB_T*X_NOB*(η_b_ana*M_inhSNOx_KNOx_NOB*M_inhSO2_KO2_NOB+m_tox_ana)</f>
        <v>8.7719298245614037E-4</v>
      </c>
      <c r="CQ180" s="2650">
        <f>E248*E180+F248*F180+G248*G180+H248*H180+I248*I180+J248*J180+K248*K180+L248*L180+M248*M180+N248*N180+O248*O180+P248*P180+Q248*Q180+R248*R180+S248*S180+T248*T180+U248*U180+V248*V180+W248*W180+X248*X180+Y248*Y180+Z248*Z180+AA248*AA180+AB248*AB180+AC248*AC180+AD248*AD180+AE248*AE180+AF248*AF180+AG248*AG180+AH248*AH180+AI248*AI180+AJ248*AJ180+AK248*AK180+AL248*AL180+AM248*AM180+AN248*AN180+AO248*AO180+AP248*AP180+AQ248*AQ180+AR248*AR180+AS248*AS180+AT248*AT180+AU248*AU180+AV248*AV180+AW248*AW180+AX248*AX180+AY248*AY180+AZ248*AZ180+BA248*BA180+BB248*BB180+BC248*BC180+BD248*BD180+BE248*BE180+BF248*BF180+BG248*BG180+BH248*BH180+BI248*BI180+BJ248*BJ180+BK248*BK180+BL248*BL180+BM248*BM180+BN248*BN180+BO248*BO180+BP248*BP180+BQ248*BQ180+BR248*BR180+BS248*BS180+BT248*BT180+BU248*BU180+BV248*BV180+BW248*BW180+BX248*BX180+BY248*BY180+BZ248*BZ180+CA248*CA180+CB248*CB180+CC248*CC180+CD248*CD180+CE248*CE180+CF248*CF180+CG248*CG180+CH248*CH180+CI248*CI180+CJ248*CJ180+CK248*CK180+CL248*CL180+CM248*CM180+CN248*CN180</f>
        <v>0</v>
      </c>
      <c r="CR180" s="2650">
        <f>E249*E180+F249*F180+G249*G180+H249*H180+I249*I180+J249*J180+K249*K180+L249*L180+M249*M180+N249*N180+O249*O180+P249*P180+Q249*Q180+R249*R180+S249*S180+T249*T180+U249*U180+V249*V180+W249*W180+X249*X180+Y249*Y180+Z249*Z180+AA249*AA180+AB249*AB180+AC249*AC180+AD249*AD180+AE249*AE180+AF249*AF180+AG249*AG180+AH249*AH180+AI249*AI180+AJ249*AJ180+AK249*AK180+AL249*AL180+AM249*AM180+AN249*AN180+AO249*AO180+AP249*AP180+AQ249*AQ180+AR249*AR180+AS249*AS180+AT249*AT180+AU249*AU180+AV249*AV180+AW249*AW180+AX249*AX180+AY249*AY180+AZ249*AZ180+BA249*BA180+BB249*BB180+BC249*BC180+BD249*BD180+BE249*BE180+BF249*BF180+BG249*BG180+BH249*BH180+BI249*BI180+BJ249*BJ180+BK249*BK180+BL249*BL180+BM249*BM180+BN249*BN180+BO249*BO180+BP249*BP180+BQ249*BQ180+BR249*BR180+BS249*BS180+BT249*BT180+BU249*BU180+BV249*BV180+BW249*BW180+BX249*BX180+BY249*BY180+BZ249*BZ180+CA249*CA180+CB249*CB180+CC249*CC180+CD249*CD180+CE249*CE180+CF249*CF180+CG249*CG180+CH249*CH180+CI249*CI180+CJ249*CJ180+CK249*CK180+CL249*CL180+CM249*CM180+CN249*CN180</f>
        <v>-1.3877787807814457E-17</v>
      </c>
      <c r="CS180" s="2651">
        <f>E250*E180+F250*F180+G250*G180+H250*H180+I250*I180+J250*J180+K250*K180+L250*L180+M250*M180+N250*N180+O250*O180+P250*P180+Q250*Q180+R250*R180+S250*S180+T250*T180+U250*U180+V250*V180+W250*W180+X250*X180+Y250*Y180+Z250*Z180+AA250*AA180+AB250*AB180+AC250*AC180+AD250*AD180+AE250*AE180+AF250*AF180+AG250*AG180+AH250*AH180+AI250*AI180+AJ250*AJ180+AK250*AK180+AL250*AL180+AM250*AM180+AN250*AN180+AO250*AO180+AP250*AP180+AQ250*AQ180+AR250*AR180+AS250*AS180+AT250*AT180+AU250*AU180+AV250*AV180+AW250*AW180+AX250*AX180+AY250*AY180+AZ250*AZ180+BA250*BA180+BB250*BB180+BC250*BC180+BD250*BD180+BE250*BE180+BF250*BF180+BG250*BG180+BH250*BH180+BI250*BI180+BJ250*BJ180+BK250*BK180+BL250*BL180+BM250*BM180+BN250*BN180+BO250*BO180+BP250*BP180+BQ250*BQ180+BR250*BR180+BS250*BS180+BT250*BT180+BU250*BU180+BV250*BV180+BW250*BW180+BX250*BX180+BY250*BY180+BZ250*BZ180+CA250*CA180+CB250*CB180+CC250*CC180+CD250*CD180+CE250*CE180+CF250*CF180+CG250*CG180+CH250*CH180+CI250*CI180+CJ250*CJ180+CK250*CK180+CL250*CL180+CM250*CM180+CN250*CN180</f>
        <v>0</v>
      </c>
      <c r="CT180" s="2652">
        <f>E251*E180+F251*F180+G251*G180+H251*H180+I251*I180+J251*J180+K251*K180+L251*L180+M251*M180+N251*N180+O251*O180+P251*P180+Q251*Q180+R251*R180+S251*S180+T251*T180+U251*U180+V251*V180+W251*W180+X251*X180+Y251*Y180+Z251*Z180+AA251*AA180+AB251*AB180+AC251*AC180+AD251*AD180+AE251*AE180+AF251*AF180+AG251*AG180+AH251*AH180+AI251*AI180+AJ251*AJ180+AK251*AK180+AL251*AL180+AM251*AM180+AN251*AN180+AO251*AO180+AP251*AP180+AQ251*AQ180+AR251*AR180+AS251*AS180+AT251*AT180+AU251*AU180+AV251*AV180+AW251*AW180+AX251*AX180+AY251*AY180+AZ251*AZ180+BA251*BA180+BB251*BB180+BC251*BC180+BD251*BD180+BE251*BE180+BF251*BF180+BG251*BG180+BH251*BH180+BI251*BI180+BJ251*BJ180+BK251*BK180+BL251*BL180+BM251*BM180+BN251*BN180+BO251*BO180+BP251*BP180+BQ251*BQ180+BR251*BR180+BS251*BS180+BT251*BT180+BU251*BU180+BV251*BV180+BW251*BW180+BX251*BX180+BY251*BY180+BZ251*BZ180+CA251*CA180+CB251*CB180+CC251*CC180+CD251*CD180+CE251*CE180+CF251*CF180+CG251*CG180+CH251*CH180+CI251*CI180+CJ251*CJ180+CK251*CK180+CL251*CL180+CM251*CM180+CN251*CN180</f>
        <v>0</v>
      </c>
      <c r="CU180" s="2652">
        <f>E252*E180+F252*F180+G252*G180+H252*H180+I252*I180+J252*J180+K252*K180+L252*L180+M252*M180+N252*N180+O252*O180+P252*P180+Q252*Q180+R252*R180+S252*S180+T252*T180+U252*U180+V252*V180+W252*W180+X252*X180+Y252*Y180+Z252*Z180+AA252*AA180+AB252*AB180+AC252*AC180+AD252*AD180+AE252*AE180+AF252*AF180+AG252*AG180+AH252*AH180+AI252*AI180+AJ252*AJ180+AK252*AK180+AL252*AL180+AM252*AM180+AN252*AN180+AO252*AO180+AP252*AP180+AQ252*AQ180+AR252*AR180+AS252*AS180+AT252*AT180+AU252*AU180+AV252*AV180+AW252*AW180+AX252*AX180+AY252*AY180+AZ252*AZ180+BA252*BA180+BB252*BB180+BC252*BC180+BD252*BD180+BE252*BE180+BF252*BF180+BG252*BG180+BH252*BH180+BI252*BI180+BJ252*BJ180+BK252*BK180+BL252*BL180+BM252*BM180+BN252*BN180+BO252*BO180+BP252*BP180+BQ252*BQ180+BR252*BR180+BS252*BS180+BT252*BT180+BU252*BU180+BV252*BV180+BW252*BW180+BX252*BX180+BY252*BY180+BZ252*BZ180+CA252*CA180+CB252*CB180+CC252*CC180+CD252*CD180+CE252*CE180+CF252*CF180+CG252*CG180+CH252*CH180+CI252*CI180+CJ252*CJ180+CK252*CK180+CL252*CL180+CM252*CM180+CN252*CN180</f>
        <v>0</v>
      </c>
      <c r="CV180" s="2652">
        <f>E253*E180+F253*F180+G253*G180+H253*H180+I253*I180+J253*J180+K253*K180+L253*L180+M253*M180+N253*N180+O253*O180+P253*P180+Q253*Q180+R253*R180+S253*S180+T253*T180+U253*U180+V253*V180+W253*W180+X253*X180+Y253*Y180+Z253*Z180+AA253*AA180+AB253*AB180+AC253*AC180+AD253*AD180+AE253*AE180+AF253*AF180+AG253*AG180+AH253*AH180+AI253*AI180+AJ253*AJ180+AK253*AK180+AL253*AL180+AM253*AM180+AN253*AN180+AO253*AO180+AP253*AP180+AQ253*AQ180+AR253*AR180+AS253*AS180+AT253*AT180+AU253*AU180+AV253*AV180+AW253*AW180+AX253*AX180+AY253*AY180+AZ253*AZ180+BA253*BA180+BB253*BB180+BC253*BC180+BD253*BD180+BE253*BE180+BF253*BF180+BG253*BG180+BH253*BH180+BI253*BI180+BJ253*BJ180+BK253*BK180+BL253*BL180+BM253*BM180+BN253*BN180+BO253*BO180+BP253*BP180+BQ253*BQ180+BR253*BR180+BS253*BS180+BT253*BT180+BU253*BU180+BV253*BV180+BW253*BW180+BX253*BX180+BY253*BY180+BZ253*BZ180+CA253*CA180+CB253*CB180+CC253*CC180+CD253*CD180+CE253*CE180+CF253*CF180+CG253*CG180+CH253*CH180+CI253*CI180+CJ253*CJ180+CK253*CK180+CL253*CL180+CM253*CM180+CN253*CN180</f>
        <v>0</v>
      </c>
      <c r="CW180" s="2652">
        <f>E254*E180+F254*F180+G254*G180+H254*H180+I254*I180+J254*J180+K254*K180+L254*L180+M254*M180+N254*N180+O254*O180+P254*P180+Q254*Q180+R254*R180+S254*S180+T254*T180+U254*U180+V254*V180+W254*W180+X254*X180+Y254*Y180+Z254*Z180+AA254*AA180+AB254*AB180+AC254*AC180+AD254*AD180+AE254*AE180+AF254*AF180+AG254*AG180+AH254*AH180+AI254*AI180+AJ254*AJ180+AK254*AK180+AL254*AL180+AM254*AM180+AN254*AN180+AO254*AO180+AP254*AP180+AQ254*AQ180+AR254*AR180+AS254*AS180+AT254*AT180+AU254*AU180+AV254*AV180+AW254*AW180+AX254*AX180+AY254*AY180+AZ254*AZ180+BA254*BA180+BB254*BB180+BC254*BC180+BD254*BD180+BE254*BE180+BF254*BF180+BG254*BG180+BH254*BH180+BI254*BI180+BJ254*BJ180+BK254*BK180+BL254*BL180+BM254*BM180+BN254*BN180+BO254*BO180+BP254*BP180+BQ254*BQ180+BR254*BR180+BS254*BS180+BT254*BT180+BU254*BU180+BV254*BV180+BW254*BW180+BX254*BX180+BY254*BY180+BZ254*BZ180+CA254*CA180+CB254*CB180+CC254*CC180+CD254*CD180+CE254*CE180+CF254*CF180+CG254*CG180+CH254*CH180+CI254*CI180+CJ254*CJ180+CK254*CK180+CL254*CL180+CM254*CM180+CN254*CN180</f>
        <v>0</v>
      </c>
      <c r="CX180" s="2652">
        <f>E255*E180+F255*F180+G255*G180+H255*H180+I255*I180+J255*J180+K255*K180+L255*L180+M255*M180+N255*N180+O255*O180+P255*P180+Q255*Q180+R255*R180+S255*S180+T255*T180+U255*U180+V255*V180+W255*W180+X255*X180+Y255*Y180+Z255*Z180+AA255*AA180+AB255*AB180+AC255*AC180+AD255*AD180+AE255*AE180+AF255*AF180+AG255*AG180+AH255*AH180+AI255*AI180+AJ255*AJ180+AK255*AK180+AL255*AL180+AM255*AM180+AN255*AN180+AO255*AO180+AP255*AP180+AQ255*AQ180+AR255*AR180+AS255*AS180+AT255*AT180+AU255*AU180+AV255*AV180+AW255*AW180+AX255*AX180+AY255*AY180+AZ255*AZ180+BA255*BA180+BB255*BB180+BC255*BC180+BD255*BD180+BE255*BE180+BF255*BF180+BG255*BG180+BH255*BH180+BI255*BI180+BJ255*BJ180+BK255*BK180+BL255*BL180+BM255*BM180+BN255*BN180+BO255*BO180+BP255*BP180+BQ255*BQ180+BR255*BR180+BS255*BS180+BT255*BT180+BU255*BU180+BV255*BV180+BW255*BW180+BX255*BX180+BY255*BY180+BZ255*BZ180+CA255*CA180+CB255*CB180+CC255*CC180+CD255*CD180+CE255*CE180+CF255*CF180+CG255*CG180+CH255*CH180+CI255*CI180+CJ255*CJ180+CK255*CK180+CL255*CL180+CM255*CM180+CN255*CN180</f>
        <v>0</v>
      </c>
      <c r="CY180" s="2652">
        <f>E256*E180+F256*F180+G256*G180+H256*H180+I256*I180+J256*J180+K256*K180+L256*L180+M256*M180+N256*N180+O256*O180+P256*P180+Q256*Q180+R256*R180+S256*S180+T256*T180+U256*U180+V256*V180+W256*W180+X256*X180+Y256*Y180+Z256*Z180+AA256*AA180+AB256*AB180+AC256*AC180+AD256*AD180+AE256*AE180+AF256*AF180+AG256*AG180+AH256*AH180+AI256*AI180+AJ256*AJ180+AK256*AK180+AL256*AL180+AM256*AM180+AN256*AN180+AO256*AO180+AP256*AP180+AQ256*AQ180+AR256*AR180+AS256*AS180+AT256*AT180+AU256*AU180+AV256*AV180+AW256*AW180+AX256*AX180+AY256*AY180+AZ256*AZ180+BA256*BA180+BB256*BB180+BC256*BC180+BD256*BD180+BE256*BE180+BF256*BF180+BG256*BG180+BH256*BH180+BI256*BI180+BJ256*BJ180+BK256*BK180+BL256*BL180+BM256*BM180+BN256*BN180+BO256*BO180+BP256*BP180+BQ256*BQ180+BR256*BR180+BS256*BS180+BT256*BT180+BU256*BU180+BV256*BV180+BW256*BW180+BX256*BX180+BY256*BY180+BZ256*BZ180+CA256*CA180+CB256*CB180+CC256*CC180+CD256*CD180+CE256*CE180+CF256*CF180+CG256*CG180+CH256*CH180+CI256*CI180+CJ256*CJ180+CK256*CK180+CL256*CL180+CM256*CM180+CN256*CN180</f>
        <v>0</v>
      </c>
      <c r="CZ180" s="2652">
        <f>E257*E180+F257*F180+G257*G180+H257*H180+I257*I180+J257*J180+K257*K180+L257*L180+M257*M180+N257*N180+O257*O180+P257*P180+Q257*Q180+R257*R180+S257*S180+T257*T180+U257*U180+V257*V180+W257*W180+X257*X180+Y257*Y180+Z257*Z180+AA257*AA180+AB257*AB180+AC257*AC180+AD257*AD180+AE257*AE180+AF257*AF180+AG257*AG180+AH257*AH180+AI257*AI180+AJ257*AJ180+AK257*AK180+AL257*AL180+AM257*AM180+AN257*AN180+AO257*AO180+AP257*AP180+AQ257*AQ180+AR257*AR180+AS257*AS180+AT257*AT180+AU257*AU180+AV257*AV180+AW257*AW180+AX257*AX180+AY257*AY180+AZ257*AZ180+BA257*BA180+BB257*BB180+BC257*BC180+BD257*BD180+BE257*BE180+BF257*BF180+BG257*BG180+BH257*BH180+BI257*BI180+BJ257*BJ180+BK257*BK180+BL257*BL180+BM257*BM180+BN257*BN180+BO257*BO180+BP257*BP180+BQ257*BQ180+BR257*BR180+BS257*BS180+BT257*BT180+BU257*BU180+BV257*BV180+BW257*BW180+BX257*BX180+BY257*BY180+BZ257*BZ180+CA257*CA180+CB257*CB180+CC257*CC180+CD257*CD180+CE257*CE180+CF257*CF180+CG257*CG180+CH257*CH180+CI257*CI180+CJ257*CJ180+CK257*CK180+CL257*CL180+CM257*CM180+CN257*CN180</f>
        <v>0</v>
      </c>
      <c r="DA180" s="2652">
        <f>E258*E180+F258*F180+G258*G180+H258*H180+I258*I180+J258*J180+K258*K180+L258*L180+M258*M180+N258*N180+O258*O180+P258*P180+Q258*Q180+R258*R180+S258*S180+T258*T180+U258*U180+V258*V180+W258*W180+X258*X180+Y258*Y180+Z258*Z180+AA258*AA180+AB258*AB180+AC258*AC180+AD258*AD180+AE258*AE180+AF258*AF180+AG258*AG180+AH258*AH180+AI258*AI180+AJ258*AJ180+AK258*AK180+AL258*AL180+AM258*AM180+AN258*AN180+AO258*AO180+AP258*AP180+AQ258*AQ180+AR258*AR180+AS258*AS180+AT258*AT180+AU258*AU180+AV258*AV180+AW258*AW180+AX258*AX180+AY258*AY180+AZ258*AZ180+BA258*BA180+BB258*BB180+BC258*BC180+BD258*BD180+BE258*BE180+BF258*BF180+BG258*BG180+BH258*BH180+BI258*BI180+BJ258*BJ180+BK258*BK180+BL258*BL180+BM258*BM180+BN258*BN180+BO258*BO180+BP258*BP180+BQ258*BQ180+BR258*BR180+BS258*BS180+BT258*BT180+BU258*BU180+BV258*BV180+BW258*BW180+BX258*BX180+BY258*BY180+BZ258*BZ180+CA258*CA180+CB258*CB180+CC258*CC180+CD258*CD180+CE258*CE180+CF258*CF180+CG258*CG180+CH258*CH180+CI258*CI180+CJ258*CJ180+CK258*CK180+CL258*CL180+CM258*CM180+CN258*CN180</f>
        <v>0</v>
      </c>
    </row>
    <row r="181" spans="2:105" ht="18" x14ac:dyDescent="0.25">
      <c r="B181" s="1086">
        <v>48</v>
      </c>
      <c r="C181" s="1076" t="s">
        <v>468</v>
      </c>
      <c r="D181" s="818" t="s">
        <v>2193</v>
      </c>
      <c r="E181" s="2685">
        <f>0</f>
        <v>0</v>
      </c>
      <c r="F181" s="2685">
        <f>0</f>
        <v>0</v>
      </c>
      <c r="G181" s="2685">
        <f>0</f>
        <v>0</v>
      </c>
      <c r="H181" s="2685">
        <f>0</f>
        <v>0</v>
      </c>
      <c r="I181" s="2685">
        <f>0</f>
        <v>0</v>
      </c>
      <c r="J181" s="2685">
        <f>0</f>
        <v>0</v>
      </c>
      <c r="K181" s="2685">
        <f>0</f>
        <v>0</v>
      </c>
      <c r="L181" s="2685">
        <f>0</f>
        <v>0</v>
      </c>
      <c r="M181" s="2685">
        <f>0</f>
        <v>0</v>
      </c>
      <c r="N181" s="2685">
        <f>0</f>
        <v>0</v>
      </c>
      <c r="O181" s="2685">
        <f>0</f>
        <v>0</v>
      </c>
      <c r="P181" s="2685">
        <f>0</f>
        <v>0</v>
      </c>
      <c r="Q181" s="2685">
        <f>0</f>
        <v>0</v>
      </c>
      <c r="R181" s="2685">
        <f>0</f>
        <v>0</v>
      </c>
      <c r="S181" s="2685">
        <f>0</f>
        <v>0</v>
      </c>
      <c r="T181" s="2685">
        <f>0</f>
        <v>0</v>
      </c>
      <c r="U181" s="2685">
        <f>0</f>
        <v>0</v>
      </c>
      <c r="V181" s="2685">
        <f>0</f>
        <v>0</v>
      </c>
      <c r="W181" s="2685">
        <f>0</f>
        <v>0</v>
      </c>
      <c r="X181" s="2685">
        <f>0</f>
        <v>0</v>
      </c>
      <c r="Y181" s="2685">
        <f>0</f>
        <v>0</v>
      </c>
      <c r="Z181" s="2685">
        <f>1</f>
        <v>1</v>
      </c>
      <c r="AA181" s="2685">
        <f>0</f>
        <v>0</v>
      </c>
      <c r="AB181" s="2685">
        <f>0</f>
        <v>0</v>
      </c>
      <c r="AC181" s="2746">
        <f>0</f>
        <v>0</v>
      </c>
      <c r="AD181" s="2685">
        <f>-(3*i_N_BIO*A_MO+2*A_MN)/(5*Y_AMX_NO3+3-3*Y_AMX_NO2)/A_MO</f>
        <v>-5.7673622319660547</v>
      </c>
      <c r="AE181" s="2685">
        <f>-Y_AMX_NO2/(5*Y_AMX_NO3+3-3*Y_AMX_NO2)*(3*i_N_BIO*A_MO+2*A_MN)/A_MO</f>
        <v>-7.6129181461951925</v>
      </c>
      <c r="AF181" s="2685">
        <f>Y_AMX_NO3/(5*Y_AMX_NO3+3-3*Y_AMX_NO2)*(3*i_N_BIO*A_MO+2*A_MN)/A_MO</f>
        <v>1.4995141803111742</v>
      </c>
      <c r="AG181" s="2685">
        <f>2*(Y_AMX_NO3*A_MN-1*A_MN-1*Y_AMX_NO2*A_MN+4*Y_AMX_NO3*i_N_BIO*A_MO-3*Y_AMX_NO2*i_N_BIO*A_MO)/A_MO/(3*Y_AMX_NO2-5*Y_AMX_NO3-3)</f>
        <v>11.810766197850072</v>
      </c>
      <c r="AH181" s="2685">
        <f>0</f>
        <v>0</v>
      </c>
      <c r="AI181" s="2685">
        <f>0</f>
        <v>0</v>
      </c>
      <c r="AJ181" s="2685">
        <f>0</f>
        <v>0</v>
      </c>
      <c r="AK181" s="2685">
        <f>0</f>
        <v>0</v>
      </c>
      <c r="AL181" s="2685">
        <f>-i_P_BIO</f>
        <v>-0.02</v>
      </c>
      <c r="AM181" s="2685">
        <f>0</f>
        <v>0</v>
      </c>
      <c r="AN181" s="2685">
        <f>0</f>
        <v>0</v>
      </c>
      <c r="AO181" s="2685">
        <f>0</f>
        <v>0</v>
      </c>
      <c r="AP181" s="2685">
        <f>0</f>
        <v>0</v>
      </c>
      <c r="AQ181" s="2685">
        <f>0</f>
        <v>0</v>
      </c>
      <c r="AR181" s="2685">
        <f>0</f>
        <v>0</v>
      </c>
      <c r="AS181" s="2685">
        <f>0</f>
        <v>0</v>
      </c>
      <c r="AT181" s="2685">
        <f>0</f>
        <v>0</v>
      </c>
      <c r="AU181" s="2685">
        <f>-i_CIT_BIO</f>
        <v>-0.35199999999999998</v>
      </c>
      <c r="AV181" s="2685">
        <f>i_INORG</f>
        <v>0.11</v>
      </c>
      <c r="AW181" s="2685">
        <f>-i_INORG*(1-i_Ca_INORG*(A_MCa+2*A_MCl)/A_MCa-i_Mg_INORG*(A_MMg+2*A_MCl)/A_MMg)*f_Na</f>
        <v>-2.8804303582798466E-2</v>
      </c>
      <c r="AX181" s="2685">
        <f>-i_INORG*(i_Ca_INORG*(2*A_MCl)/A_MCa+i_Mg_INORG*(2*A_MCl)/A_MMg)-i_INORG*(1-i_Ca_INORG*(A_MCa+2*A_MCl)/A_MCa-i_Mg_INORG*(A_MMg+2*A_MCl)/A_MMg)*(1-f_Na)</f>
        <v>-7.0195696417201539E-2</v>
      </c>
      <c r="AY181" s="2685">
        <f>-i_INORG*i_Ca_INORG</f>
        <v>-5.5000000000000005E-3</v>
      </c>
      <c r="AZ181" s="2685">
        <f>-i_INORG*i_Mg_INORG</f>
        <v>-5.5000000000000005E-3</v>
      </c>
      <c r="BA181" s="2685">
        <f>0</f>
        <v>0</v>
      </c>
      <c r="BB181" s="2685">
        <f>0</f>
        <v>0</v>
      </c>
      <c r="BC181" s="2685">
        <f>0</f>
        <v>0</v>
      </c>
      <c r="BD181" s="2685">
        <f>0</f>
        <v>0</v>
      </c>
      <c r="BE181" s="2685">
        <f>0</f>
        <v>0</v>
      </c>
      <c r="BF181" s="2685">
        <f>0</f>
        <v>0</v>
      </c>
      <c r="BG181" s="2685">
        <f>0</f>
        <v>0</v>
      </c>
      <c r="BH181" s="2685">
        <f>0</f>
        <v>0</v>
      </c>
      <c r="BI181" s="2685">
        <f>0</f>
        <v>0</v>
      </c>
      <c r="BJ181" s="2770">
        <f>0</f>
        <v>0</v>
      </c>
      <c r="BK181" s="2770">
        <f>0</f>
        <v>0</v>
      </c>
      <c r="BL181" s="2770">
        <f>0</f>
        <v>0</v>
      </c>
      <c r="BM181" s="2770">
        <f>0</f>
        <v>0</v>
      </c>
      <c r="BN181" s="2770">
        <f>0</f>
        <v>0</v>
      </c>
      <c r="BO181" s="2770">
        <f>0</f>
        <v>0</v>
      </c>
      <c r="BP181" s="2770">
        <f>0</f>
        <v>0</v>
      </c>
      <c r="BQ181" s="2685">
        <f>0</f>
        <v>0</v>
      </c>
      <c r="BR181" s="2685">
        <f>0</f>
        <v>0</v>
      </c>
      <c r="BS181" s="2770">
        <f>0</f>
        <v>0</v>
      </c>
      <c r="BT181" s="2685">
        <f>0</f>
        <v>0</v>
      </c>
      <c r="BU181" s="2685">
        <f>0</f>
        <v>0</v>
      </c>
      <c r="BV181" s="2746">
        <f>0</f>
        <v>0</v>
      </c>
      <c r="BW181" s="2746">
        <f>0</f>
        <v>0</v>
      </c>
      <c r="BX181" s="2746">
        <f>0</f>
        <v>0</v>
      </c>
      <c r="BY181" s="2746">
        <f>0</f>
        <v>0</v>
      </c>
      <c r="BZ181" s="2685">
        <f>0</f>
        <v>0</v>
      </c>
      <c r="CA181" s="2685">
        <f>0</f>
        <v>0</v>
      </c>
      <c r="CB181" s="2801">
        <f>0</f>
        <v>0</v>
      </c>
      <c r="CC181" s="2685">
        <f>0</f>
        <v>0</v>
      </c>
      <c r="CD181" s="2685">
        <f>0</f>
        <v>0</v>
      </c>
      <c r="CE181" s="2685">
        <f>0</f>
        <v>0</v>
      </c>
      <c r="CF181" s="2685">
        <f>0</f>
        <v>0</v>
      </c>
      <c r="CG181" s="2685">
        <f>0</f>
        <v>0</v>
      </c>
      <c r="CH181" s="2685">
        <f>0</f>
        <v>0</v>
      </c>
      <c r="CI181" s="2685">
        <f>0</f>
        <v>0</v>
      </c>
      <c r="CJ181" s="2685">
        <f>0</f>
        <v>0</v>
      </c>
      <c r="CK181" s="2685">
        <f>0</f>
        <v>0</v>
      </c>
      <c r="CL181" s="2685">
        <f>0</f>
        <v>0</v>
      </c>
      <c r="CM181" s="2685">
        <f>0</f>
        <v>0</v>
      </c>
      <c r="CN181" s="2685">
        <f>0</f>
        <v>0</v>
      </c>
      <c r="CO181" s="2832">
        <f>µ_AMX_T*X_AMX*M_satSNHx_KNHx_AMX*M_satSNO2_KNO2_AMX*M_inhSO2_KiO2_AMX*L_ogsatpHCO2_AMX*M_satSPO4_KPO4_BIO*M_satSCAT_KCAT*M_satSAN_KAN*M_satSCa_KCa*M_satSMg_KMg*B_ellinhpH*M_inhpHHNO2_AMX</f>
        <v>5.0125651939223804E-4</v>
      </c>
      <c r="CQ181" s="2650">
        <f>E248*E181+F248*F181+G248*G181+H248*H181+I248*I181+J248*J181+K248*K181+L248*L181+M248*M181+N248*N181+O248*O181+P248*P181+Q248*Q181+R248*R181+S248*S181+T248*T181+U248*U181+V248*V181+W248*W181+X248*X181+Y248*Y181+Z248*Z181+AA248*AA181+AB248*AB181+AC248*AC181+AD248*AD181+AE248*AE181+AF248*AF181+AG248*AG181+AH248*AH181+AI248*AI181+AJ248*AJ181+AK248*AK181+AL248*AL181+AM248*AM181+AN248*AN181+AO248*AO181+AP248*AP181+AQ248*AQ181+AR248*AR181+AS248*AS181+AT248*AT181+AU248*AU181+AV248*AV181+AW248*AW181+AX248*AX181+AY248*AY181+AZ248*AZ181+BA248*BA181+BB248*BB181+BC248*BC181+BD248*BD181+BE248*BE181+BF248*BF181+BG248*BG181+BH248*BH181+BI248*BI181+BJ248*BJ181+BK248*BK181+BL248*BL181+BM248*BM181+BN248*BN181+BO248*BO181+BP248*BP181+BQ248*BQ181+BR248*BR181+BS248*BS181+BT248*BT181+BU248*BU181+BV248*BV181+BW248*BW181+BX248*BX181+BY248*BY181+BZ248*BZ181+CA248*CA181+CB248*CB181+CC248*CC181+CD248*CD181+CE248*CE181+CF248*CF181+CG248*CG181+CH248*CH181+CI248*CI181+CJ248*CJ181+CK248*CK181+CL248*CL181+CM248*CM181+CN248*CN181</f>
        <v>3.5527136788005009E-15</v>
      </c>
      <c r="CR181" s="2650">
        <f>E249*E181+F249*F181+G249*G181+H249*H181+I249*I181+J249*J181+K249*K181+L249*L181+M249*M181+N249*N181+O249*O181+P249*P181+Q249*Q181+R249*R181+S249*S181+T249*T181+U249*U181+V249*V181+W249*W181+X249*X181+Y249*Y181+Z249*Z181+AA249*AA181+AB249*AB181+AC249*AC181+AD249*AD181+AE249*AE181+AF249*AF181+AG249*AG181+AH249*AH181+AI249*AI181+AJ249*AJ181+AK249*AK181+AL249*AL181+AM249*AM181+AN249*AN181+AO249*AO181+AP249*AP181+AQ249*AQ181+AR249*AR181+AS249*AS181+AT249*AT181+AU249*AU181+AV249*AV181+AW249*AW181+AX249*AX181+AY249*AY181+AZ249*AZ181+BA249*BA181+BB249*BB181+BC249*BC181+BD249*BD181+BE249*BE181+BF249*BF181+BG249*BG181+BH249*BH181+BI249*BI181+BJ249*BJ181+BK249*BK181+BL249*BL181+BM249*BM181+BN249*BN181+BO249*BO181+BP249*BP181+BQ249*BQ181+BR249*BR181+BS249*BS181+BT249*BT181+BU249*BU181+BV249*BV181+BW249*BW181+BX249*BX181+BY249*BY181+BZ249*BZ181+CA249*CA181+CB249*CB181+CC249*CC181+CD249*CD181+CE249*CE181+CF249*CF181+CG249*CG181+CH249*CH181+CI249*CI181+CJ249*CJ181+CK249*CK181+CL249*CL181+CM249*CM181+CN249*CN181</f>
        <v>0</v>
      </c>
      <c r="CS181" s="2651">
        <f>E250*E181+F250*F181+G250*G181+H250*H181+I250*I181+J250*J181+K250*K181+L250*L181+M250*M181+N250*N181+O250*O181+P250*P181+Q250*Q181+R250*R181+S250*S181+T250*T181+U250*U181+V250*V181+W250*W181+X250*X181+Y250*Y181+Z250*Z181+AA250*AA181+AB250*AB181+AC250*AC181+AD250*AD181+AE250*AE181+AF250*AF181+AG250*AG181+AH250*AH181+AI250*AI181+AJ250*AJ181+AK250*AK181+AL250*AL181+AM250*AM181+AN250*AN181+AO250*AO181+AP250*AP181+AQ250*AQ181+AR250*AR181+AS250*AS181+AT250*AT181+AU250*AU181+AV250*AV181+AW250*AW181+AX250*AX181+AY250*AY181+AZ250*AZ181+BA250*BA181+BB250*BB181+BC250*BC181+BD250*BD181+BE250*BE181+BF250*BF181+BG250*BG181+BH250*BH181+BI250*BI181+BJ250*BJ181+BK250*BK181+BL250*BL181+BM250*BM181+BN250*BN181+BO250*BO181+BP250*BP181+BQ250*BQ181+BR250*BR181+BS250*BS181+BT250*BT181+BU250*BU181+BV250*BV181+BW250*BW181+BX250*BX181+BY250*BY181+BZ250*BZ181+CA250*CA181+CB250*CB181+CC250*CC181+CD250*CD181+CE250*CE181+CF250*CF181+CG250*CG181+CH250*CH181+CI250*CI181+CJ250*CJ181+CK250*CK181+CL250*CL181+CM250*CM181+CN250*CN181</f>
        <v>-1.7763568394002505E-15</v>
      </c>
      <c r="CT181" s="2652">
        <f>E251*E181+F251*F181+G251*G181+H251*H181+I251*I181+J251*J181+K251*K181+L251*L181+M251*M181+N251*N181+O251*O181+P251*P181+Q251*Q181+R251*R181+S251*S181+T251*T181+U251*U181+V251*V181+W251*W181+X251*X181+Y251*Y181+Z251*Z181+AA251*AA181+AB251*AB181+AC251*AC181+AD251*AD181+AE251*AE181+AF251*AF181+AG251*AG181+AH251*AH181+AI251*AI181+AJ251*AJ181+AK251*AK181+AL251*AL181+AM251*AM181+AN251*AN181+AO251*AO181+AP251*AP181+AQ251*AQ181+AR251*AR181+AS251*AS181+AT251*AT181+AU251*AU181+AV251*AV181+AW251*AW181+AX251*AX181+AY251*AY181+AZ251*AZ181+BA251*BA181+BB251*BB181+BC251*BC181+BD251*BD181+BE251*BE181+BF251*BF181+BG251*BG181+BH251*BH181+BI251*BI181+BJ251*BJ181+BK251*BK181+BL251*BL181+BM251*BM181+BN251*BN181+BO251*BO181+BP251*BP181+BQ251*BQ181+BR251*BR181+BS251*BS181+BT251*BT181+BU251*BU181+BV251*BV181+BW251*BW181+BX251*BX181+BY251*BY181+BZ251*BZ181+CA251*CA181+CB251*CB181+CC251*CC181+CD251*CD181+CE251*CE181+CF251*CF181+CG251*CG181+CH251*CH181+CI251*CI181+CJ251*CJ181+CK251*CK181+CL251*CL181+CM251*CM181+CN251*CN181</f>
        <v>0</v>
      </c>
      <c r="CU181" s="2652">
        <f>E252*E181+F252*F181+G252*G181+H252*H181+I252*I181+J252*J181+K252*K181+L252*L181+M252*M181+N252*N181+O252*O181+P252*P181+Q252*Q181+R252*R181+S252*S181+T252*T181+U252*U181+V252*V181+W252*W181+X252*X181+Y252*Y181+Z252*Z181+AA252*AA181+AB252*AB181+AC252*AC181+AD252*AD181+AE252*AE181+AF252*AF181+AG252*AG181+AH252*AH181+AI252*AI181+AJ252*AJ181+AK252*AK181+AL252*AL181+AM252*AM181+AN252*AN181+AO252*AO181+AP252*AP181+AQ252*AQ181+AR252*AR181+AS252*AS181+AT252*AT181+AU252*AU181+AV252*AV181+AW252*AW181+AX252*AX181+AY252*AY181+AZ252*AZ181+BA252*BA181+BB252*BB181+BC252*BC181+BD252*BD181+BE252*BE181+BF252*BF181+BG252*BG181+BH252*BH181+BI252*BI181+BJ252*BJ181+BK252*BK181+BL252*BL181+BM252*BM181+BN252*BN181+BO252*BO181+BP252*BP181+BQ252*BQ181+BR252*BR181+BS252*BS181+BT252*BT181+BU252*BU181+BV252*BV181+BW252*BW181+BX252*BX181+BY252*BY181+BZ252*BZ181+CA252*CA181+CB252*CB181+CC252*CC181+CD252*CD181+CE252*CE181+CF252*CF181+CG252*CG181+CH252*CH181+CI252*CI181+CJ252*CJ181+CK252*CK181+CL252*CL181+CM252*CM181+CN252*CN181</f>
        <v>0</v>
      </c>
      <c r="CV181" s="2652">
        <f>E253*E181+F253*F181+G253*G181+H253*H181+I253*I181+J253*J181+K253*K181+L253*L181+M253*M181+N253*N181+O253*O181+P253*P181+Q253*Q181+R253*R181+S253*S181+T253*T181+U253*U181+V253*V181+W253*W181+X253*X181+Y253*Y181+Z253*Z181+AA253*AA181+AB253*AB181+AC253*AC181+AD253*AD181+AE253*AE181+AF253*AF181+AG253*AG181+AH253*AH181+AI253*AI181+AJ253*AJ181+AK253*AK181+AL253*AL181+AM253*AM181+AN253*AN181+AO253*AO181+AP253*AP181+AQ253*AQ181+AR253*AR181+AS253*AS181+AT253*AT181+AU253*AU181+AV253*AV181+AW253*AW181+AX253*AX181+AY253*AY181+AZ253*AZ181+BA253*BA181+BB253*BB181+BC253*BC181+BD253*BD181+BE253*BE181+BF253*BF181+BG253*BG181+BH253*BH181+BI253*BI181+BJ253*BJ181+BK253*BK181+BL253*BL181+BM253*BM181+BN253*BN181+BO253*BO181+BP253*BP181+BQ253*BQ181+BR253*BR181+BS253*BS181+BT253*BT181+BU253*BU181+BV253*BV181+BW253*BW181+BX253*BX181+BY253*BY181+BZ253*BZ181+CA253*CA181+CB253*CB181+CC253*CC181+CD253*CD181+CE253*CE181+CF253*CF181+CG253*CG181+CH253*CH181+CI253*CI181+CJ253*CJ181+CK253*CK181+CL253*CL181+CM253*CM181+CN253*CN181</f>
        <v>0</v>
      </c>
      <c r="CW181" s="2652">
        <f>E254*E181+F254*F181+G254*G181+H254*H181+I254*I181+J254*J181+K254*K181+L254*L181+M254*M181+N254*N181+O254*O181+P254*P181+Q254*Q181+R254*R181+S254*S181+T254*T181+U254*U181+V254*V181+W254*W181+X254*X181+Y254*Y181+Z254*Z181+AA254*AA181+AB254*AB181+AC254*AC181+AD254*AD181+AE254*AE181+AF254*AF181+AG254*AG181+AH254*AH181+AI254*AI181+AJ254*AJ181+AK254*AK181+AL254*AL181+AM254*AM181+AN254*AN181+AO254*AO181+AP254*AP181+AQ254*AQ181+AR254*AR181+AS254*AS181+AT254*AT181+AU254*AU181+AV254*AV181+AW254*AW181+AX254*AX181+AY254*AY181+AZ254*AZ181+BA254*BA181+BB254*BB181+BC254*BC181+BD254*BD181+BE254*BE181+BF254*BF181+BG254*BG181+BH254*BH181+BI254*BI181+BJ254*BJ181+BK254*BK181+BL254*BL181+BM254*BM181+BN254*BN181+BO254*BO181+BP254*BP181+BQ254*BQ181+BR254*BR181+BS254*BS181+BT254*BT181+BU254*BU181+BV254*BV181+BW254*BW181+BX254*BX181+BY254*BY181+BZ254*BZ181+CA254*CA181+CB254*CB181+CC254*CC181+CD254*CD181+CE254*CE181+CF254*CF181+CG254*CG181+CH254*CH181+CI254*CI181+CJ254*CJ181+CK254*CK181+CL254*CL181+CM254*CM181+CN254*CN181</f>
        <v>0</v>
      </c>
      <c r="CX181" s="2652">
        <f>E255*E181+F255*F181+G255*G181+H255*H181+I255*I181+J255*J181+K255*K181+L255*L181+M255*M181+N255*N181+O255*O181+P255*P181+Q255*Q181+R255*R181+S255*S181+T255*T181+U255*U181+V255*V181+W255*W181+X255*X181+Y255*Y181+Z255*Z181+AA255*AA181+AB255*AB181+AC255*AC181+AD255*AD181+AE255*AE181+AF255*AF181+AG255*AG181+AH255*AH181+AI255*AI181+AJ255*AJ181+AK255*AK181+AL255*AL181+AM255*AM181+AN255*AN181+AO255*AO181+AP255*AP181+AQ255*AQ181+AR255*AR181+AS255*AS181+AT255*AT181+AU255*AU181+AV255*AV181+AW255*AW181+AX255*AX181+AY255*AY181+AZ255*AZ181+BA255*BA181+BB255*BB181+BC255*BC181+BD255*BD181+BE255*BE181+BF255*BF181+BG255*BG181+BH255*BH181+BI255*BI181+BJ255*BJ181+BK255*BK181+BL255*BL181+BM255*BM181+BN255*BN181+BO255*BO181+BP255*BP181+BQ255*BQ181+BR255*BR181+BS255*BS181+BT255*BT181+BU255*BU181+BV255*BV181+BW255*BW181+BX255*BX181+BY255*BY181+BZ255*BZ181+CA255*CA181+CB255*CB181+CC255*CC181+CD255*CD181+CE255*CE181+CF255*CF181+CG255*CG181+CH255*CH181+CI255*CI181+CJ255*CJ181+CK255*CK181+CL255*CL181+CM255*CM181+CN255*CN181</f>
        <v>0</v>
      </c>
      <c r="CY181" s="2652">
        <f>E256*E181+F256*F181+G256*G181+H256*H181+I256*I181+J256*J181+K256*K181+L256*L181+M256*M181+N256*N181+O256*O181+P256*P181+Q256*Q181+R256*R181+S256*S181+T256*T181+U256*U181+V256*V181+W256*W181+X256*X181+Y256*Y181+Z256*Z181+AA256*AA181+AB256*AB181+AC256*AC181+AD256*AD181+AE256*AE181+AF256*AF181+AG256*AG181+AH256*AH181+AI256*AI181+AJ256*AJ181+AK256*AK181+AL256*AL181+AM256*AM181+AN256*AN181+AO256*AO181+AP256*AP181+AQ256*AQ181+AR256*AR181+AS256*AS181+AT256*AT181+AU256*AU181+AV256*AV181+AW256*AW181+AX256*AX181+AY256*AY181+AZ256*AZ181+BA256*BA181+BB256*BB181+BC256*BC181+BD256*BD181+BE256*BE181+BF256*BF181+BG256*BG181+BH256*BH181+BI256*BI181+BJ256*BJ181+BK256*BK181+BL256*BL181+BM256*BM181+BN256*BN181+BO256*BO181+BP256*BP181+BQ256*BQ181+BR256*BR181+BS256*BS181+BT256*BT181+BU256*BU181+BV256*BV181+BW256*BW181+BX256*BX181+BY256*BY181+BZ256*BZ181+CA256*CA181+CB256*CB181+CC256*CC181+CD256*CD181+CE256*CE181+CF256*CF181+CG256*CG181+CH256*CH181+CI256*CI181+CJ256*CJ181+CK256*CK181+CL256*CL181+CM256*CM181+CN256*CN181</f>
        <v>0</v>
      </c>
      <c r="CZ181" s="2652">
        <f>E257*E181+F257*F181+G257*G181+H257*H181+I257*I181+J257*J181+K257*K181+L257*L181+M257*M181+N257*N181+O257*O181+P257*P181+Q257*Q181+R257*R181+S257*S181+T257*T181+U257*U181+V257*V181+W257*W181+X257*X181+Y257*Y181+Z257*Z181+AA257*AA181+AB257*AB181+AC257*AC181+AD257*AD181+AE257*AE181+AF257*AF181+AG257*AG181+AH257*AH181+AI257*AI181+AJ257*AJ181+AK257*AK181+AL257*AL181+AM257*AM181+AN257*AN181+AO257*AO181+AP257*AP181+AQ257*AQ181+AR257*AR181+AS257*AS181+AT257*AT181+AU257*AU181+AV257*AV181+AW257*AW181+AX257*AX181+AY257*AY181+AZ257*AZ181+BA257*BA181+BB257*BB181+BC257*BC181+BD257*BD181+BE257*BE181+BF257*BF181+BG257*BG181+BH257*BH181+BI257*BI181+BJ257*BJ181+BK257*BK181+BL257*BL181+BM257*BM181+BN257*BN181+BO257*BO181+BP257*BP181+BQ257*BQ181+BR257*BR181+BS257*BS181+BT257*BT181+BU257*BU181+BV257*BV181+BW257*BW181+BX257*BX181+BY257*BY181+BZ257*BZ181+CA257*CA181+CB257*CB181+CC257*CC181+CD257*CD181+CE257*CE181+CF257*CF181+CG257*CG181+CH257*CH181+CI257*CI181+CJ257*CJ181+CK257*CK181+CL257*CL181+CM257*CM181+CN257*CN181</f>
        <v>0</v>
      </c>
      <c r="DA181" s="2652">
        <f>E258*E181+F258*F181+G258*G181+H258*H181+I258*I181+J258*J181+K258*K181+L258*L181+M258*M181+N258*N181+O258*O181+P258*P181+Q258*Q181+R258*R181+S258*S181+T258*T181+U258*U181+V258*V181+W258*W181+X258*X181+Y258*Y181+Z258*Z181+AA258*AA181+AB258*AB181+AC258*AC181+AD258*AD181+AE258*AE181+AF258*AF181+AG258*AG181+AH258*AH181+AI258*AI181+AJ258*AJ181+AK258*AK181+AL258*AL181+AM258*AM181+AN258*AN181+AO258*AO181+AP258*AP181+AQ258*AQ181+AR258*AR181+AS258*AS181+AT258*AT181+AU258*AU181+AV258*AV181+AW258*AW181+AX258*AX181+AY258*AY181+AZ258*AZ181+BA258*BA181+BB258*BB181+BC258*BC181+BD258*BD181+BE258*BE181+BF258*BF181+BG258*BG181+BH258*BH181+BI258*BI181+BJ258*BJ181+BK258*BK181+BL258*BL181+BM258*BM181+BN258*BN181+BO258*BO181+BP258*BP181+BQ258*BQ181+BR258*BR181+BS258*BS181+BT258*BT181+BU258*BU181+BV258*BV181+BW258*BW181+BX258*BX181+BY258*BY181+BZ258*BZ181+CA258*CA181+CB258*CB181+CC258*CC181+CD258*CD181+CE258*CE181+CF258*CF181+CG258*CG181+CH258*CH181+CI258*CI181+CJ258*CJ181+CK258*CK181+CL258*CL181+CM258*CM181+CN258*CN181</f>
        <v>0</v>
      </c>
    </row>
    <row r="182" spans="2:105" ht="18" x14ac:dyDescent="0.25">
      <c r="B182" s="1086">
        <v>49</v>
      </c>
      <c r="C182" s="1076" t="s">
        <v>469</v>
      </c>
      <c r="D182" s="818" t="s">
        <v>2194</v>
      </c>
      <c r="E182" s="2686">
        <f>0</f>
        <v>0</v>
      </c>
      <c r="F182" s="2686">
        <f>0</f>
        <v>0</v>
      </c>
      <c r="G182" s="2686">
        <f>0</f>
        <v>0</v>
      </c>
      <c r="H182" s="2686">
        <f>0</f>
        <v>0</v>
      </c>
      <c r="I182" s="2716">
        <f>f_C</f>
        <v>0.1</v>
      </c>
      <c r="J182" s="2686">
        <f>0</f>
        <v>0</v>
      </c>
      <c r="K182" s="2686">
        <f>(1-f_E)*(1-f_C)</f>
        <v>0.82800000000000007</v>
      </c>
      <c r="L182" s="2686">
        <f>0</f>
        <v>0</v>
      </c>
      <c r="M182" s="2686">
        <f>0</f>
        <v>0</v>
      </c>
      <c r="N182" s="2686">
        <f>0</f>
        <v>0</v>
      </c>
      <c r="O182" s="2686">
        <f>0</f>
        <v>0</v>
      </c>
      <c r="P182" s="2686">
        <f>0</f>
        <v>0</v>
      </c>
      <c r="Q182" s="2686">
        <f>0</f>
        <v>0</v>
      </c>
      <c r="R182" s="2686">
        <f>f_E*(1-f_C)</f>
        <v>7.2000000000000008E-2</v>
      </c>
      <c r="S182" s="2686">
        <f>0</f>
        <v>0</v>
      </c>
      <c r="T182" s="2686">
        <f>0</f>
        <v>0</v>
      </c>
      <c r="U182" s="2686">
        <f>0</f>
        <v>0</v>
      </c>
      <c r="V182" s="2686">
        <f>0</f>
        <v>0</v>
      </c>
      <c r="W182" s="2686">
        <f>0</f>
        <v>0</v>
      </c>
      <c r="X182" s="2686">
        <f>0</f>
        <v>0</v>
      </c>
      <c r="Y182" s="2686">
        <f>0</f>
        <v>0</v>
      </c>
      <c r="Z182" s="2686">
        <f>-1</f>
        <v>-1</v>
      </c>
      <c r="AA182" s="2686">
        <f>0</f>
        <v>0</v>
      </c>
      <c r="AB182" s="2686">
        <f>0</f>
        <v>0</v>
      </c>
      <c r="AC182" s="2747">
        <f>0</f>
        <v>0</v>
      </c>
      <c r="AD182" s="2686">
        <f>i_N_BIO-f_E*(1-f_C)*i_N_XE-f_C*i_N_CB-(1-f_E)*(1-f_C)*i_N_BIO</f>
        <v>6.7199999999999899E-3</v>
      </c>
      <c r="AE182" s="2686">
        <f>0</f>
        <v>0</v>
      </c>
      <c r="AF182" s="2686">
        <f>0</f>
        <v>0</v>
      </c>
      <c r="AG182" s="2686">
        <f>0</f>
        <v>0</v>
      </c>
      <c r="AH182" s="2686">
        <f>0</f>
        <v>0</v>
      </c>
      <c r="AI182" s="2686">
        <f>0</f>
        <v>0</v>
      </c>
      <c r="AJ182" s="2686">
        <f>(1-f_E)*(1-f_C)*i_N_BIO</f>
        <v>5.7960000000000012E-2</v>
      </c>
      <c r="AK182" s="2686">
        <f>0</f>
        <v>0</v>
      </c>
      <c r="AL182" s="2686">
        <f>i_P_BIO-f_E*(1-f_C)*i_P_BIO-f_C*i_P_CB-(1-f_E)*(1-f_C)*i_P_BIO</f>
        <v>1.7999999999999995E-3</v>
      </c>
      <c r="AM182" s="2686">
        <f>0</f>
        <v>0</v>
      </c>
      <c r="AN182" s="2686">
        <f>0</f>
        <v>0</v>
      </c>
      <c r="AO182" s="2686">
        <f>0</f>
        <v>0</v>
      </c>
      <c r="AP182" s="2686">
        <f>(1-f_E)*(1-f_C)*i_P_BIO</f>
        <v>1.6560000000000002E-2</v>
      </c>
      <c r="AQ182" s="2686">
        <f>0</f>
        <v>0</v>
      </c>
      <c r="AR182" s="2686">
        <f>0</f>
        <v>0</v>
      </c>
      <c r="AS182" s="2686">
        <f>0</f>
        <v>0</v>
      </c>
      <c r="AT182" s="2686">
        <f>0</f>
        <v>0</v>
      </c>
      <c r="AU182" s="2686">
        <f>i_CIT_BIO-f_E*(1-f_C)*i_CIT_BIO-(1-f_E)*(1-f_C)*i_CIT_XBe-(1-f_E)*f_C*i_CIT_XBe-f_E*f_C*i_CIT_XBe</f>
        <v>6.1248000000000011E-2</v>
      </c>
      <c r="AV182" s="2686">
        <f>0</f>
        <v>0</v>
      </c>
      <c r="AW182" s="2686">
        <f>0</f>
        <v>0</v>
      </c>
      <c r="AX182" s="2686">
        <f>0</f>
        <v>0</v>
      </c>
      <c r="AY182" s="2686">
        <f>0</f>
        <v>0</v>
      </c>
      <c r="AZ182" s="2686">
        <f>0</f>
        <v>0</v>
      </c>
      <c r="BA182" s="2686">
        <f>0</f>
        <v>0</v>
      </c>
      <c r="BB182" s="2686">
        <f>0</f>
        <v>0</v>
      </c>
      <c r="BC182" s="2686">
        <f>0</f>
        <v>0</v>
      </c>
      <c r="BD182" s="2686">
        <f>0</f>
        <v>0</v>
      </c>
      <c r="BE182" s="2686">
        <f>0</f>
        <v>0</v>
      </c>
      <c r="BF182" s="2686">
        <f>0</f>
        <v>0</v>
      </c>
      <c r="BG182" s="2686">
        <f>0</f>
        <v>0</v>
      </c>
      <c r="BH182" s="2686">
        <f>0</f>
        <v>0</v>
      </c>
      <c r="BI182" s="2686">
        <f>0</f>
        <v>0</v>
      </c>
      <c r="BJ182" s="2771">
        <f>0</f>
        <v>0</v>
      </c>
      <c r="BK182" s="2771">
        <f>0</f>
        <v>0</v>
      </c>
      <c r="BL182" s="2771">
        <f>0</f>
        <v>0</v>
      </c>
      <c r="BM182" s="2771">
        <f>0</f>
        <v>0</v>
      </c>
      <c r="BN182" s="2771">
        <f>0</f>
        <v>0</v>
      </c>
      <c r="BO182" s="2771">
        <f>0</f>
        <v>0</v>
      </c>
      <c r="BP182" s="2771">
        <f>0</f>
        <v>0</v>
      </c>
      <c r="BQ182" s="2686">
        <f>0</f>
        <v>0</v>
      </c>
      <c r="BR182" s="2686">
        <f>0</f>
        <v>0</v>
      </c>
      <c r="BS182" s="2771">
        <f>0</f>
        <v>0</v>
      </c>
      <c r="BT182" s="2686">
        <f>0</f>
        <v>0</v>
      </c>
      <c r="BU182" s="2686">
        <f>0</f>
        <v>0</v>
      </c>
      <c r="BV182" s="2747">
        <f>0</f>
        <v>0</v>
      </c>
      <c r="BW182" s="2747">
        <f>0</f>
        <v>0</v>
      </c>
      <c r="BX182" s="2747">
        <f>0</f>
        <v>0</v>
      </c>
      <c r="BY182" s="2747">
        <f>0</f>
        <v>0</v>
      </c>
      <c r="BZ182" s="2686">
        <f>0</f>
        <v>0</v>
      </c>
      <c r="CA182" s="2686">
        <f>0</f>
        <v>0</v>
      </c>
      <c r="CB182" s="2802">
        <f>0</f>
        <v>0</v>
      </c>
      <c r="CC182" s="2686">
        <f>0</f>
        <v>0</v>
      </c>
      <c r="CD182" s="2686">
        <f>0</f>
        <v>0</v>
      </c>
      <c r="CE182" s="2686">
        <f>0</f>
        <v>0</v>
      </c>
      <c r="CF182" s="2686">
        <f>0</f>
        <v>0</v>
      </c>
      <c r="CG182" s="2686">
        <f>0</f>
        <v>0</v>
      </c>
      <c r="CH182" s="2686">
        <f>0</f>
        <v>0</v>
      </c>
      <c r="CI182" s="2686">
        <f>0</f>
        <v>0</v>
      </c>
      <c r="CJ182" s="2686">
        <f>0</f>
        <v>0</v>
      </c>
      <c r="CK182" s="2686">
        <f>0</f>
        <v>0</v>
      </c>
      <c r="CL182" s="2686">
        <f>0</f>
        <v>0</v>
      </c>
      <c r="CM182" s="2686">
        <f>0</f>
        <v>0</v>
      </c>
      <c r="CN182" s="2686">
        <f>0</f>
        <v>0</v>
      </c>
      <c r="CO182" s="2832">
        <f>b_AMX_T*X_AMX*(M_satSO2_KiO2_AMX+η_b_anox*M_satSNOx_KNOx_AMX*M_inhSO2_KiO2_AMX)</f>
        <v>1.738621794871795E-2</v>
      </c>
      <c r="CQ182" s="2650">
        <f>E248*E182+F248*F182+G248*G182+H248*H182+I248*I182+J248*J182+K248*K182+L248*L182+M248*M182+N248*N182+O248*O182+P248*P182+Q248*Q182+R248*R182+S248*S182+T248*T182+U248*U182+V248*V182+W248*W182+X248*X182+Y248*Y182+Z248*Z182+AA248*AA182+AB248*AB182+AC248*AC182+AD248*AD182+AE248*AE182+AF248*AF182+AG248*AG182+AH248*AH182+AI248*AI182+AJ248*AJ182+AK248*AK182+AL248*AL182+AM248*AM182+AN248*AN182+AO248*AO182+AP248*AP182+AQ248*AQ182+AR248*AR182+AS248*AS182+AT248*AT182+AU248*AU182+AV248*AV182+AW248*AW182+AX248*AX182+AY248*AY182+AZ248*AZ182+BA248*BA182+BB248*BB182+BC248*BC182+BD248*BD182+BE248*BE182+BF248*BF182+BG248*BG182+BH248*BH182+BI248*BI182+BJ248*BJ182+BK248*BK182+BL248*BL182+BM248*BM182+BN248*BN182+BO248*BO182+BP248*BP182+BQ248*BQ182+BR248*BR182+BS248*BS182+BT248*BT182+BU248*BU182+BV248*BV182+BW248*BW182+BX248*BX182+BY248*BY182+BZ248*BZ182+CA248*CA182+CB248*CB182+CC248*CC182+CD248*CD182+CE248*CE182+CF248*CF182+CG248*CG182+CH248*CH182+CI248*CI182+CJ248*CJ182+CK248*CK182+CL248*CL182+CM248*CM182+CN248*CN182</f>
        <v>0</v>
      </c>
      <c r="CR182" s="2650">
        <f>E249*E182+F249*F182+G249*G182+H249*H182+I249*I182+J249*J182+K249*K182+L249*L182+M249*M182+N249*N182+O249*O182+P249*P182+Q249*Q182+R249*R182+S249*S182+T249*T182+U249*U182+V249*V182+W249*W182+X249*X182+Y249*Y182+Z249*Z182+AA249*AA182+AB249*AB182+AC249*AC182+AD249*AD182+AE249*AE182+AF249*AF182+AG249*AG182+AH249*AH182+AI249*AI182+AJ249*AJ182+AK249*AK182+AL249*AL182+AM249*AM182+AN249*AN182+AO249*AO182+AP249*AP182+AQ249*AQ182+AR249*AR182+AS249*AS182+AT249*AT182+AU249*AU182+AV249*AV182+AW249*AW182+AX249*AX182+AY249*AY182+AZ249*AZ182+BA249*BA182+BB249*BB182+BC249*BC182+BD249*BD182+BE249*BE182+BF249*BF182+BG249*BG182+BH249*BH182+BI249*BI182+BJ249*BJ182+BK249*BK182+BL249*BL182+BM249*BM182+BN249*BN182+BO249*BO182+BP249*BP182+BQ249*BQ182+BR249*BR182+BS249*BS182+BT249*BT182+BU249*BU182+BV249*BV182+BW249*BW182+BX249*BX182+BY249*BY182+BZ249*BZ182+CA249*CA182+CB249*CB182+CC249*CC182+CD249*CD182+CE249*CE182+CF249*CF182+CG249*CG182+CH249*CH182+CI249*CI182+CJ249*CJ182+CK249*CK182+CL249*CL182+CM249*CM182+CN249*CN182</f>
        <v>-1.3877787807814457E-17</v>
      </c>
      <c r="CS182" s="2651">
        <f>E250*E182+F250*F182+G250*G182+H250*H182+I250*I182+J250*J182+K250*K182+L250*L182+M250*M182+N250*N182+O250*O182+P250*P182+Q250*Q182+R250*R182+S250*S182+T250*T182+U250*U182+V250*V182+W250*W182+X250*X182+Y250*Y182+Z250*Z182+AA250*AA182+AB250*AB182+AC250*AC182+AD250*AD182+AE250*AE182+AF250*AF182+AG250*AG182+AH250*AH182+AI250*AI182+AJ250*AJ182+AK250*AK182+AL250*AL182+AM250*AM182+AN250*AN182+AO250*AO182+AP250*AP182+AQ250*AQ182+AR250*AR182+AS250*AS182+AT250*AT182+AU250*AU182+AV250*AV182+AW250*AW182+AX250*AX182+AY250*AY182+AZ250*AZ182+BA250*BA182+BB250*BB182+BC250*BC182+BD250*BD182+BE250*BE182+BF250*BF182+BG250*BG182+BH250*BH182+BI250*BI182+BJ250*BJ182+BK250*BK182+BL250*BL182+BM250*BM182+BN250*BN182+BO250*BO182+BP250*BP182+BQ250*BQ182+BR250*BR182+BS250*BS182+BT250*BT182+BU250*BU182+BV250*BV182+BW250*BW182+BX250*BX182+BY250*BY182+BZ250*BZ182+CA250*CA182+CB250*CB182+CC250*CC182+CD250*CD182+CE250*CE182+CF250*CF182+CG250*CG182+CH250*CH182+CI250*CI182+CJ250*CJ182+CK250*CK182+CL250*CL182+CM250*CM182+CN250*CN182</f>
        <v>0</v>
      </c>
      <c r="CT182" s="2652">
        <f>E251*E182+F251*F182+G251*G182+H251*H182+I251*I182+J251*J182+K251*K182+L251*L182+M251*M182+N251*N182+O251*O182+P251*P182+Q251*Q182+R251*R182+S251*S182+T251*T182+U251*U182+V251*V182+W251*W182+X251*X182+Y251*Y182+Z251*Z182+AA251*AA182+AB251*AB182+AC251*AC182+AD251*AD182+AE251*AE182+AF251*AF182+AG251*AG182+AH251*AH182+AI251*AI182+AJ251*AJ182+AK251*AK182+AL251*AL182+AM251*AM182+AN251*AN182+AO251*AO182+AP251*AP182+AQ251*AQ182+AR251*AR182+AS251*AS182+AT251*AT182+AU251*AU182+AV251*AV182+AW251*AW182+AX251*AX182+AY251*AY182+AZ251*AZ182+BA251*BA182+BB251*BB182+BC251*BC182+BD251*BD182+BE251*BE182+BF251*BF182+BG251*BG182+BH251*BH182+BI251*BI182+BJ251*BJ182+BK251*BK182+BL251*BL182+BM251*BM182+BN251*BN182+BO251*BO182+BP251*BP182+BQ251*BQ182+BR251*BR182+BS251*BS182+BT251*BT182+BU251*BU182+BV251*BV182+BW251*BW182+BX251*BX182+BY251*BY182+BZ251*BZ182+CA251*CA182+CB251*CB182+CC251*CC182+CD251*CD182+CE251*CE182+CF251*CF182+CG251*CG182+CH251*CH182+CI251*CI182+CJ251*CJ182+CK251*CK182+CL251*CL182+CM251*CM182+CN251*CN182</f>
        <v>0</v>
      </c>
      <c r="CU182" s="2652">
        <f>E252*E182+F252*F182+G252*G182+H252*H182+I252*I182+J252*J182+K252*K182+L252*L182+M252*M182+N252*N182+O252*O182+P252*P182+Q252*Q182+R252*R182+S252*S182+T252*T182+U252*U182+V252*V182+W252*W182+X252*X182+Y252*Y182+Z252*Z182+AA252*AA182+AB252*AB182+AC252*AC182+AD252*AD182+AE252*AE182+AF252*AF182+AG252*AG182+AH252*AH182+AI252*AI182+AJ252*AJ182+AK252*AK182+AL252*AL182+AM252*AM182+AN252*AN182+AO252*AO182+AP252*AP182+AQ252*AQ182+AR252*AR182+AS252*AS182+AT252*AT182+AU252*AU182+AV252*AV182+AW252*AW182+AX252*AX182+AY252*AY182+AZ252*AZ182+BA252*BA182+BB252*BB182+BC252*BC182+BD252*BD182+BE252*BE182+BF252*BF182+BG252*BG182+BH252*BH182+BI252*BI182+BJ252*BJ182+BK252*BK182+BL252*BL182+BM252*BM182+BN252*BN182+BO252*BO182+BP252*BP182+BQ252*BQ182+BR252*BR182+BS252*BS182+BT252*BT182+BU252*BU182+BV252*BV182+BW252*BW182+BX252*BX182+BY252*BY182+BZ252*BZ182+CA252*CA182+CB252*CB182+CC252*CC182+CD252*CD182+CE252*CE182+CF252*CF182+CG252*CG182+CH252*CH182+CI252*CI182+CJ252*CJ182+CK252*CK182+CL252*CL182+CM252*CM182+CN252*CN182</f>
        <v>0</v>
      </c>
      <c r="CV182" s="2652">
        <f>E253*E182+F253*F182+G253*G182+H253*H182+I253*I182+J253*J182+K253*K182+L253*L182+M253*M182+N253*N182+O253*O182+P253*P182+Q253*Q182+R253*R182+S253*S182+T253*T182+U253*U182+V253*V182+W253*W182+X253*X182+Y253*Y182+Z253*Z182+AA253*AA182+AB253*AB182+AC253*AC182+AD253*AD182+AE253*AE182+AF253*AF182+AG253*AG182+AH253*AH182+AI253*AI182+AJ253*AJ182+AK253*AK182+AL253*AL182+AM253*AM182+AN253*AN182+AO253*AO182+AP253*AP182+AQ253*AQ182+AR253*AR182+AS253*AS182+AT253*AT182+AU253*AU182+AV253*AV182+AW253*AW182+AX253*AX182+AY253*AY182+AZ253*AZ182+BA253*BA182+BB253*BB182+BC253*BC182+BD253*BD182+BE253*BE182+BF253*BF182+BG253*BG182+BH253*BH182+BI253*BI182+BJ253*BJ182+BK253*BK182+BL253*BL182+BM253*BM182+BN253*BN182+BO253*BO182+BP253*BP182+BQ253*BQ182+BR253*BR182+BS253*BS182+BT253*BT182+BU253*BU182+BV253*BV182+BW253*BW182+BX253*BX182+BY253*BY182+BZ253*BZ182+CA253*CA182+CB253*CB182+CC253*CC182+CD253*CD182+CE253*CE182+CF253*CF182+CG253*CG182+CH253*CH182+CI253*CI182+CJ253*CJ182+CK253*CK182+CL253*CL182+CM253*CM182+CN253*CN182</f>
        <v>0</v>
      </c>
      <c r="CW182" s="2652">
        <f>E254*E182+F254*F182+G254*G182+H254*H182+I254*I182+J254*J182+K254*K182+L254*L182+M254*M182+N254*N182+O254*O182+P254*P182+Q254*Q182+R254*R182+S254*S182+T254*T182+U254*U182+V254*V182+W254*W182+X254*X182+Y254*Y182+Z254*Z182+AA254*AA182+AB254*AB182+AC254*AC182+AD254*AD182+AE254*AE182+AF254*AF182+AG254*AG182+AH254*AH182+AI254*AI182+AJ254*AJ182+AK254*AK182+AL254*AL182+AM254*AM182+AN254*AN182+AO254*AO182+AP254*AP182+AQ254*AQ182+AR254*AR182+AS254*AS182+AT254*AT182+AU254*AU182+AV254*AV182+AW254*AW182+AX254*AX182+AY254*AY182+AZ254*AZ182+BA254*BA182+BB254*BB182+BC254*BC182+BD254*BD182+BE254*BE182+BF254*BF182+BG254*BG182+BH254*BH182+BI254*BI182+BJ254*BJ182+BK254*BK182+BL254*BL182+BM254*BM182+BN254*BN182+BO254*BO182+BP254*BP182+BQ254*BQ182+BR254*BR182+BS254*BS182+BT254*BT182+BU254*BU182+BV254*BV182+BW254*BW182+BX254*BX182+BY254*BY182+BZ254*BZ182+CA254*CA182+CB254*CB182+CC254*CC182+CD254*CD182+CE254*CE182+CF254*CF182+CG254*CG182+CH254*CH182+CI254*CI182+CJ254*CJ182+CK254*CK182+CL254*CL182+CM254*CM182+CN254*CN182</f>
        <v>0</v>
      </c>
      <c r="CX182" s="2652">
        <f>E255*E182+F255*F182+G255*G182+H255*H182+I255*I182+J255*J182+K255*K182+L255*L182+M255*M182+N255*N182+O255*O182+P255*P182+Q255*Q182+R255*R182+S255*S182+T255*T182+U255*U182+V255*V182+W255*W182+X255*X182+Y255*Y182+Z255*Z182+AA255*AA182+AB255*AB182+AC255*AC182+AD255*AD182+AE255*AE182+AF255*AF182+AG255*AG182+AH255*AH182+AI255*AI182+AJ255*AJ182+AK255*AK182+AL255*AL182+AM255*AM182+AN255*AN182+AO255*AO182+AP255*AP182+AQ255*AQ182+AR255*AR182+AS255*AS182+AT255*AT182+AU255*AU182+AV255*AV182+AW255*AW182+AX255*AX182+AY255*AY182+AZ255*AZ182+BA255*BA182+BB255*BB182+BC255*BC182+BD255*BD182+BE255*BE182+BF255*BF182+BG255*BG182+BH255*BH182+BI255*BI182+BJ255*BJ182+BK255*BK182+BL255*BL182+BM255*BM182+BN255*BN182+BO255*BO182+BP255*BP182+BQ255*BQ182+BR255*BR182+BS255*BS182+BT255*BT182+BU255*BU182+BV255*BV182+BW255*BW182+BX255*BX182+BY255*BY182+BZ255*BZ182+CA255*CA182+CB255*CB182+CC255*CC182+CD255*CD182+CE255*CE182+CF255*CF182+CG255*CG182+CH255*CH182+CI255*CI182+CJ255*CJ182+CK255*CK182+CL255*CL182+CM255*CM182+CN255*CN182</f>
        <v>0</v>
      </c>
      <c r="CY182" s="2652">
        <f>E256*E182+F256*F182+G256*G182+H256*H182+I256*I182+J256*J182+K256*K182+L256*L182+M256*M182+N256*N182+O256*O182+P256*P182+Q256*Q182+R256*R182+S256*S182+T256*T182+U256*U182+V256*V182+W256*W182+X256*X182+Y256*Y182+Z256*Z182+AA256*AA182+AB256*AB182+AC256*AC182+AD256*AD182+AE256*AE182+AF256*AF182+AG256*AG182+AH256*AH182+AI256*AI182+AJ256*AJ182+AK256*AK182+AL256*AL182+AM256*AM182+AN256*AN182+AO256*AO182+AP256*AP182+AQ256*AQ182+AR256*AR182+AS256*AS182+AT256*AT182+AU256*AU182+AV256*AV182+AW256*AW182+AX256*AX182+AY256*AY182+AZ256*AZ182+BA256*BA182+BB256*BB182+BC256*BC182+BD256*BD182+BE256*BE182+BF256*BF182+BG256*BG182+BH256*BH182+BI256*BI182+BJ256*BJ182+BK256*BK182+BL256*BL182+BM256*BM182+BN256*BN182+BO256*BO182+BP256*BP182+BQ256*BQ182+BR256*BR182+BS256*BS182+BT256*BT182+BU256*BU182+BV256*BV182+BW256*BW182+BX256*BX182+BY256*BY182+BZ256*BZ182+CA256*CA182+CB256*CB182+CC256*CC182+CD256*CD182+CE256*CE182+CF256*CF182+CG256*CG182+CH256*CH182+CI256*CI182+CJ256*CJ182+CK256*CK182+CL256*CL182+CM256*CM182+CN256*CN182</f>
        <v>0</v>
      </c>
      <c r="CZ182" s="2652">
        <f>E257*E182+F257*F182+G257*G182+H257*H182+I257*I182+J257*J182+K257*K182+L257*L182+M257*M182+N257*N182+O257*O182+P257*P182+Q257*Q182+R257*R182+S257*S182+T257*T182+U257*U182+V257*V182+W257*W182+X257*X182+Y257*Y182+Z257*Z182+AA257*AA182+AB257*AB182+AC257*AC182+AD257*AD182+AE257*AE182+AF257*AF182+AG257*AG182+AH257*AH182+AI257*AI182+AJ257*AJ182+AK257*AK182+AL257*AL182+AM257*AM182+AN257*AN182+AO257*AO182+AP257*AP182+AQ257*AQ182+AR257*AR182+AS257*AS182+AT257*AT182+AU257*AU182+AV257*AV182+AW257*AW182+AX257*AX182+AY257*AY182+AZ257*AZ182+BA257*BA182+BB257*BB182+BC257*BC182+BD257*BD182+BE257*BE182+BF257*BF182+BG257*BG182+BH257*BH182+BI257*BI182+BJ257*BJ182+BK257*BK182+BL257*BL182+BM257*BM182+BN257*BN182+BO257*BO182+BP257*BP182+BQ257*BQ182+BR257*BR182+BS257*BS182+BT257*BT182+BU257*BU182+BV257*BV182+BW257*BW182+BX257*BX182+BY257*BY182+BZ257*BZ182+CA257*CA182+CB257*CB182+CC257*CC182+CD257*CD182+CE257*CE182+CF257*CF182+CG257*CG182+CH257*CH182+CI257*CI182+CJ257*CJ182+CK257*CK182+CL257*CL182+CM257*CM182+CN257*CN182</f>
        <v>0</v>
      </c>
      <c r="DA182" s="2652">
        <f>E258*E182+F258*F182+G258*G182+H258*H182+I258*I182+J258*J182+K258*K182+L258*L182+M258*M182+N258*N182+O258*O182+P258*P182+Q258*Q182+R258*R182+S258*S182+T258*T182+U258*U182+V258*V182+W258*W182+X258*X182+Y258*Y182+Z258*Z182+AA258*AA182+AB258*AB182+AC258*AC182+AD258*AD182+AE258*AE182+AF258*AF182+AG258*AG182+AH258*AH182+AI258*AI182+AJ258*AJ182+AK258*AK182+AL258*AL182+AM258*AM182+AN258*AN182+AO258*AO182+AP258*AP182+AQ258*AQ182+AR258*AR182+AS258*AS182+AT258*AT182+AU258*AU182+AV258*AV182+AW258*AW182+AX258*AX182+AY258*AY182+AZ258*AZ182+BA258*BA182+BB258*BB182+BC258*BC182+BD258*BD182+BE258*BE182+BF258*BF182+BG258*BG182+BH258*BH182+BI258*BI182+BJ258*BJ182+BK258*BK182+BL258*BL182+BM258*BM182+BN258*BN182+BO258*BO182+BP258*BP182+BQ258*BQ182+BR258*BR182+BS258*BS182+BT258*BT182+BU258*BU182+BV258*BV182+BW258*BW182+BX258*BX182+BY258*BY182+BZ258*BZ182+CA258*CA182+CB258*CB182+CC258*CC182+CD258*CD182+CE258*CE182+CF258*CF182+CG258*CG182+CH258*CH182+CI258*CI182+CJ258*CJ182+CK258*CK182+CL258*CL182+CM258*CM182+CN258*CN182</f>
        <v>0</v>
      </c>
    </row>
    <row r="183" spans="2:105" ht="18" x14ac:dyDescent="0.25">
      <c r="B183" s="1086">
        <v>50</v>
      </c>
      <c r="C183" s="1076" t="s">
        <v>2102</v>
      </c>
      <c r="D183" s="818" t="s">
        <v>2957</v>
      </c>
      <c r="E183" s="2686">
        <f>0</f>
        <v>0</v>
      </c>
      <c r="F183" s="2686">
        <f>0</f>
        <v>0</v>
      </c>
      <c r="G183" s="2686">
        <f>0</f>
        <v>0</v>
      </c>
      <c r="H183" s="2686">
        <f>0</f>
        <v>0</v>
      </c>
      <c r="I183" s="2716">
        <f>f_C</f>
        <v>0.1</v>
      </c>
      <c r="J183" s="2686">
        <f>0</f>
        <v>0</v>
      </c>
      <c r="K183" s="2686">
        <f>(1-f_E)*(1-f_C)</f>
        <v>0.82800000000000007</v>
      </c>
      <c r="L183" s="2686">
        <f>0</f>
        <v>0</v>
      </c>
      <c r="M183" s="2686">
        <f>0</f>
        <v>0</v>
      </c>
      <c r="N183" s="2686">
        <f>0</f>
        <v>0</v>
      </c>
      <c r="O183" s="2686">
        <f>0</f>
        <v>0</v>
      </c>
      <c r="P183" s="2686">
        <f>0</f>
        <v>0</v>
      </c>
      <c r="Q183" s="2686">
        <f>0</f>
        <v>0</v>
      </c>
      <c r="R183" s="2686">
        <f>0</f>
        <v>0</v>
      </c>
      <c r="S183" s="2686">
        <f>f_E*(1-f_C)</f>
        <v>7.2000000000000008E-2</v>
      </c>
      <c r="T183" s="2686">
        <f>0</f>
        <v>0</v>
      </c>
      <c r="U183" s="2686">
        <f>0</f>
        <v>0</v>
      </c>
      <c r="V183" s="2686">
        <f>0</f>
        <v>0</v>
      </c>
      <c r="W183" s="2686">
        <f>0</f>
        <v>0</v>
      </c>
      <c r="X183" s="2686">
        <f>0</f>
        <v>0</v>
      </c>
      <c r="Y183" s="2686">
        <f>0</f>
        <v>0</v>
      </c>
      <c r="Z183" s="2686">
        <f>-1</f>
        <v>-1</v>
      </c>
      <c r="AA183" s="2686">
        <f>0</f>
        <v>0</v>
      </c>
      <c r="AB183" s="2686">
        <f>0</f>
        <v>0</v>
      </c>
      <c r="AC183" s="2747">
        <f>0</f>
        <v>0</v>
      </c>
      <c r="AD183" s="2686">
        <f>i_N_BIO-f_E*(1-f_C)*i_N_XE-f_C*i_N_CB-(1-f_E)*(1-f_C)*i_N_BIO</f>
        <v>6.7199999999999899E-3</v>
      </c>
      <c r="AE183" s="2686">
        <f>0</f>
        <v>0</v>
      </c>
      <c r="AF183" s="2686">
        <f>0</f>
        <v>0</v>
      </c>
      <c r="AG183" s="2686">
        <f>0</f>
        <v>0</v>
      </c>
      <c r="AH183" s="2686">
        <f>0</f>
        <v>0</v>
      </c>
      <c r="AI183" s="2686">
        <f>0</f>
        <v>0</v>
      </c>
      <c r="AJ183" s="2686">
        <f>(1-f_E)*(1-f_C)*i_N_BIO</f>
        <v>5.7960000000000012E-2</v>
      </c>
      <c r="AK183" s="2686">
        <f>0</f>
        <v>0</v>
      </c>
      <c r="AL183" s="2686">
        <f>i_P_BIO-f_E*(1-f_C)*i_P_BIO-f_C*i_P_CB-(1-f_E)*(1-f_C)*i_P_BIO</f>
        <v>1.7999999999999995E-3</v>
      </c>
      <c r="AM183" s="2686">
        <f>0</f>
        <v>0</v>
      </c>
      <c r="AN183" s="2686">
        <f>0</f>
        <v>0</v>
      </c>
      <c r="AO183" s="2686">
        <f>0</f>
        <v>0</v>
      </c>
      <c r="AP183" s="2686">
        <f>(1-f_E)*(1-f_C)*i_P_BIO</f>
        <v>1.6560000000000002E-2</v>
      </c>
      <c r="AQ183" s="2686">
        <f>0</f>
        <v>0</v>
      </c>
      <c r="AR183" s="2686">
        <f>0</f>
        <v>0</v>
      </c>
      <c r="AS183" s="2686">
        <f>0</f>
        <v>0</v>
      </c>
      <c r="AT183" s="2686">
        <f>0</f>
        <v>0</v>
      </c>
      <c r="AU183" s="2686">
        <f>i_CIT_BIO-f_E*(1-f_C)*i_CIT_BIO-(1-f_E)*(1-f_C)*i_CIT_XBe-(1-f_E)*f_C*i_CIT_XBe-f_E*f_C*i_CIT_XBe</f>
        <v>6.1248000000000011E-2</v>
      </c>
      <c r="AV183" s="2686">
        <f>0</f>
        <v>0</v>
      </c>
      <c r="AW183" s="2686">
        <f>0</f>
        <v>0</v>
      </c>
      <c r="AX183" s="2686">
        <f>0</f>
        <v>0</v>
      </c>
      <c r="AY183" s="2686">
        <f>0</f>
        <v>0</v>
      </c>
      <c r="AZ183" s="2686">
        <f>0</f>
        <v>0</v>
      </c>
      <c r="BA183" s="2686">
        <f>0</f>
        <v>0</v>
      </c>
      <c r="BB183" s="2686">
        <f>0</f>
        <v>0</v>
      </c>
      <c r="BC183" s="2686">
        <f>0</f>
        <v>0</v>
      </c>
      <c r="BD183" s="2686">
        <f>0</f>
        <v>0</v>
      </c>
      <c r="BE183" s="2686">
        <f>0</f>
        <v>0</v>
      </c>
      <c r="BF183" s="2686">
        <f>0</f>
        <v>0</v>
      </c>
      <c r="BG183" s="2686">
        <f>0</f>
        <v>0</v>
      </c>
      <c r="BH183" s="2686">
        <f>0</f>
        <v>0</v>
      </c>
      <c r="BI183" s="2686">
        <f>0</f>
        <v>0</v>
      </c>
      <c r="BJ183" s="2771">
        <f>0</f>
        <v>0</v>
      </c>
      <c r="BK183" s="2771">
        <f>0</f>
        <v>0</v>
      </c>
      <c r="BL183" s="2771">
        <f>0</f>
        <v>0</v>
      </c>
      <c r="BM183" s="2771">
        <f>0</f>
        <v>0</v>
      </c>
      <c r="BN183" s="2771">
        <f>0</f>
        <v>0</v>
      </c>
      <c r="BO183" s="2771">
        <f>0</f>
        <v>0</v>
      </c>
      <c r="BP183" s="2771">
        <f>0</f>
        <v>0</v>
      </c>
      <c r="BQ183" s="2686">
        <f>0</f>
        <v>0</v>
      </c>
      <c r="BR183" s="2686">
        <f>0</f>
        <v>0</v>
      </c>
      <c r="BS183" s="2771">
        <f>0</f>
        <v>0</v>
      </c>
      <c r="BT183" s="2686">
        <f>0</f>
        <v>0</v>
      </c>
      <c r="BU183" s="2686">
        <f>0</f>
        <v>0</v>
      </c>
      <c r="BV183" s="2747">
        <f>0</f>
        <v>0</v>
      </c>
      <c r="BW183" s="2747">
        <f>0</f>
        <v>0</v>
      </c>
      <c r="BX183" s="2747">
        <f>0</f>
        <v>0</v>
      </c>
      <c r="BY183" s="2747">
        <f>0</f>
        <v>0</v>
      </c>
      <c r="BZ183" s="2686">
        <f>0</f>
        <v>0</v>
      </c>
      <c r="CA183" s="2686">
        <f>0</f>
        <v>0</v>
      </c>
      <c r="CB183" s="2802">
        <f>0</f>
        <v>0</v>
      </c>
      <c r="CC183" s="2686">
        <f>0</f>
        <v>0</v>
      </c>
      <c r="CD183" s="2686">
        <f>0</f>
        <v>0</v>
      </c>
      <c r="CE183" s="2686">
        <f>0</f>
        <v>0</v>
      </c>
      <c r="CF183" s="2686">
        <f>0</f>
        <v>0</v>
      </c>
      <c r="CG183" s="2686">
        <f>0</f>
        <v>0</v>
      </c>
      <c r="CH183" s="2686">
        <f>0</f>
        <v>0</v>
      </c>
      <c r="CI183" s="2686">
        <f>0</f>
        <v>0</v>
      </c>
      <c r="CJ183" s="2686">
        <f>0</f>
        <v>0</v>
      </c>
      <c r="CK183" s="2686">
        <f>0</f>
        <v>0</v>
      </c>
      <c r="CL183" s="2686">
        <f>0</f>
        <v>0</v>
      </c>
      <c r="CM183" s="2686">
        <f>0</f>
        <v>0</v>
      </c>
      <c r="CN183" s="2686">
        <f>0</f>
        <v>0</v>
      </c>
      <c r="CO183" s="2832">
        <f>b_AMX_T*X_AMX*(η_b_ana*M_inhSNOx_KNOx_AMX*M_inhSO2_KiO2_AMX)</f>
        <v>1.522435897435898E-5</v>
      </c>
      <c r="CQ183" s="2650">
        <f>E248*E183+F248*F183+G248*G183+H248*H183+I248*I183+J248*J183+K248*K183+L248*L183+M248*M183+N248*N183+O248*O183+P248*P183+Q248*Q183+R248*R183+S248*S183+T248*T183+U248*U183+V248*V183+W248*W183+X248*X183+Y248*Y183+Z248*Z183+AA248*AA183+AB248*AB183+AC248*AC183+AD248*AD183+AE248*AE183+AF248*AF183+AG248*AG183+AH248*AH183+AI248*AI183+AJ248*AJ183+AK248*AK183+AL248*AL183+AM248*AM183+AN248*AN183+AO248*AO183+AP248*AP183+AQ248*AQ183+AR248*AR183+AS248*AS183+AT248*AT183+AU248*AU183+AV248*AV183+AW248*AW183+AX248*AX183+AY248*AY183+AZ248*AZ183+BA248*BA183+BB248*BB183+BC248*BC183+BD248*BD183+BE248*BE183+BF248*BF183+BG248*BG183+BH248*BH183+BI248*BI183+BJ248*BJ183+BK248*BK183+BL248*BL183+BM248*BM183+BN248*BN183+BO248*BO183+BP248*BP183+BQ248*BQ183+BR248*BR183+BS248*BS183+BT248*BT183+BU248*BU183+BV248*BV183+BW248*BW183+BX248*BX183+BY248*BY183+BZ248*BZ183+CA248*CA183+CB248*CB183+CC248*CC183+CD248*CD183+CE248*CE183+CF248*CF183+CG248*CG183+CH248*CH183+CI248*CI183+CJ248*CJ183+CK248*CK183+CL248*CL183+CM248*CM183+CN248*CN183</f>
        <v>0</v>
      </c>
      <c r="CR183" s="2650">
        <f>E249*E183+F249*F183+G249*G183+H249*H183+I249*I183+J249*J183+K249*K183+L249*L183+M249*M183+N249*N183+O249*O183+P249*P183+Q249*Q183+R249*R183+S249*S183+T249*T183+U249*U183+V249*V183+W249*W183+X249*X183+Y249*Y183+Z249*Z183+AA249*AA183+AB249*AB183+AC249*AC183+AD249*AD183+AE249*AE183+AF249*AF183+AG249*AG183+AH249*AH183+AI249*AI183+AJ249*AJ183+AK249*AK183+AL249*AL183+AM249*AM183+AN249*AN183+AO249*AO183+AP249*AP183+AQ249*AQ183+AR249*AR183+AS249*AS183+AT249*AT183+AU249*AU183+AV249*AV183+AW249*AW183+AX249*AX183+AY249*AY183+AZ249*AZ183+BA249*BA183+BB249*BB183+BC249*BC183+BD249*BD183+BE249*BE183+BF249*BF183+BG249*BG183+BH249*BH183+BI249*BI183+BJ249*BJ183+BK249*BK183+BL249*BL183+BM249*BM183+BN249*BN183+BO249*BO183+BP249*BP183+BQ249*BQ183+BR249*BR183+BS249*BS183+BT249*BT183+BU249*BU183+BV249*BV183+BW249*BW183+BX249*BX183+BY249*BY183+BZ249*BZ183+CA249*CA183+CB249*CB183+CC249*CC183+CD249*CD183+CE249*CE183+CF249*CF183+CG249*CG183+CH249*CH183+CI249*CI183+CJ249*CJ183+CK249*CK183+CL249*CL183+CM249*CM183+CN249*CN183</f>
        <v>-1.3877787807814457E-17</v>
      </c>
      <c r="CS183" s="2651">
        <f>E250*E183+F250*F183+G250*G183+H250*H183+I250*I183+J250*J183+K250*K183+L250*L183+M250*M183+N250*N183+O250*O183+P250*P183+Q250*Q183+R250*R183+S250*S183+T250*T183+U250*U183+V250*V183+W250*W183+X250*X183+Y250*Y183+Z250*Z183+AA250*AA183+AB250*AB183+AC250*AC183+AD250*AD183+AE250*AE183+AF250*AF183+AG250*AG183+AH250*AH183+AI250*AI183+AJ250*AJ183+AK250*AK183+AL250*AL183+AM250*AM183+AN250*AN183+AO250*AO183+AP250*AP183+AQ250*AQ183+AR250*AR183+AS250*AS183+AT250*AT183+AU250*AU183+AV250*AV183+AW250*AW183+AX250*AX183+AY250*AY183+AZ250*AZ183+BA250*BA183+BB250*BB183+BC250*BC183+BD250*BD183+BE250*BE183+BF250*BF183+BG250*BG183+BH250*BH183+BI250*BI183+BJ250*BJ183+BK250*BK183+BL250*BL183+BM250*BM183+BN250*BN183+BO250*BO183+BP250*BP183+BQ250*BQ183+BR250*BR183+BS250*BS183+BT250*BT183+BU250*BU183+BV250*BV183+BW250*BW183+BX250*BX183+BY250*BY183+BZ250*BZ183+CA250*CA183+CB250*CB183+CC250*CC183+CD250*CD183+CE250*CE183+CF250*CF183+CG250*CG183+CH250*CH183+CI250*CI183+CJ250*CJ183+CK250*CK183+CL250*CL183+CM250*CM183+CN250*CN183</f>
        <v>0</v>
      </c>
      <c r="CT183" s="2652">
        <f>E251*E183+F251*F183+G251*G183+H251*H183+I251*I183+J251*J183+K251*K183+L251*L183+M251*M183+N251*N183+O251*O183+P251*P183+Q251*Q183+R251*R183+S251*S183+T251*T183+U251*U183+V251*V183+W251*W183+X251*X183+Y251*Y183+Z251*Z183+AA251*AA183+AB251*AB183+AC251*AC183+AD251*AD183+AE251*AE183+AF251*AF183+AG251*AG183+AH251*AH183+AI251*AI183+AJ251*AJ183+AK251*AK183+AL251*AL183+AM251*AM183+AN251*AN183+AO251*AO183+AP251*AP183+AQ251*AQ183+AR251*AR183+AS251*AS183+AT251*AT183+AU251*AU183+AV251*AV183+AW251*AW183+AX251*AX183+AY251*AY183+AZ251*AZ183+BA251*BA183+BB251*BB183+BC251*BC183+BD251*BD183+BE251*BE183+BF251*BF183+BG251*BG183+BH251*BH183+BI251*BI183+BJ251*BJ183+BK251*BK183+BL251*BL183+BM251*BM183+BN251*BN183+BO251*BO183+BP251*BP183+BQ251*BQ183+BR251*BR183+BS251*BS183+BT251*BT183+BU251*BU183+BV251*BV183+BW251*BW183+BX251*BX183+BY251*BY183+BZ251*BZ183+CA251*CA183+CB251*CB183+CC251*CC183+CD251*CD183+CE251*CE183+CF251*CF183+CG251*CG183+CH251*CH183+CI251*CI183+CJ251*CJ183+CK251*CK183+CL251*CL183+CM251*CM183+CN251*CN183</f>
        <v>0</v>
      </c>
      <c r="CU183" s="2652">
        <f>E252*E183+F252*F183+G252*G183+H252*H183+I252*I183+J252*J183+K252*K183+L252*L183+M252*M183+N252*N183+O252*O183+P252*P183+Q252*Q183+R252*R183+S252*S183+T252*T183+U252*U183+V252*V183+W252*W183+X252*X183+Y252*Y183+Z252*Z183+AA252*AA183+AB252*AB183+AC252*AC183+AD252*AD183+AE252*AE183+AF252*AF183+AG252*AG183+AH252*AH183+AI252*AI183+AJ252*AJ183+AK252*AK183+AL252*AL183+AM252*AM183+AN252*AN183+AO252*AO183+AP252*AP183+AQ252*AQ183+AR252*AR183+AS252*AS183+AT252*AT183+AU252*AU183+AV252*AV183+AW252*AW183+AX252*AX183+AY252*AY183+AZ252*AZ183+BA252*BA183+BB252*BB183+BC252*BC183+BD252*BD183+BE252*BE183+BF252*BF183+BG252*BG183+BH252*BH183+BI252*BI183+BJ252*BJ183+BK252*BK183+BL252*BL183+BM252*BM183+BN252*BN183+BO252*BO183+BP252*BP183+BQ252*BQ183+BR252*BR183+BS252*BS183+BT252*BT183+BU252*BU183+BV252*BV183+BW252*BW183+BX252*BX183+BY252*BY183+BZ252*BZ183+CA252*CA183+CB252*CB183+CC252*CC183+CD252*CD183+CE252*CE183+CF252*CF183+CG252*CG183+CH252*CH183+CI252*CI183+CJ252*CJ183+CK252*CK183+CL252*CL183+CM252*CM183+CN252*CN183</f>
        <v>0</v>
      </c>
      <c r="CV183" s="2652">
        <f>E253*E183+F253*F183+G253*G183+H253*H183+I253*I183+J253*J183+K253*K183+L253*L183+M253*M183+N253*N183+O253*O183+P253*P183+Q253*Q183+R253*R183+S253*S183+T253*T183+U253*U183+V253*V183+W253*W183+X253*X183+Y253*Y183+Z253*Z183+AA253*AA183+AB253*AB183+AC253*AC183+AD253*AD183+AE253*AE183+AF253*AF183+AG253*AG183+AH253*AH183+AI253*AI183+AJ253*AJ183+AK253*AK183+AL253*AL183+AM253*AM183+AN253*AN183+AO253*AO183+AP253*AP183+AQ253*AQ183+AR253*AR183+AS253*AS183+AT253*AT183+AU253*AU183+AV253*AV183+AW253*AW183+AX253*AX183+AY253*AY183+AZ253*AZ183+BA253*BA183+BB253*BB183+BC253*BC183+BD253*BD183+BE253*BE183+BF253*BF183+BG253*BG183+BH253*BH183+BI253*BI183+BJ253*BJ183+BK253*BK183+BL253*BL183+BM253*BM183+BN253*BN183+BO253*BO183+BP253*BP183+BQ253*BQ183+BR253*BR183+BS253*BS183+BT253*BT183+BU253*BU183+BV253*BV183+BW253*BW183+BX253*BX183+BY253*BY183+BZ253*BZ183+CA253*CA183+CB253*CB183+CC253*CC183+CD253*CD183+CE253*CE183+CF253*CF183+CG253*CG183+CH253*CH183+CI253*CI183+CJ253*CJ183+CK253*CK183+CL253*CL183+CM253*CM183+CN253*CN183</f>
        <v>0</v>
      </c>
      <c r="CW183" s="2652">
        <f>E254*E183+F254*F183+G254*G183+H254*H183+I254*I183+J254*J183+K254*K183+L254*L183+M254*M183+N254*N183+O254*O183+P254*P183+Q254*Q183+R254*R183+S254*S183+T254*T183+U254*U183+V254*V183+W254*W183+X254*X183+Y254*Y183+Z254*Z183+AA254*AA183+AB254*AB183+AC254*AC183+AD254*AD183+AE254*AE183+AF254*AF183+AG254*AG183+AH254*AH183+AI254*AI183+AJ254*AJ183+AK254*AK183+AL254*AL183+AM254*AM183+AN254*AN183+AO254*AO183+AP254*AP183+AQ254*AQ183+AR254*AR183+AS254*AS183+AT254*AT183+AU254*AU183+AV254*AV183+AW254*AW183+AX254*AX183+AY254*AY183+AZ254*AZ183+BA254*BA183+BB254*BB183+BC254*BC183+BD254*BD183+BE254*BE183+BF254*BF183+BG254*BG183+BH254*BH183+BI254*BI183+BJ254*BJ183+BK254*BK183+BL254*BL183+BM254*BM183+BN254*BN183+BO254*BO183+BP254*BP183+BQ254*BQ183+BR254*BR183+BS254*BS183+BT254*BT183+BU254*BU183+BV254*BV183+BW254*BW183+BX254*BX183+BY254*BY183+BZ254*BZ183+CA254*CA183+CB254*CB183+CC254*CC183+CD254*CD183+CE254*CE183+CF254*CF183+CG254*CG183+CH254*CH183+CI254*CI183+CJ254*CJ183+CK254*CK183+CL254*CL183+CM254*CM183+CN254*CN183</f>
        <v>0</v>
      </c>
      <c r="CX183" s="2652">
        <f>E255*E183+F255*F183+G255*G183+H255*H183+I255*I183+J255*J183+K255*K183+L255*L183+M255*M183+N255*N183+O255*O183+P255*P183+Q255*Q183+R255*R183+S255*S183+T255*T183+U255*U183+V255*V183+W255*W183+X255*X183+Y255*Y183+Z255*Z183+AA255*AA183+AB255*AB183+AC255*AC183+AD255*AD183+AE255*AE183+AF255*AF183+AG255*AG183+AH255*AH183+AI255*AI183+AJ255*AJ183+AK255*AK183+AL255*AL183+AM255*AM183+AN255*AN183+AO255*AO183+AP255*AP183+AQ255*AQ183+AR255*AR183+AS255*AS183+AT255*AT183+AU255*AU183+AV255*AV183+AW255*AW183+AX255*AX183+AY255*AY183+AZ255*AZ183+BA255*BA183+BB255*BB183+BC255*BC183+BD255*BD183+BE255*BE183+BF255*BF183+BG255*BG183+BH255*BH183+BI255*BI183+BJ255*BJ183+BK255*BK183+BL255*BL183+BM255*BM183+BN255*BN183+BO255*BO183+BP255*BP183+BQ255*BQ183+BR255*BR183+BS255*BS183+BT255*BT183+BU255*BU183+BV255*BV183+BW255*BW183+BX255*BX183+BY255*BY183+BZ255*BZ183+CA255*CA183+CB255*CB183+CC255*CC183+CD255*CD183+CE255*CE183+CF255*CF183+CG255*CG183+CH255*CH183+CI255*CI183+CJ255*CJ183+CK255*CK183+CL255*CL183+CM255*CM183+CN255*CN183</f>
        <v>0</v>
      </c>
      <c r="CY183" s="2652">
        <f>E256*E183+F256*F183+G256*G183+H256*H183+I256*I183+J256*J183+K256*K183+L256*L183+M256*M183+N256*N183+O256*O183+P256*P183+Q256*Q183+R256*R183+S256*S183+T256*T183+U256*U183+V256*V183+W256*W183+X256*X183+Y256*Y183+Z256*Z183+AA256*AA183+AB256*AB183+AC256*AC183+AD256*AD183+AE256*AE183+AF256*AF183+AG256*AG183+AH256*AH183+AI256*AI183+AJ256*AJ183+AK256*AK183+AL256*AL183+AM256*AM183+AN256*AN183+AO256*AO183+AP256*AP183+AQ256*AQ183+AR256*AR183+AS256*AS183+AT256*AT183+AU256*AU183+AV256*AV183+AW256*AW183+AX256*AX183+AY256*AY183+AZ256*AZ183+BA256*BA183+BB256*BB183+BC256*BC183+BD256*BD183+BE256*BE183+BF256*BF183+BG256*BG183+BH256*BH183+BI256*BI183+BJ256*BJ183+BK256*BK183+BL256*BL183+BM256*BM183+BN256*BN183+BO256*BO183+BP256*BP183+BQ256*BQ183+BR256*BR183+BS256*BS183+BT256*BT183+BU256*BU183+BV256*BV183+BW256*BW183+BX256*BX183+BY256*BY183+BZ256*BZ183+CA256*CA183+CB256*CB183+CC256*CC183+CD256*CD183+CE256*CE183+CF256*CF183+CG256*CG183+CH256*CH183+CI256*CI183+CJ256*CJ183+CK256*CK183+CL256*CL183+CM256*CM183+CN256*CN183</f>
        <v>0</v>
      </c>
      <c r="CZ183" s="2652">
        <f>E257*E183+F257*F183+G257*G183+H257*H183+I257*I183+J257*J183+K257*K183+L257*L183+M257*M183+N257*N183+O257*O183+P257*P183+Q257*Q183+R257*R183+S257*S183+T257*T183+U257*U183+V257*V183+W257*W183+X257*X183+Y257*Y183+Z257*Z183+AA257*AA183+AB257*AB183+AC257*AC183+AD257*AD183+AE257*AE183+AF257*AF183+AG257*AG183+AH257*AH183+AI257*AI183+AJ257*AJ183+AK257*AK183+AL257*AL183+AM257*AM183+AN257*AN183+AO257*AO183+AP257*AP183+AQ257*AQ183+AR257*AR183+AS257*AS183+AT257*AT183+AU257*AU183+AV257*AV183+AW257*AW183+AX257*AX183+AY257*AY183+AZ257*AZ183+BA257*BA183+BB257*BB183+BC257*BC183+BD257*BD183+BE257*BE183+BF257*BF183+BG257*BG183+BH257*BH183+BI257*BI183+BJ257*BJ183+BK257*BK183+BL257*BL183+BM257*BM183+BN257*BN183+BO257*BO183+BP257*BP183+BQ257*BQ183+BR257*BR183+BS257*BS183+BT257*BT183+BU257*BU183+BV257*BV183+BW257*BW183+BX257*BX183+BY257*BY183+BZ257*BZ183+CA257*CA183+CB257*CB183+CC257*CC183+CD257*CD183+CE257*CE183+CF257*CF183+CG257*CG183+CH257*CH183+CI257*CI183+CJ257*CJ183+CK257*CK183+CL257*CL183+CM257*CM183+CN257*CN183</f>
        <v>0</v>
      </c>
      <c r="DA183" s="2652">
        <f>E258*E183+F258*F183+G258*G183+H258*H183+I258*I183+J258*J183+K258*K183+L258*L183+M258*M183+N258*N183+O258*O183+P258*P183+Q258*Q183+R258*R183+S258*S183+T258*T183+U258*U183+V258*V183+W258*W183+X258*X183+Y258*Y183+Z258*Z183+AA258*AA183+AB258*AB183+AC258*AC183+AD258*AD183+AE258*AE183+AF258*AF183+AG258*AG183+AH258*AH183+AI258*AI183+AJ258*AJ183+AK258*AK183+AL258*AL183+AM258*AM183+AN258*AN183+AO258*AO183+AP258*AP183+AQ258*AQ183+AR258*AR183+AS258*AS183+AT258*AT183+AU258*AU183+AV258*AV183+AW258*AW183+AX258*AX183+AY258*AY183+AZ258*AZ183+BA258*BA183+BB258*BB183+BC258*BC183+BD258*BD183+BE258*BE183+BF258*BF183+BG258*BG183+BH258*BH183+BI258*BI183+BJ258*BJ183+BK258*BK183+BL258*BL183+BM258*BM183+BN258*BN183+BO258*BO183+BP258*BP183+BQ258*BQ183+BR258*BR183+BS258*BS183+BT258*BT183+BU258*BU183+BV258*BV183+BW258*BW183+BX258*BX183+BY258*BY183+BZ258*BZ183+CA258*CA183+CB258*CB183+CC258*CC183+CD258*CD183+CE258*CE183+CF258*CF183+CG258*CG183+CH258*CH183+CI258*CI183+CJ258*CJ183+CK258*CK183+CL258*CL183+CM258*CM183+CN258*CN183</f>
        <v>0</v>
      </c>
    </row>
    <row r="184" spans="2:105" ht="18" x14ac:dyDescent="0.25">
      <c r="B184" s="1087">
        <v>51</v>
      </c>
      <c r="C184" s="1077" t="s">
        <v>2103</v>
      </c>
      <c r="D184" s="825" t="s">
        <v>306</v>
      </c>
      <c r="E184" s="2687">
        <f>-1/Y_AMETO</f>
        <v>-10</v>
      </c>
      <c r="F184" s="2687">
        <f>0</f>
        <v>0</v>
      </c>
      <c r="G184" s="2688">
        <f>0</f>
        <v>0</v>
      </c>
      <c r="H184" s="2688">
        <f>0</f>
        <v>0</v>
      </c>
      <c r="I184" s="2688">
        <f>0</f>
        <v>0</v>
      </c>
      <c r="J184" s="2688">
        <f>0</f>
        <v>0</v>
      </c>
      <c r="K184" s="2688">
        <f>0</f>
        <v>0</v>
      </c>
      <c r="L184" s="2688">
        <f>0</f>
        <v>0</v>
      </c>
      <c r="M184" s="2688">
        <f>0</f>
        <v>0</v>
      </c>
      <c r="N184" s="2688">
        <f>0</f>
        <v>0</v>
      </c>
      <c r="O184" s="2688">
        <f>0</f>
        <v>0</v>
      </c>
      <c r="P184" s="2688">
        <f>0</f>
        <v>0</v>
      </c>
      <c r="Q184" s="2688">
        <f>0</f>
        <v>0</v>
      </c>
      <c r="R184" s="2688">
        <f>0</f>
        <v>0</v>
      </c>
      <c r="S184" s="2688">
        <f>0</f>
        <v>0</v>
      </c>
      <c r="T184" s="2688">
        <f>0</f>
        <v>0</v>
      </c>
      <c r="U184" s="2688">
        <f>0</f>
        <v>0</v>
      </c>
      <c r="V184" s="2688">
        <f>0</f>
        <v>0</v>
      </c>
      <c r="W184" s="2688">
        <f>0</f>
        <v>0</v>
      </c>
      <c r="X184" s="2688">
        <f>0</f>
        <v>0</v>
      </c>
      <c r="Y184" s="2688">
        <f>0</f>
        <v>0</v>
      </c>
      <c r="Z184" s="2688">
        <f>0</f>
        <v>0</v>
      </c>
      <c r="AA184" s="2688">
        <f>1</f>
        <v>1</v>
      </c>
      <c r="AB184" s="2688">
        <f>0</f>
        <v>0</v>
      </c>
      <c r="AC184" s="2748">
        <f>0</f>
        <v>0</v>
      </c>
      <c r="AD184" s="2688">
        <f>-i_N_BIO</f>
        <v>-7.0000000000000007E-2</v>
      </c>
      <c r="AE184" s="2688">
        <f>0</f>
        <v>0</v>
      </c>
      <c r="AF184" s="2688">
        <f>0</f>
        <v>0</v>
      </c>
      <c r="AG184" s="2688">
        <f>0</f>
        <v>0</v>
      </c>
      <c r="AH184" s="2688">
        <f>0</f>
        <v>0</v>
      </c>
      <c r="AI184" s="2688">
        <f>0</f>
        <v>0</v>
      </c>
      <c r="AJ184" s="2688">
        <f>0</f>
        <v>0</v>
      </c>
      <c r="AK184" s="2688">
        <f>0</f>
        <v>0</v>
      </c>
      <c r="AL184" s="2687">
        <f>-i_P_BIO</f>
        <v>-0.02</v>
      </c>
      <c r="AM184" s="2688">
        <f>0</f>
        <v>0</v>
      </c>
      <c r="AN184" s="2688">
        <f>0</f>
        <v>0</v>
      </c>
      <c r="AO184" s="2688">
        <f>0</f>
        <v>0</v>
      </c>
      <c r="AP184" s="2688">
        <f>0</f>
        <v>0</v>
      </c>
      <c r="AQ184" s="2688">
        <f>0</f>
        <v>0</v>
      </c>
      <c r="AR184" s="2688">
        <f>0</f>
        <v>0</v>
      </c>
      <c r="AS184" s="2688">
        <f>(1-Y_AMETO)/Y_AMETO</f>
        <v>9</v>
      </c>
      <c r="AT184" s="2688">
        <f>0</f>
        <v>0</v>
      </c>
      <c r="AU184" s="2688">
        <f>i_CIT_VFA*1/Y_AMETO-i_CIT_BIO-i_CIT_CH4*(1-Y_AMETO)/Y_AMETO</f>
        <v>1.706</v>
      </c>
      <c r="AV184" s="2687">
        <f>i_INORG</f>
        <v>0.11</v>
      </c>
      <c r="AW184" s="2687">
        <f>-i_INORG*(1-i_Ca_INORG*(A_MCa+2*A_MCl)/A_MCa-i_Mg_INORG*(A_MMg+2*A_MCl)/A_MMg)*f_Na</f>
        <v>-2.8804303582798466E-2</v>
      </c>
      <c r="AX184" s="2687">
        <f>-i_INORG*(i_Ca_INORG*(2*A_MCl)/A_MCa+i_Mg_INORG*(2*A_MCl)/A_MMg)-i_INORG*(1-i_Ca_INORG*(A_MCa+2*A_MCl)/A_MCa-i_Mg_INORG*(A_MMg+2*A_MCl)/A_MMg)*(1-f_Na)</f>
        <v>-7.0195696417201539E-2</v>
      </c>
      <c r="AY184" s="2687">
        <f>-i_INORG*i_Ca_INORG</f>
        <v>-5.5000000000000005E-3</v>
      </c>
      <c r="AZ184" s="2687">
        <f>-i_INORG*i_Mg_INORG</f>
        <v>-5.5000000000000005E-3</v>
      </c>
      <c r="BA184" s="2687">
        <f>0</f>
        <v>0</v>
      </c>
      <c r="BB184" s="2687">
        <f>0</f>
        <v>0</v>
      </c>
      <c r="BC184" s="2687">
        <f>0</f>
        <v>0</v>
      </c>
      <c r="BD184" s="2687">
        <f>0</f>
        <v>0</v>
      </c>
      <c r="BE184" s="2687">
        <f>0</f>
        <v>0</v>
      </c>
      <c r="BF184" s="2687">
        <f>0</f>
        <v>0</v>
      </c>
      <c r="BG184" s="2687">
        <f>0</f>
        <v>0</v>
      </c>
      <c r="BH184" s="2687">
        <f>0</f>
        <v>0</v>
      </c>
      <c r="BI184" s="2687">
        <f>0</f>
        <v>0</v>
      </c>
      <c r="BJ184" s="2772">
        <f>0</f>
        <v>0</v>
      </c>
      <c r="BK184" s="2772">
        <f>0</f>
        <v>0</v>
      </c>
      <c r="BL184" s="2772">
        <f>0</f>
        <v>0</v>
      </c>
      <c r="BM184" s="2772">
        <f>0</f>
        <v>0</v>
      </c>
      <c r="BN184" s="2772">
        <f>0</f>
        <v>0</v>
      </c>
      <c r="BO184" s="2772">
        <f>0</f>
        <v>0</v>
      </c>
      <c r="BP184" s="2772">
        <f>0</f>
        <v>0</v>
      </c>
      <c r="BQ184" s="2687">
        <f>0</f>
        <v>0</v>
      </c>
      <c r="BR184" s="2687">
        <f>0</f>
        <v>0</v>
      </c>
      <c r="BS184" s="2772">
        <f>0</f>
        <v>0</v>
      </c>
      <c r="BT184" s="2687">
        <f>0</f>
        <v>0</v>
      </c>
      <c r="BU184" s="2687">
        <f>0</f>
        <v>0</v>
      </c>
      <c r="BV184" s="2788">
        <f>0</f>
        <v>0</v>
      </c>
      <c r="BW184" s="2788">
        <f>0</f>
        <v>0</v>
      </c>
      <c r="BX184" s="2788">
        <f>0</f>
        <v>0</v>
      </c>
      <c r="BY184" s="2788">
        <f>0</f>
        <v>0</v>
      </c>
      <c r="BZ184" s="2687">
        <f>0</f>
        <v>0</v>
      </c>
      <c r="CA184" s="2687">
        <f>0</f>
        <v>0</v>
      </c>
      <c r="CB184" s="2803">
        <f>0</f>
        <v>0</v>
      </c>
      <c r="CC184" s="2687">
        <f>0</f>
        <v>0</v>
      </c>
      <c r="CD184" s="2687">
        <f>0</f>
        <v>0</v>
      </c>
      <c r="CE184" s="2687">
        <f>0</f>
        <v>0</v>
      </c>
      <c r="CF184" s="2687">
        <f>0</f>
        <v>0</v>
      </c>
      <c r="CG184" s="2687">
        <f>0</f>
        <v>0</v>
      </c>
      <c r="CH184" s="2687">
        <f>0</f>
        <v>0</v>
      </c>
      <c r="CI184" s="2687">
        <f>0</f>
        <v>0</v>
      </c>
      <c r="CJ184" s="2687">
        <f>0</f>
        <v>0</v>
      </c>
      <c r="CK184" s="2687">
        <f>0</f>
        <v>0</v>
      </c>
      <c r="CL184" s="2687">
        <f>0</f>
        <v>0</v>
      </c>
      <c r="CM184" s="2687">
        <f>0</f>
        <v>0</v>
      </c>
      <c r="CN184" s="2687">
        <f>0</f>
        <v>0</v>
      </c>
      <c r="CO184" s="2833">
        <f>µ_AMETO_T*X_AMETO*H_satSVFA_AMETO*M_inhSO2_KiO2_AMETO*M_inhSNOx_KNO3_AMETO*L_oginhpHNH3_AMETO*M_satSNHx_KNHx_BIO*M_satSPO4_KPO4_BIO*M_satSCAT_KCAT*M_satSAN_KAN*M_satSCa_KCa*M_satSMg_KMg*B_ellinhpH_AMETO</f>
        <v>5.2580491000979624E-10</v>
      </c>
      <c r="CQ184" s="2650">
        <f>E248*E184+F248*F184+G248*G184+H248*H184+I248*I184+J248*J184+K248*K184+L248*L184+M248*M184+N248*N184+O248*O184+P248*P184+Q248*Q184+R248*R184+S248*S184+T248*T184+U248*U184+V248*V184+W248*W184+X248*X184+Y248*Y184+Z248*Z184+AA248*AA184+AB248*AB184+AC248*AC184+AD248*AD184+AE248*AE184+AF248*AF184+AG248*AG184+AH248*AH184+AI248*AI184+AJ248*AJ184+AK248*AK184+AL248*AL184+AM248*AM184+AN248*AN184+AO248*AO184+AP248*AP184+AQ248*AQ184+AR248*AR184+AS248*AS184+AT248*AT184+AU248*AU184+AV248*AV184+AW248*AW184+AX248*AX184+AY248*AY184+AZ248*AZ184+BA248*BA184+BB248*BB184+BC248*BC184+BD248*BD184+BE248*BE184+BF248*BF184+BG248*BG184+BH248*BH184+BI248*BI184+BJ248*BJ184+BK248*BK184+BL248*BL184+BM248*BM184+BN248*BN184+BO248*BO184+BP248*BP184+BQ248*BQ184+BR248*BR184+BS248*BS184+BT248*BT184+BU248*BU184+BV248*BV184+BW248*BW184+BX248*BX184+BY248*BY184+BZ248*BZ184+CA248*CA184+CB248*CB184+CC248*CC184+CD248*CD184+CE248*CE184+CF248*CF184+CG248*CG184+CH248*CH184+CI248*CI184+CJ248*CJ184+CK248*CK184+CL248*CL184+CM248*CM184+CN248*CN184</f>
        <v>0</v>
      </c>
      <c r="CR184" s="2650">
        <f>E249*E184+F249*F184+G249*G184+H249*H184+I249*I184+J249*J184+K249*K184+L249*L184+M249*M184+N249*N184+O249*O184+P249*P184+Q249*Q184+R249*R184+S249*S184+T249*T184+U249*U184+V249*V184+W249*W184+X249*X184+Y249*Y184+Z249*Z184+AA249*AA184+AB249*AB184+AC249*AC184+AD249*AD184+AE249*AE184+AF249*AF184+AG249*AG184+AH249*AH184+AI249*AI184+AJ249*AJ184+AK249*AK184+AL249*AL184+AM249*AM184+AN249*AN184+AO249*AO184+AP249*AP184+AQ249*AQ184+AR249*AR184+AS249*AS184+AT249*AT184+AU249*AU184+AV249*AV184+AW249*AW184+AX249*AX184+AY249*AY184+AZ249*AZ184+BA249*BA184+BB249*BB184+BC249*BC184+BD249*BD184+BE249*BE184+BF249*BF184+BG249*BG184+BH249*BH184+BI249*BI184+BJ249*BJ184+BK249*BK184+BL249*BL184+BM249*BM184+BN249*BN184+BO249*BO184+BP249*BP184+BQ249*BQ184+BR249*BR184+BS249*BS184+BT249*BT184+BU249*BU184+BV249*BV184+BW249*BW184+BX249*BX184+BY249*BY184+BZ249*BZ184+CA249*CA184+CB249*CB184+CC249*CC184+CD249*CD184+CE249*CE184+CF249*CF184+CG249*CG184+CH249*CH184+CI249*CI184+CJ249*CJ184+CK249*CK184+CL249*CL184+CM249*CM184+CN249*CN184</f>
        <v>-2.2204460492503131E-16</v>
      </c>
      <c r="CS184" s="2651">
        <f>E250*E184+F250*F184+G250*G184+H250*H184+I250*I184+J250*J184+K250*K184+L250*L184+M250*M184+N250*N184+O250*O184+P250*P184+Q250*Q184+R250*R184+S250*S184+T250*T184+U250*U184+V250*V184+W250*W184+X250*X184+Y250*Y184+Z250*Z184+AA250*AA184+AB250*AB184+AC250*AC184+AD250*AD184+AE250*AE184+AF250*AF184+AG250*AG184+AH250*AH184+AI250*AI184+AJ250*AJ184+AK250*AK184+AL250*AL184+AM250*AM184+AN250*AN184+AO250*AO184+AP250*AP184+AQ250*AQ184+AR250*AR184+AS250*AS184+AT250*AT184+AU250*AU184+AV250*AV184+AW250*AW184+AX250*AX184+AY250*AY184+AZ250*AZ184+BA250*BA184+BB250*BB184+BC250*BC184+BD250*BD184+BE250*BE184+BF250*BF184+BG250*BG184+BH250*BH184+BI250*BI184+BJ250*BJ184+BK250*BK184+BL250*BL184+BM250*BM184+BN250*BN184+BO250*BO184+BP250*BP184+BQ250*BQ184+BR250*BR184+BS250*BS184+BT250*BT184+BU250*BU184+BV250*BV184+BW250*BW184+BX250*BX184+BY250*BY184+BZ250*BZ184+CA250*CA184+CB250*CB184+CC250*CC184+CD250*CD184+CE250*CE184+CF250*CF184+CG250*CG184+CH250*CH184+CI250*CI184+CJ250*CJ184+CK250*CK184+CL250*CL184+CM250*CM184+CN250*CN184</f>
        <v>0</v>
      </c>
      <c r="CT184" s="2652">
        <f>E251*E184+F251*F184+G251*G184+H251*H184+I251*I184+J251*J184+K251*K184+L251*L184+M251*M184+N251*N184+O251*O184+P251*P184+Q251*Q184+R251*R184+S251*S184+T251*T184+U251*U184+V251*V184+W251*W184+X251*X184+Y251*Y184+Z251*Z184+AA251*AA184+AB251*AB184+AC251*AC184+AD251*AD184+AE251*AE184+AF251*AF184+AG251*AG184+AH251*AH184+AI251*AI184+AJ251*AJ184+AK251*AK184+AL251*AL184+AM251*AM184+AN251*AN184+AO251*AO184+AP251*AP184+AQ251*AQ184+AR251*AR184+AS251*AS184+AT251*AT184+AU251*AU184+AV251*AV184+AW251*AW184+AX251*AX184+AY251*AY184+AZ251*AZ184+BA251*BA184+BB251*BB184+BC251*BC184+BD251*BD184+BE251*BE184+BF251*BF184+BG251*BG184+BH251*BH184+BI251*BI184+BJ251*BJ184+BK251*BK184+BL251*BL184+BM251*BM184+BN251*BN184+BO251*BO184+BP251*BP184+BQ251*BQ184+BR251*BR184+BS251*BS184+BT251*BT184+BU251*BU184+BV251*BV184+BW251*BW184+BX251*BX184+BY251*BY184+BZ251*BZ184+CA251*CA184+CB251*CB184+CC251*CC184+CD251*CD184+CE251*CE184+CF251*CF184+CG251*CG184+CH251*CH184+CI251*CI184+CJ251*CJ184+CK251*CK184+CL251*CL184+CM251*CM184+CN251*CN184</f>
        <v>0</v>
      </c>
      <c r="CU184" s="2652">
        <f>E252*E184+F252*F184+G252*G184+H252*H184+I252*I184+J252*J184+K252*K184+L252*L184+M252*M184+N252*N184+O252*O184+P252*P184+Q252*Q184+R252*R184+S252*S184+T252*T184+U252*U184+V252*V184+W252*W184+X252*X184+Y252*Y184+Z252*Z184+AA252*AA184+AB252*AB184+AC252*AC184+AD252*AD184+AE252*AE184+AF252*AF184+AG252*AG184+AH252*AH184+AI252*AI184+AJ252*AJ184+AK252*AK184+AL252*AL184+AM252*AM184+AN252*AN184+AO252*AO184+AP252*AP184+AQ252*AQ184+AR252*AR184+AS252*AS184+AT252*AT184+AU252*AU184+AV252*AV184+AW252*AW184+AX252*AX184+AY252*AY184+AZ252*AZ184+BA252*BA184+BB252*BB184+BC252*BC184+BD252*BD184+BE252*BE184+BF252*BF184+BG252*BG184+BH252*BH184+BI252*BI184+BJ252*BJ184+BK252*BK184+BL252*BL184+BM252*BM184+BN252*BN184+BO252*BO184+BP252*BP184+BQ252*BQ184+BR252*BR184+BS252*BS184+BT252*BT184+BU252*BU184+BV252*BV184+BW252*BW184+BX252*BX184+BY252*BY184+BZ252*BZ184+CA252*CA184+CB252*CB184+CC252*CC184+CD252*CD184+CE252*CE184+CF252*CF184+CG252*CG184+CH252*CH184+CI252*CI184+CJ252*CJ184+CK252*CK184+CL252*CL184+CM252*CM184+CN252*CN184</f>
        <v>0</v>
      </c>
      <c r="CV184" s="2652">
        <f>E253*E184+F253*F184+G253*G184+H253*H184+I253*I184+J253*J184+K253*K184+L253*L184+M253*M184+N253*N184+O253*O184+P253*P184+Q253*Q184+R253*R184+S253*S184+T253*T184+U253*U184+V253*V184+W253*W184+X253*X184+Y253*Y184+Z253*Z184+AA253*AA184+AB253*AB184+AC253*AC184+AD253*AD184+AE253*AE184+AF253*AF184+AG253*AG184+AH253*AH184+AI253*AI184+AJ253*AJ184+AK253*AK184+AL253*AL184+AM253*AM184+AN253*AN184+AO253*AO184+AP253*AP184+AQ253*AQ184+AR253*AR184+AS253*AS184+AT253*AT184+AU253*AU184+AV253*AV184+AW253*AW184+AX253*AX184+AY253*AY184+AZ253*AZ184+BA253*BA184+BB253*BB184+BC253*BC184+BD253*BD184+BE253*BE184+BF253*BF184+BG253*BG184+BH253*BH184+BI253*BI184+BJ253*BJ184+BK253*BK184+BL253*BL184+BM253*BM184+BN253*BN184+BO253*BO184+BP253*BP184+BQ253*BQ184+BR253*BR184+BS253*BS184+BT253*BT184+BU253*BU184+BV253*BV184+BW253*BW184+BX253*BX184+BY253*BY184+BZ253*BZ184+CA253*CA184+CB253*CB184+CC253*CC184+CD253*CD184+CE253*CE184+CF253*CF184+CG253*CG184+CH253*CH184+CI253*CI184+CJ253*CJ184+CK253*CK184+CL253*CL184+CM253*CM184+CN253*CN184</f>
        <v>0</v>
      </c>
      <c r="CW184" s="2652">
        <f>E254*E184+F254*F184+G254*G184+H254*H184+I254*I184+J254*J184+K254*K184+L254*L184+M254*M184+N254*N184+O254*O184+P254*P184+Q254*Q184+R254*R184+S254*S184+T254*T184+U254*U184+V254*V184+W254*W184+X254*X184+Y254*Y184+Z254*Z184+AA254*AA184+AB254*AB184+AC254*AC184+AD254*AD184+AE254*AE184+AF254*AF184+AG254*AG184+AH254*AH184+AI254*AI184+AJ254*AJ184+AK254*AK184+AL254*AL184+AM254*AM184+AN254*AN184+AO254*AO184+AP254*AP184+AQ254*AQ184+AR254*AR184+AS254*AS184+AT254*AT184+AU254*AU184+AV254*AV184+AW254*AW184+AX254*AX184+AY254*AY184+AZ254*AZ184+BA254*BA184+BB254*BB184+BC254*BC184+BD254*BD184+BE254*BE184+BF254*BF184+BG254*BG184+BH254*BH184+BI254*BI184+BJ254*BJ184+BK254*BK184+BL254*BL184+BM254*BM184+BN254*BN184+BO254*BO184+BP254*BP184+BQ254*BQ184+BR254*BR184+BS254*BS184+BT254*BT184+BU254*BU184+BV254*BV184+BW254*BW184+BX254*BX184+BY254*BY184+BZ254*BZ184+CA254*CA184+CB254*CB184+CC254*CC184+CD254*CD184+CE254*CE184+CF254*CF184+CG254*CG184+CH254*CH184+CI254*CI184+CJ254*CJ184+CK254*CK184+CL254*CL184+CM254*CM184+CN254*CN184</f>
        <v>0</v>
      </c>
      <c r="CX184" s="2652">
        <f>E255*E184+F255*F184+G255*G184+H255*H184+I255*I184+J255*J184+K255*K184+L255*L184+M255*M184+N255*N184+O255*O184+P255*P184+Q255*Q184+R255*R184+S255*S184+T255*T184+U255*U184+V255*V184+W255*W184+X255*X184+Y255*Y184+Z255*Z184+AA255*AA184+AB255*AB184+AC255*AC184+AD255*AD184+AE255*AE184+AF255*AF184+AG255*AG184+AH255*AH184+AI255*AI184+AJ255*AJ184+AK255*AK184+AL255*AL184+AM255*AM184+AN255*AN184+AO255*AO184+AP255*AP184+AQ255*AQ184+AR255*AR184+AS255*AS184+AT255*AT184+AU255*AU184+AV255*AV184+AW255*AW184+AX255*AX184+AY255*AY184+AZ255*AZ184+BA255*BA184+BB255*BB184+BC255*BC184+BD255*BD184+BE255*BE184+BF255*BF184+BG255*BG184+BH255*BH184+BI255*BI184+BJ255*BJ184+BK255*BK184+BL255*BL184+BM255*BM184+BN255*BN184+BO255*BO184+BP255*BP184+BQ255*BQ184+BR255*BR184+BS255*BS184+BT255*BT184+BU255*BU184+BV255*BV184+BW255*BW184+BX255*BX184+BY255*BY184+BZ255*BZ184+CA255*CA184+CB255*CB184+CC255*CC184+CD255*CD184+CE255*CE184+CF255*CF184+CG255*CG184+CH255*CH184+CI255*CI184+CJ255*CJ184+CK255*CK184+CL255*CL184+CM255*CM184+CN255*CN184</f>
        <v>0</v>
      </c>
      <c r="CY184" s="2652">
        <f>E256*E184+F256*F184+G256*G184+H256*H184+I256*I184+J256*J184+K256*K184+L256*L184+M256*M184+N256*N184+O256*O184+P256*P184+Q256*Q184+R256*R184+S256*S184+T256*T184+U256*U184+V256*V184+W256*W184+X256*X184+Y256*Y184+Z256*Z184+AA256*AA184+AB256*AB184+AC256*AC184+AD256*AD184+AE256*AE184+AF256*AF184+AG256*AG184+AH256*AH184+AI256*AI184+AJ256*AJ184+AK256*AK184+AL256*AL184+AM256*AM184+AN256*AN184+AO256*AO184+AP256*AP184+AQ256*AQ184+AR256*AR184+AS256*AS184+AT256*AT184+AU256*AU184+AV256*AV184+AW256*AW184+AX256*AX184+AY256*AY184+AZ256*AZ184+BA256*BA184+BB256*BB184+BC256*BC184+BD256*BD184+BE256*BE184+BF256*BF184+BG256*BG184+BH256*BH184+BI256*BI184+BJ256*BJ184+BK256*BK184+BL256*BL184+BM256*BM184+BN256*BN184+BO256*BO184+BP256*BP184+BQ256*BQ184+BR256*BR184+BS256*BS184+BT256*BT184+BU256*BU184+BV256*BV184+BW256*BW184+BX256*BX184+BY256*BY184+BZ256*BZ184+CA256*CA184+CB256*CB184+CC256*CC184+CD256*CD184+CE256*CE184+CF256*CF184+CG256*CG184+CH256*CH184+CI256*CI184+CJ256*CJ184+CK256*CK184+CL256*CL184+CM256*CM184+CN256*CN184</f>
        <v>0</v>
      </c>
      <c r="CZ184" s="2652">
        <f>E257*E184+F257*F184+G257*G184+H257*H184+I257*I184+J257*J184+K257*K184+L257*L184+M257*M184+N257*N184+O257*O184+P257*P184+Q257*Q184+R257*R184+S257*S184+T257*T184+U257*U184+V257*V184+W257*W184+X257*X184+Y257*Y184+Z257*Z184+AA257*AA184+AB257*AB184+AC257*AC184+AD257*AD184+AE257*AE184+AF257*AF184+AG257*AG184+AH257*AH184+AI257*AI184+AJ257*AJ184+AK257*AK184+AL257*AL184+AM257*AM184+AN257*AN184+AO257*AO184+AP257*AP184+AQ257*AQ184+AR257*AR184+AS257*AS184+AT257*AT184+AU257*AU184+AV257*AV184+AW257*AW184+AX257*AX184+AY257*AY184+AZ257*AZ184+BA257*BA184+BB257*BB184+BC257*BC184+BD257*BD184+BE257*BE184+BF257*BF184+BG257*BG184+BH257*BH184+BI257*BI184+BJ257*BJ184+BK257*BK184+BL257*BL184+BM257*BM184+BN257*BN184+BO257*BO184+BP257*BP184+BQ257*BQ184+BR257*BR184+BS257*BS184+BT257*BT184+BU257*BU184+BV257*BV184+BW257*BW184+BX257*BX184+BY257*BY184+BZ257*BZ184+CA257*CA184+CB257*CB184+CC257*CC184+CD257*CD184+CE257*CE184+CF257*CF184+CG257*CG184+CH257*CH184+CI257*CI184+CJ257*CJ184+CK257*CK184+CL257*CL184+CM257*CM184+CN257*CN184</f>
        <v>0</v>
      </c>
      <c r="DA184" s="2652">
        <f>E258*E184+F258*F184+G258*G184+H258*H184+I258*I184+J258*J184+K258*K184+L258*L184+M258*M184+N258*N184+O258*O184+P258*P184+Q258*Q184+R258*R184+S258*S184+T258*T184+U258*U184+V258*V184+W258*W184+X258*X184+Y258*Y184+Z258*Z184+AA258*AA184+AB258*AB184+AC258*AC184+AD258*AD184+AE258*AE184+AF258*AF184+AG258*AG184+AH258*AH184+AI258*AI184+AJ258*AJ184+AK258*AK184+AL258*AL184+AM258*AM184+AN258*AN184+AO258*AO184+AP258*AP184+AQ258*AQ184+AR258*AR184+AS258*AS184+AT258*AT184+AU258*AU184+AV258*AV184+AW258*AW184+AX258*AX184+AY258*AY184+AZ258*AZ184+BA258*BA184+BB258*BB184+BC258*BC184+BD258*BD184+BE258*BE184+BF258*BF184+BG258*BG184+BH258*BH184+BI258*BI184+BJ258*BJ184+BK258*BK184+BL258*BL184+BM258*BM184+BN258*BN184+BO258*BO184+BP258*BP184+BQ258*BQ184+BR258*BR184+BS258*BS184+BT258*BT184+BU258*BU184+BV258*BV184+BW258*BW184+BX258*BX184+BY258*BY184+BZ258*BZ184+CA258*CA184+CB258*CB184+CC258*CC184+CD258*CD184+CE258*CE184+CF258*CF184+CG258*CG184+CH258*CH184+CI258*CI184+CJ258*CJ184+CK258*CK184+CL258*CL184+CM258*CM184+CN258*CN184</f>
        <v>0</v>
      </c>
    </row>
    <row r="185" spans="2:105" ht="18" x14ac:dyDescent="0.25">
      <c r="B185" s="1087">
        <v>52</v>
      </c>
      <c r="C185" s="1077" t="s">
        <v>2104</v>
      </c>
      <c r="D185" s="825" t="s">
        <v>294</v>
      </c>
      <c r="E185" s="2688">
        <f>0</f>
        <v>0</v>
      </c>
      <c r="F185" s="2688">
        <f>0</f>
        <v>0</v>
      </c>
      <c r="G185" s="2688">
        <f>0</f>
        <v>0</v>
      </c>
      <c r="H185" s="2688">
        <f>0</f>
        <v>0</v>
      </c>
      <c r="I185" s="2717">
        <f>f_C</f>
        <v>0.1</v>
      </c>
      <c r="J185" s="2688">
        <f>0</f>
        <v>0</v>
      </c>
      <c r="K185" s="2688">
        <f>(1-f_E)*(1-f_C)</f>
        <v>0.82800000000000007</v>
      </c>
      <c r="L185" s="2688">
        <f>0</f>
        <v>0</v>
      </c>
      <c r="M185" s="2688">
        <f>0</f>
        <v>0</v>
      </c>
      <c r="N185" s="2688">
        <f>0</f>
        <v>0</v>
      </c>
      <c r="O185" s="2688">
        <f>0</f>
        <v>0</v>
      </c>
      <c r="P185" s="2688">
        <f>0</f>
        <v>0</v>
      </c>
      <c r="Q185" s="2688">
        <f>0</f>
        <v>0</v>
      </c>
      <c r="R185" s="2688">
        <f>f_E*(1-f_C)</f>
        <v>7.2000000000000008E-2</v>
      </c>
      <c r="S185" s="2688">
        <f>0</f>
        <v>0</v>
      </c>
      <c r="T185" s="2688">
        <f>0</f>
        <v>0</v>
      </c>
      <c r="U185" s="2688">
        <f>0</f>
        <v>0</v>
      </c>
      <c r="V185" s="2688">
        <f>0</f>
        <v>0</v>
      </c>
      <c r="W185" s="2688">
        <f>0</f>
        <v>0</v>
      </c>
      <c r="X185" s="2688">
        <f>0</f>
        <v>0</v>
      </c>
      <c r="Y185" s="2688">
        <f>0</f>
        <v>0</v>
      </c>
      <c r="Z185" s="2688">
        <f>0</f>
        <v>0</v>
      </c>
      <c r="AA185" s="2688">
        <f>-1</f>
        <v>-1</v>
      </c>
      <c r="AB185" s="2688">
        <f>0</f>
        <v>0</v>
      </c>
      <c r="AC185" s="2748">
        <f>0</f>
        <v>0</v>
      </c>
      <c r="AD185" s="2688">
        <f>i_N_BIO-f_E*(1-f_C)*i_N_XE-f_C*i_N_CB-(1-f_E)*(1-f_C)*i_N_BIO</f>
        <v>6.7199999999999899E-3</v>
      </c>
      <c r="AE185" s="2688">
        <f>0</f>
        <v>0</v>
      </c>
      <c r="AF185" s="2688">
        <f>0</f>
        <v>0</v>
      </c>
      <c r="AG185" s="2688">
        <f>0</f>
        <v>0</v>
      </c>
      <c r="AH185" s="2688">
        <f>0</f>
        <v>0</v>
      </c>
      <c r="AI185" s="2688">
        <f>0</f>
        <v>0</v>
      </c>
      <c r="AJ185" s="2688">
        <f>(1-f_E)*(1-f_C)*i_N_BIO</f>
        <v>5.7960000000000012E-2</v>
      </c>
      <c r="AK185" s="2688">
        <f>0</f>
        <v>0</v>
      </c>
      <c r="AL185" s="2688">
        <f>i_P_BIO-f_E*(1-f_C)*i_P_BIO-f_C*i_P_CB-(1-f_E)*(1-f_C)*i_P_BIO</f>
        <v>1.7999999999999995E-3</v>
      </c>
      <c r="AM185" s="2688">
        <f>0</f>
        <v>0</v>
      </c>
      <c r="AN185" s="2688">
        <f>0</f>
        <v>0</v>
      </c>
      <c r="AO185" s="2688">
        <f>0</f>
        <v>0</v>
      </c>
      <c r="AP185" s="2688">
        <f>(1-f_E)*(1-f_C)*i_P_BIO</f>
        <v>1.6560000000000002E-2</v>
      </c>
      <c r="AQ185" s="2688">
        <f>0</f>
        <v>0</v>
      </c>
      <c r="AR185" s="2688">
        <f>0</f>
        <v>0</v>
      </c>
      <c r="AS185" s="2688">
        <f>0</f>
        <v>0</v>
      </c>
      <c r="AT185" s="2688">
        <f>0</f>
        <v>0</v>
      </c>
      <c r="AU185" s="2688">
        <f>i_CIT_BIO-f_E*(1-f_C)*i_CIT_BIO-(1-f_E)*(1-f_C)*i_CIT_XBe-(1-f_E)*f_C*i_CIT_XBe-f_E*f_C*i_CIT_XBe</f>
        <v>6.1248000000000011E-2</v>
      </c>
      <c r="AV185" s="2688">
        <f>0</f>
        <v>0</v>
      </c>
      <c r="AW185" s="2688">
        <f>0</f>
        <v>0</v>
      </c>
      <c r="AX185" s="2688">
        <f>0</f>
        <v>0</v>
      </c>
      <c r="AY185" s="2688">
        <f>0</f>
        <v>0</v>
      </c>
      <c r="AZ185" s="2688">
        <f>0</f>
        <v>0</v>
      </c>
      <c r="BA185" s="2688">
        <f>0</f>
        <v>0</v>
      </c>
      <c r="BB185" s="2688">
        <f>0</f>
        <v>0</v>
      </c>
      <c r="BC185" s="2688">
        <f>0</f>
        <v>0</v>
      </c>
      <c r="BD185" s="2688">
        <f>0</f>
        <v>0</v>
      </c>
      <c r="BE185" s="2688">
        <f>0</f>
        <v>0</v>
      </c>
      <c r="BF185" s="2688">
        <f>0</f>
        <v>0</v>
      </c>
      <c r="BG185" s="2688">
        <f>0</f>
        <v>0</v>
      </c>
      <c r="BH185" s="2688">
        <f>0</f>
        <v>0</v>
      </c>
      <c r="BI185" s="2688">
        <f>0</f>
        <v>0</v>
      </c>
      <c r="BJ185" s="2773">
        <f>0</f>
        <v>0</v>
      </c>
      <c r="BK185" s="2773">
        <f>0</f>
        <v>0</v>
      </c>
      <c r="BL185" s="2773">
        <f>0</f>
        <v>0</v>
      </c>
      <c r="BM185" s="2773">
        <f>0</f>
        <v>0</v>
      </c>
      <c r="BN185" s="2773">
        <f>0</f>
        <v>0</v>
      </c>
      <c r="BO185" s="2773">
        <f>0</f>
        <v>0</v>
      </c>
      <c r="BP185" s="2773">
        <f>0</f>
        <v>0</v>
      </c>
      <c r="BQ185" s="2688">
        <f>0</f>
        <v>0</v>
      </c>
      <c r="BR185" s="2688">
        <f>0</f>
        <v>0</v>
      </c>
      <c r="BS185" s="2773">
        <f>0</f>
        <v>0</v>
      </c>
      <c r="BT185" s="2688">
        <f>0</f>
        <v>0</v>
      </c>
      <c r="BU185" s="2688">
        <f>0</f>
        <v>0</v>
      </c>
      <c r="BV185" s="2748">
        <f>0</f>
        <v>0</v>
      </c>
      <c r="BW185" s="2748">
        <f>0</f>
        <v>0</v>
      </c>
      <c r="BX185" s="2748">
        <f>0</f>
        <v>0</v>
      </c>
      <c r="BY185" s="2748">
        <f>0</f>
        <v>0</v>
      </c>
      <c r="BZ185" s="2688">
        <f>0</f>
        <v>0</v>
      </c>
      <c r="CA185" s="2688">
        <f>0</f>
        <v>0</v>
      </c>
      <c r="CB185" s="2804">
        <f>0</f>
        <v>0</v>
      </c>
      <c r="CC185" s="2688">
        <f>0</f>
        <v>0</v>
      </c>
      <c r="CD185" s="2688">
        <f>0</f>
        <v>0</v>
      </c>
      <c r="CE185" s="2688">
        <f>0</f>
        <v>0</v>
      </c>
      <c r="CF185" s="2688">
        <f>0</f>
        <v>0</v>
      </c>
      <c r="CG185" s="2688">
        <f>0</f>
        <v>0</v>
      </c>
      <c r="CH185" s="2688">
        <f>0</f>
        <v>0</v>
      </c>
      <c r="CI185" s="2688">
        <f>0</f>
        <v>0</v>
      </c>
      <c r="CJ185" s="2688">
        <f>0</f>
        <v>0</v>
      </c>
      <c r="CK185" s="2688">
        <f>0</f>
        <v>0</v>
      </c>
      <c r="CL185" s="2688">
        <f>0</f>
        <v>0</v>
      </c>
      <c r="CM185" s="2688">
        <f>0</f>
        <v>0</v>
      </c>
      <c r="CN185" s="2688">
        <f>0</f>
        <v>0</v>
      </c>
      <c r="CO185" s="2833">
        <f>b_AMETO_T*X_AMETO*(m_tox_aer*M_satSO2_KiO2_AMETO+m_tox_anox*M_satSNOx_KNO3_AMETO*M_inhSO2_KiO2_AMETO)</f>
        <v>8.8891783092588217E-2</v>
      </c>
      <c r="CQ185" s="2650">
        <f>E248*E185+F248*F185+G248*G185+H248*H185+I248*I185+J248*J185+K248*K185+L248*L185+M248*M185+N248*N185+O248*O185+P248*P185+Q248*Q185+R248*R185+S248*S185+T248*T185+U248*U185+V248*V185+W248*W185+X248*X185+Y248*Y185+Z248*Z185+AA248*AA185+AB248*AB185+AC248*AC185+AD248*AD185+AE248*AE185+AF248*AF185+AG248*AG185+AH248*AH185+AI248*AI185+AJ248*AJ185+AK248*AK185+AL248*AL185+AM248*AM185+AN248*AN185+AO248*AO185+AP248*AP185+AQ248*AQ185+AR248*AR185+AS248*AS185+AT248*AT185+AU248*AU185+AV248*AV185+AW248*AW185+AX248*AX185+AY248*AY185+AZ248*AZ185+BA248*BA185+BB248*BB185+BC248*BC185+BD248*BD185+BE248*BE185+BF248*BF185+BG248*BG185+BH248*BH185+BI248*BI185+BJ248*BJ185+BK248*BK185+BL248*BL185+BM248*BM185+BN248*BN185+BO248*BO185+BP248*BP185+BQ248*BQ185+BR248*BR185+BS248*BS185+BT248*BT185+BU248*BU185+BV248*BV185+BW248*BW185+BX248*BX185+BY248*BY185+BZ248*BZ185+CA248*CA185+CB248*CB185+CC248*CC185+CD248*CD185+CE248*CE185+CF248*CF185+CG248*CG185+CH248*CH185+CI248*CI185+CJ248*CJ185+CK248*CK185+CL248*CL185+CM248*CM185+CN248*CN185</f>
        <v>0</v>
      </c>
      <c r="CR185" s="2650">
        <f>E249*E185+F249*F185+G249*G185+H249*H185+I249*I185+J249*J185+K249*K185+L249*L185+M249*M185+N249*N185+O249*O185+P249*P185+Q249*Q185+R249*R185+S249*S185+T249*T185+U249*U185+V249*V185+W249*W185+X249*X185+Y249*Y185+Z249*Z185+AA249*AA185+AB249*AB185+AC249*AC185+AD249*AD185+AE249*AE185+AF249*AF185+AG249*AG185+AH249*AH185+AI249*AI185+AJ249*AJ185+AK249*AK185+AL249*AL185+AM249*AM185+AN249*AN185+AO249*AO185+AP249*AP185+AQ249*AQ185+AR249*AR185+AS249*AS185+AT249*AT185+AU249*AU185+AV249*AV185+AW249*AW185+AX249*AX185+AY249*AY185+AZ249*AZ185+BA249*BA185+BB249*BB185+BC249*BC185+BD249*BD185+BE249*BE185+BF249*BF185+BG249*BG185+BH249*BH185+BI249*BI185+BJ249*BJ185+BK249*BK185+BL249*BL185+BM249*BM185+BN249*BN185+BO249*BO185+BP249*BP185+BQ249*BQ185+BR249*BR185+BS249*BS185+BT249*BT185+BU249*BU185+BV249*BV185+BW249*BW185+BX249*BX185+BY249*BY185+BZ249*BZ185+CA249*CA185+CB249*CB185+CC249*CC185+CD249*CD185+CE249*CE185+CF249*CF185+CG249*CG185+CH249*CH185+CI249*CI185+CJ249*CJ185+CK249*CK185+CL249*CL185+CM249*CM185+CN249*CN185</f>
        <v>-1.3877787807814457E-17</v>
      </c>
      <c r="CS185" s="2651">
        <f>E250*E185+F250*F185+G250*G185+H250*H185+I250*I185+J250*J185+K250*K185+L250*L185+M250*M185+N250*N185+O250*O185+P250*P185+Q250*Q185+R250*R185+S250*S185+T250*T185+U250*U185+V250*V185+W250*W185+X250*X185+Y250*Y185+Z250*Z185+AA250*AA185+AB250*AB185+AC250*AC185+AD250*AD185+AE250*AE185+AF250*AF185+AG250*AG185+AH250*AH185+AI250*AI185+AJ250*AJ185+AK250*AK185+AL250*AL185+AM250*AM185+AN250*AN185+AO250*AO185+AP250*AP185+AQ250*AQ185+AR250*AR185+AS250*AS185+AT250*AT185+AU250*AU185+AV250*AV185+AW250*AW185+AX250*AX185+AY250*AY185+AZ250*AZ185+BA250*BA185+BB250*BB185+BC250*BC185+BD250*BD185+BE250*BE185+BF250*BF185+BG250*BG185+BH250*BH185+BI250*BI185+BJ250*BJ185+BK250*BK185+BL250*BL185+BM250*BM185+BN250*BN185+BO250*BO185+BP250*BP185+BQ250*BQ185+BR250*BR185+BS250*BS185+BT250*BT185+BU250*BU185+BV250*BV185+BW250*BW185+BX250*BX185+BY250*BY185+BZ250*BZ185+CA250*CA185+CB250*CB185+CC250*CC185+CD250*CD185+CE250*CE185+CF250*CF185+CG250*CG185+CH250*CH185+CI250*CI185+CJ250*CJ185+CK250*CK185+CL250*CL185+CM250*CM185+CN250*CN185</f>
        <v>0</v>
      </c>
      <c r="CT185" s="2652">
        <f>E251*E185+F251*F185+G251*G185+H251*H185+I251*I185+J251*J185+K251*K185+L251*L185+M251*M185+N251*N185+O251*O185+P251*P185+Q251*Q185+R251*R185+S251*S185+T251*T185+U251*U185+V251*V185+W251*W185+X251*X185+Y251*Y185+Z251*Z185+AA251*AA185+AB251*AB185+AC251*AC185+AD251*AD185+AE251*AE185+AF251*AF185+AG251*AG185+AH251*AH185+AI251*AI185+AJ251*AJ185+AK251*AK185+AL251*AL185+AM251*AM185+AN251*AN185+AO251*AO185+AP251*AP185+AQ251*AQ185+AR251*AR185+AS251*AS185+AT251*AT185+AU251*AU185+AV251*AV185+AW251*AW185+AX251*AX185+AY251*AY185+AZ251*AZ185+BA251*BA185+BB251*BB185+BC251*BC185+BD251*BD185+BE251*BE185+BF251*BF185+BG251*BG185+BH251*BH185+BI251*BI185+BJ251*BJ185+BK251*BK185+BL251*BL185+BM251*BM185+BN251*BN185+BO251*BO185+BP251*BP185+BQ251*BQ185+BR251*BR185+BS251*BS185+BT251*BT185+BU251*BU185+BV251*BV185+BW251*BW185+BX251*BX185+BY251*BY185+BZ251*BZ185+CA251*CA185+CB251*CB185+CC251*CC185+CD251*CD185+CE251*CE185+CF251*CF185+CG251*CG185+CH251*CH185+CI251*CI185+CJ251*CJ185+CK251*CK185+CL251*CL185+CM251*CM185+CN251*CN185</f>
        <v>0</v>
      </c>
      <c r="CU185" s="2652">
        <f>E252*E185+F252*F185+G252*G185+H252*H185+I252*I185+J252*J185+K252*K185+L252*L185+M252*M185+N252*N185+O252*O185+P252*P185+Q252*Q185+R252*R185+S252*S185+T252*T185+U252*U185+V252*V185+W252*W185+X252*X185+Y252*Y185+Z252*Z185+AA252*AA185+AB252*AB185+AC252*AC185+AD252*AD185+AE252*AE185+AF252*AF185+AG252*AG185+AH252*AH185+AI252*AI185+AJ252*AJ185+AK252*AK185+AL252*AL185+AM252*AM185+AN252*AN185+AO252*AO185+AP252*AP185+AQ252*AQ185+AR252*AR185+AS252*AS185+AT252*AT185+AU252*AU185+AV252*AV185+AW252*AW185+AX252*AX185+AY252*AY185+AZ252*AZ185+BA252*BA185+BB252*BB185+BC252*BC185+BD252*BD185+BE252*BE185+BF252*BF185+BG252*BG185+BH252*BH185+BI252*BI185+BJ252*BJ185+BK252*BK185+BL252*BL185+BM252*BM185+BN252*BN185+BO252*BO185+BP252*BP185+BQ252*BQ185+BR252*BR185+BS252*BS185+BT252*BT185+BU252*BU185+BV252*BV185+BW252*BW185+BX252*BX185+BY252*BY185+BZ252*BZ185+CA252*CA185+CB252*CB185+CC252*CC185+CD252*CD185+CE252*CE185+CF252*CF185+CG252*CG185+CH252*CH185+CI252*CI185+CJ252*CJ185+CK252*CK185+CL252*CL185+CM252*CM185+CN252*CN185</f>
        <v>0</v>
      </c>
      <c r="CV185" s="2652">
        <f>E253*E185+F253*F185+G253*G185+H253*H185+I253*I185+J253*J185+K253*K185+L253*L185+M253*M185+N253*N185+O253*O185+P253*P185+Q253*Q185+R253*R185+S253*S185+T253*T185+U253*U185+V253*V185+W253*W185+X253*X185+Y253*Y185+Z253*Z185+AA253*AA185+AB253*AB185+AC253*AC185+AD253*AD185+AE253*AE185+AF253*AF185+AG253*AG185+AH253*AH185+AI253*AI185+AJ253*AJ185+AK253*AK185+AL253*AL185+AM253*AM185+AN253*AN185+AO253*AO185+AP253*AP185+AQ253*AQ185+AR253*AR185+AS253*AS185+AT253*AT185+AU253*AU185+AV253*AV185+AW253*AW185+AX253*AX185+AY253*AY185+AZ253*AZ185+BA253*BA185+BB253*BB185+BC253*BC185+BD253*BD185+BE253*BE185+BF253*BF185+BG253*BG185+BH253*BH185+BI253*BI185+BJ253*BJ185+BK253*BK185+BL253*BL185+BM253*BM185+BN253*BN185+BO253*BO185+BP253*BP185+BQ253*BQ185+BR253*BR185+BS253*BS185+BT253*BT185+BU253*BU185+BV253*BV185+BW253*BW185+BX253*BX185+BY253*BY185+BZ253*BZ185+CA253*CA185+CB253*CB185+CC253*CC185+CD253*CD185+CE253*CE185+CF253*CF185+CG253*CG185+CH253*CH185+CI253*CI185+CJ253*CJ185+CK253*CK185+CL253*CL185+CM253*CM185+CN253*CN185</f>
        <v>0</v>
      </c>
      <c r="CW185" s="2652">
        <f>E254*E185+F254*F185+G254*G185+H254*H185+I254*I185+J254*J185+K254*K185+L254*L185+M254*M185+N254*N185+O254*O185+P254*P185+Q254*Q185+R254*R185+S254*S185+T254*T185+U254*U185+V254*V185+W254*W185+X254*X185+Y254*Y185+Z254*Z185+AA254*AA185+AB254*AB185+AC254*AC185+AD254*AD185+AE254*AE185+AF254*AF185+AG254*AG185+AH254*AH185+AI254*AI185+AJ254*AJ185+AK254*AK185+AL254*AL185+AM254*AM185+AN254*AN185+AO254*AO185+AP254*AP185+AQ254*AQ185+AR254*AR185+AS254*AS185+AT254*AT185+AU254*AU185+AV254*AV185+AW254*AW185+AX254*AX185+AY254*AY185+AZ254*AZ185+BA254*BA185+BB254*BB185+BC254*BC185+BD254*BD185+BE254*BE185+BF254*BF185+BG254*BG185+BH254*BH185+BI254*BI185+BJ254*BJ185+BK254*BK185+BL254*BL185+BM254*BM185+BN254*BN185+BO254*BO185+BP254*BP185+BQ254*BQ185+BR254*BR185+BS254*BS185+BT254*BT185+BU254*BU185+BV254*BV185+BW254*BW185+BX254*BX185+BY254*BY185+BZ254*BZ185+CA254*CA185+CB254*CB185+CC254*CC185+CD254*CD185+CE254*CE185+CF254*CF185+CG254*CG185+CH254*CH185+CI254*CI185+CJ254*CJ185+CK254*CK185+CL254*CL185+CM254*CM185+CN254*CN185</f>
        <v>0</v>
      </c>
      <c r="CX185" s="2652">
        <f>E255*E185+F255*F185+G255*G185+H255*H185+I255*I185+J255*J185+K255*K185+L255*L185+M255*M185+N255*N185+O255*O185+P255*P185+Q255*Q185+R255*R185+S255*S185+T255*T185+U255*U185+V255*V185+W255*W185+X255*X185+Y255*Y185+Z255*Z185+AA255*AA185+AB255*AB185+AC255*AC185+AD255*AD185+AE255*AE185+AF255*AF185+AG255*AG185+AH255*AH185+AI255*AI185+AJ255*AJ185+AK255*AK185+AL255*AL185+AM255*AM185+AN255*AN185+AO255*AO185+AP255*AP185+AQ255*AQ185+AR255*AR185+AS255*AS185+AT255*AT185+AU255*AU185+AV255*AV185+AW255*AW185+AX255*AX185+AY255*AY185+AZ255*AZ185+BA255*BA185+BB255*BB185+BC255*BC185+BD255*BD185+BE255*BE185+BF255*BF185+BG255*BG185+BH255*BH185+BI255*BI185+BJ255*BJ185+BK255*BK185+BL255*BL185+BM255*BM185+BN255*BN185+BO255*BO185+BP255*BP185+BQ255*BQ185+BR255*BR185+BS255*BS185+BT255*BT185+BU255*BU185+BV255*BV185+BW255*BW185+BX255*BX185+BY255*BY185+BZ255*BZ185+CA255*CA185+CB255*CB185+CC255*CC185+CD255*CD185+CE255*CE185+CF255*CF185+CG255*CG185+CH255*CH185+CI255*CI185+CJ255*CJ185+CK255*CK185+CL255*CL185+CM255*CM185+CN255*CN185</f>
        <v>0</v>
      </c>
      <c r="CY185" s="2652">
        <f>E256*E185+F256*F185+G256*G185+H256*H185+I256*I185+J256*J185+K256*K185+L256*L185+M256*M185+N256*N185+O256*O185+P256*P185+Q256*Q185+R256*R185+S256*S185+T256*T185+U256*U185+V256*V185+W256*W185+X256*X185+Y256*Y185+Z256*Z185+AA256*AA185+AB256*AB185+AC256*AC185+AD256*AD185+AE256*AE185+AF256*AF185+AG256*AG185+AH256*AH185+AI256*AI185+AJ256*AJ185+AK256*AK185+AL256*AL185+AM256*AM185+AN256*AN185+AO256*AO185+AP256*AP185+AQ256*AQ185+AR256*AR185+AS256*AS185+AT256*AT185+AU256*AU185+AV256*AV185+AW256*AW185+AX256*AX185+AY256*AY185+AZ256*AZ185+BA256*BA185+BB256*BB185+BC256*BC185+BD256*BD185+BE256*BE185+BF256*BF185+BG256*BG185+BH256*BH185+BI256*BI185+BJ256*BJ185+BK256*BK185+BL256*BL185+BM256*BM185+BN256*BN185+BO256*BO185+BP256*BP185+BQ256*BQ185+BR256*BR185+BS256*BS185+BT256*BT185+BU256*BU185+BV256*BV185+BW256*BW185+BX256*BX185+BY256*BY185+BZ256*BZ185+CA256*CA185+CB256*CB185+CC256*CC185+CD256*CD185+CE256*CE185+CF256*CF185+CG256*CG185+CH256*CH185+CI256*CI185+CJ256*CJ185+CK256*CK185+CL256*CL185+CM256*CM185+CN256*CN185</f>
        <v>0</v>
      </c>
      <c r="CZ185" s="2652">
        <f>E257*E185+F257*F185+G257*G185+H257*H185+I257*I185+J257*J185+K257*K185+L257*L185+M257*M185+N257*N185+O257*O185+P257*P185+Q257*Q185+R257*R185+S257*S185+T257*T185+U257*U185+V257*V185+W257*W185+X257*X185+Y257*Y185+Z257*Z185+AA257*AA185+AB257*AB185+AC257*AC185+AD257*AD185+AE257*AE185+AF257*AF185+AG257*AG185+AH257*AH185+AI257*AI185+AJ257*AJ185+AK257*AK185+AL257*AL185+AM257*AM185+AN257*AN185+AO257*AO185+AP257*AP185+AQ257*AQ185+AR257*AR185+AS257*AS185+AT257*AT185+AU257*AU185+AV257*AV185+AW257*AW185+AX257*AX185+AY257*AY185+AZ257*AZ185+BA257*BA185+BB257*BB185+BC257*BC185+BD257*BD185+BE257*BE185+BF257*BF185+BG257*BG185+BH257*BH185+BI257*BI185+BJ257*BJ185+BK257*BK185+BL257*BL185+BM257*BM185+BN257*BN185+BO257*BO185+BP257*BP185+BQ257*BQ185+BR257*BR185+BS257*BS185+BT257*BT185+BU257*BU185+BV257*BV185+BW257*BW185+BX257*BX185+BY257*BY185+BZ257*BZ185+CA257*CA185+CB257*CB185+CC257*CC185+CD257*CD185+CE257*CE185+CF257*CF185+CG257*CG185+CH257*CH185+CI257*CI185+CJ257*CJ185+CK257*CK185+CL257*CL185+CM257*CM185+CN257*CN185</f>
        <v>0</v>
      </c>
      <c r="DA185" s="2652">
        <f>E258*E185+F258*F185+G258*G185+H258*H185+I258*I185+J258*J185+K258*K185+L258*L185+M258*M185+N258*N185+O258*O185+P258*P185+Q258*Q185+R258*R185+S258*S185+T258*T185+U258*U185+V258*V185+W258*W185+X258*X185+Y258*Y185+Z258*Z185+AA258*AA185+AB258*AB185+AC258*AC185+AD258*AD185+AE258*AE185+AF258*AF185+AG258*AG185+AH258*AH185+AI258*AI185+AJ258*AJ185+AK258*AK185+AL258*AL185+AM258*AM185+AN258*AN185+AO258*AO185+AP258*AP185+AQ258*AQ185+AR258*AR185+AS258*AS185+AT258*AT185+AU258*AU185+AV258*AV185+AW258*AW185+AX258*AX185+AY258*AY185+AZ258*AZ185+BA258*BA185+BB258*BB185+BC258*BC185+BD258*BD185+BE258*BE185+BF258*BF185+BG258*BG185+BH258*BH185+BI258*BI185+BJ258*BJ185+BK258*BK185+BL258*BL185+BM258*BM185+BN258*BN185+BO258*BO185+BP258*BP185+BQ258*BQ185+BR258*BR185+BS258*BS185+BT258*BT185+BU258*BU185+BV258*BV185+BW258*BW185+BX258*BX185+BY258*BY185+BZ258*BZ185+CA258*CA185+CB258*CB185+CC258*CC185+CD258*CD185+CE258*CE185+CF258*CF185+CG258*CG185+CH258*CH185+CI258*CI185+CJ258*CJ185+CK258*CK185+CL258*CL185+CM258*CM185+CN258*CN185</f>
        <v>0</v>
      </c>
    </row>
    <row r="186" spans="2:105" ht="18" x14ac:dyDescent="0.25">
      <c r="B186" s="1087">
        <v>53</v>
      </c>
      <c r="C186" s="1077" t="s">
        <v>2105</v>
      </c>
      <c r="D186" s="825" t="s">
        <v>2958</v>
      </c>
      <c r="E186" s="2688">
        <f>0</f>
        <v>0</v>
      </c>
      <c r="F186" s="2688">
        <f>0</f>
        <v>0</v>
      </c>
      <c r="G186" s="2688">
        <f>0</f>
        <v>0</v>
      </c>
      <c r="H186" s="2688">
        <f>0</f>
        <v>0</v>
      </c>
      <c r="I186" s="2717">
        <f>f_C</f>
        <v>0.1</v>
      </c>
      <c r="J186" s="2688">
        <f>0</f>
        <v>0</v>
      </c>
      <c r="K186" s="2688">
        <f>(1-f_E)*(1-f_C)</f>
        <v>0.82800000000000007</v>
      </c>
      <c r="L186" s="2688">
        <f>0</f>
        <v>0</v>
      </c>
      <c r="M186" s="2688">
        <f>0</f>
        <v>0</v>
      </c>
      <c r="N186" s="2688">
        <f>0</f>
        <v>0</v>
      </c>
      <c r="O186" s="2688">
        <f>0</f>
        <v>0</v>
      </c>
      <c r="P186" s="2688">
        <f>0</f>
        <v>0</v>
      </c>
      <c r="Q186" s="2688">
        <f>0</f>
        <v>0</v>
      </c>
      <c r="R186" s="2688">
        <f>0</f>
        <v>0</v>
      </c>
      <c r="S186" s="2688">
        <f>f_E*(1-f_C)</f>
        <v>7.2000000000000008E-2</v>
      </c>
      <c r="T186" s="2688">
        <f>0</f>
        <v>0</v>
      </c>
      <c r="U186" s="2688">
        <f>0</f>
        <v>0</v>
      </c>
      <c r="V186" s="2688">
        <f>0</f>
        <v>0</v>
      </c>
      <c r="W186" s="2688">
        <f>0</f>
        <v>0</v>
      </c>
      <c r="X186" s="2688">
        <f>0</f>
        <v>0</v>
      </c>
      <c r="Y186" s="2688">
        <f>0</f>
        <v>0</v>
      </c>
      <c r="Z186" s="2688">
        <f>0</f>
        <v>0</v>
      </c>
      <c r="AA186" s="2688">
        <f>-1</f>
        <v>-1</v>
      </c>
      <c r="AB186" s="2688">
        <f>0</f>
        <v>0</v>
      </c>
      <c r="AC186" s="2748">
        <f>0</f>
        <v>0</v>
      </c>
      <c r="AD186" s="2688">
        <f>i_N_BIO-f_E*(1-f_C)*i_N_XE-f_C*i_N_CB-(1-f_E)*(1-f_C)*i_N_BIO</f>
        <v>6.7199999999999899E-3</v>
      </c>
      <c r="AE186" s="2688">
        <f>0</f>
        <v>0</v>
      </c>
      <c r="AF186" s="2688">
        <f>0</f>
        <v>0</v>
      </c>
      <c r="AG186" s="2688">
        <f>0</f>
        <v>0</v>
      </c>
      <c r="AH186" s="2688">
        <f>0</f>
        <v>0</v>
      </c>
      <c r="AI186" s="2688">
        <f>0</f>
        <v>0</v>
      </c>
      <c r="AJ186" s="2688">
        <f>(1-f_E)*(1-f_C)*i_N_BIO</f>
        <v>5.7960000000000012E-2</v>
      </c>
      <c r="AK186" s="2688">
        <f>0</f>
        <v>0</v>
      </c>
      <c r="AL186" s="2688">
        <f>i_P_BIO-f_E*(1-f_C)*i_P_BIO-f_C*i_P_CB-(1-f_E)*(1-f_C)*i_P_BIO</f>
        <v>1.7999999999999995E-3</v>
      </c>
      <c r="AM186" s="2688">
        <f>0</f>
        <v>0</v>
      </c>
      <c r="AN186" s="2688">
        <f>0</f>
        <v>0</v>
      </c>
      <c r="AO186" s="2688">
        <f>0</f>
        <v>0</v>
      </c>
      <c r="AP186" s="2688">
        <f>(1-f_E)*(1-f_C)*i_P_BIO</f>
        <v>1.6560000000000002E-2</v>
      </c>
      <c r="AQ186" s="2688">
        <f>0</f>
        <v>0</v>
      </c>
      <c r="AR186" s="2688">
        <f>0</f>
        <v>0</v>
      </c>
      <c r="AS186" s="2688">
        <f>0</f>
        <v>0</v>
      </c>
      <c r="AT186" s="2688">
        <f>0</f>
        <v>0</v>
      </c>
      <c r="AU186" s="2688">
        <f>i_CIT_BIO-f_E*(1-f_C)*i_CIT_BIO-(1-f_E)*(1-f_C)*i_CIT_XBe-(1-f_E)*f_C*i_CIT_XBe-f_E*f_C*i_CIT_XBe</f>
        <v>6.1248000000000011E-2</v>
      </c>
      <c r="AV186" s="2688">
        <f>0</f>
        <v>0</v>
      </c>
      <c r="AW186" s="2688">
        <f>0</f>
        <v>0</v>
      </c>
      <c r="AX186" s="2688">
        <f>0</f>
        <v>0</v>
      </c>
      <c r="AY186" s="2688">
        <f>0</f>
        <v>0</v>
      </c>
      <c r="AZ186" s="2688">
        <f>0</f>
        <v>0</v>
      </c>
      <c r="BA186" s="2688">
        <f>0</f>
        <v>0</v>
      </c>
      <c r="BB186" s="2688">
        <f>0</f>
        <v>0</v>
      </c>
      <c r="BC186" s="2688">
        <f>0</f>
        <v>0</v>
      </c>
      <c r="BD186" s="2688">
        <f>0</f>
        <v>0</v>
      </c>
      <c r="BE186" s="2688">
        <f>0</f>
        <v>0</v>
      </c>
      <c r="BF186" s="2688">
        <f>0</f>
        <v>0</v>
      </c>
      <c r="BG186" s="2688">
        <f>0</f>
        <v>0</v>
      </c>
      <c r="BH186" s="2688">
        <f>0</f>
        <v>0</v>
      </c>
      <c r="BI186" s="2688">
        <f>0</f>
        <v>0</v>
      </c>
      <c r="BJ186" s="2773">
        <f>0</f>
        <v>0</v>
      </c>
      <c r="BK186" s="2773">
        <f>0</f>
        <v>0</v>
      </c>
      <c r="BL186" s="2773">
        <f>0</f>
        <v>0</v>
      </c>
      <c r="BM186" s="2773">
        <f>0</f>
        <v>0</v>
      </c>
      <c r="BN186" s="2773">
        <f>0</f>
        <v>0</v>
      </c>
      <c r="BO186" s="2773">
        <f>0</f>
        <v>0</v>
      </c>
      <c r="BP186" s="2773">
        <f>0</f>
        <v>0</v>
      </c>
      <c r="BQ186" s="2688">
        <f>0</f>
        <v>0</v>
      </c>
      <c r="BR186" s="2688">
        <f>0</f>
        <v>0</v>
      </c>
      <c r="BS186" s="2773">
        <f>0</f>
        <v>0</v>
      </c>
      <c r="BT186" s="2688">
        <f>0</f>
        <v>0</v>
      </c>
      <c r="BU186" s="2688">
        <f>0</f>
        <v>0</v>
      </c>
      <c r="BV186" s="2748">
        <f>0</f>
        <v>0</v>
      </c>
      <c r="BW186" s="2748">
        <f>0</f>
        <v>0</v>
      </c>
      <c r="BX186" s="2748">
        <f>0</f>
        <v>0</v>
      </c>
      <c r="BY186" s="2748">
        <f>0</f>
        <v>0</v>
      </c>
      <c r="BZ186" s="2688">
        <f>0</f>
        <v>0</v>
      </c>
      <c r="CA186" s="2688">
        <f>0</f>
        <v>0</v>
      </c>
      <c r="CB186" s="2804">
        <f>0</f>
        <v>0</v>
      </c>
      <c r="CC186" s="2688">
        <f>0</f>
        <v>0</v>
      </c>
      <c r="CD186" s="2688">
        <f>0</f>
        <v>0</v>
      </c>
      <c r="CE186" s="2688">
        <f>0</f>
        <v>0</v>
      </c>
      <c r="CF186" s="2688">
        <f>0</f>
        <v>0</v>
      </c>
      <c r="CG186" s="2688">
        <f>0</f>
        <v>0</v>
      </c>
      <c r="CH186" s="2688">
        <f>0</f>
        <v>0</v>
      </c>
      <c r="CI186" s="2688">
        <f>0</f>
        <v>0</v>
      </c>
      <c r="CJ186" s="2688">
        <f>0</f>
        <v>0</v>
      </c>
      <c r="CK186" s="2688">
        <f>0</f>
        <v>0</v>
      </c>
      <c r="CL186" s="2688">
        <f>0</f>
        <v>0</v>
      </c>
      <c r="CM186" s="2688">
        <f>0</f>
        <v>0</v>
      </c>
      <c r="CN186" s="2688">
        <f>0</f>
        <v>0</v>
      </c>
      <c r="CO186" s="2833">
        <f>b_AMETO_T*X_AMETO*M_inhSNOx_KNO3_AMETO*M_inhSO2_KiO2_AMETO</f>
        <v>2.1311863604072938E-6</v>
      </c>
      <c r="CQ186" s="2650">
        <f>E248*E186+F248*F186+G248*G186+H248*H186+I248*I186+J248*J186+K248*K186+L248*L186+M248*M186+N248*N186+O248*O186+P248*P186+Q248*Q186+R248*R186+S248*S186+T248*T186+U248*U186+V248*V186+W248*W186+X248*X186+Y248*Y186+Z248*Z186+AA248*AA186+AB248*AB186+AC248*AC186+AD248*AD186+AE248*AE186+AF248*AF186+AG248*AG186+AH248*AH186+AI248*AI186+AJ248*AJ186+AK248*AK186+AL248*AL186+AM248*AM186+AN248*AN186+AO248*AO186+AP248*AP186+AQ248*AQ186+AR248*AR186+AS248*AS186+AT248*AT186+AU248*AU186+AV248*AV186+AW248*AW186+AX248*AX186+AY248*AY186+AZ248*AZ186+BA248*BA186+BB248*BB186+BC248*BC186+BD248*BD186+BE248*BE186+BF248*BF186+BG248*BG186+BH248*BH186+BI248*BI186+BJ248*BJ186+BK248*BK186+BL248*BL186+BM248*BM186+BN248*BN186+BO248*BO186+BP248*BP186+BQ248*BQ186+BR248*BR186+BS248*BS186+BT248*BT186+BU248*BU186+BV248*BV186+BW248*BW186+BX248*BX186+BY248*BY186+BZ248*BZ186+CA248*CA186+CB248*CB186+CC248*CC186+CD248*CD186+CE248*CE186+CF248*CF186+CG248*CG186+CH248*CH186+CI248*CI186+CJ248*CJ186+CK248*CK186+CL248*CL186+CM248*CM186+CN248*CN186</f>
        <v>0</v>
      </c>
      <c r="CR186" s="2650">
        <f>E249*E186+F249*F186+G249*G186+H249*H186+I249*I186+J249*J186+K249*K186+L249*L186+M249*M186+N249*N186+O249*O186+P249*P186+Q249*Q186+R249*R186+S249*S186+T249*T186+U249*U186+V249*V186+W249*W186+X249*X186+Y249*Y186+Z249*Z186+AA249*AA186+AB249*AB186+AC249*AC186+AD249*AD186+AE249*AE186+AF249*AF186+AG249*AG186+AH249*AH186+AI249*AI186+AJ249*AJ186+AK249*AK186+AL249*AL186+AM249*AM186+AN249*AN186+AO249*AO186+AP249*AP186+AQ249*AQ186+AR249*AR186+AS249*AS186+AT249*AT186+AU249*AU186+AV249*AV186+AW249*AW186+AX249*AX186+AY249*AY186+AZ249*AZ186+BA249*BA186+BB249*BB186+BC249*BC186+BD249*BD186+BE249*BE186+BF249*BF186+BG249*BG186+BH249*BH186+BI249*BI186+BJ249*BJ186+BK249*BK186+BL249*BL186+BM249*BM186+BN249*BN186+BO249*BO186+BP249*BP186+BQ249*BQ186+BR249*BR186+BS249*BS186+BT249*BT186+BU249*BU186+BV249*BV186+BW249*BW186+BX249*BX186+BY249*BY186+BZ249*BZ186+CA249*CA186+CB249*CB186+CC249*CC186+CD249*CD186+CE249*CE186+CF249*CF186+CG249*CG186+CH249*CH186+CI249*CI186+CJ249*CJ186+CK249*CK186+CL249*CL186+CM249*CM186+CN249*CN186</f>
        <v>-1.3877787807814457E-17</v>
      </c>
      <c r="CS186" s="2651">
        <f>E250*E186+F250*F186+G250*G186+H250*H186+I250*I186+J250*J186+K250*K186+L250*L186+M250*M186+N250*N186+O250*O186+P250*P186+Q250*Q186+R250*R186+S250*S186+T250*T186+U250*U186+V250*V186+W250*W186+X250*X186+Y250*Y186+Z250*Z186+AA250*AA186+AB250*AB186+AC250*AC186+AD250*AD186+AE250*AE186+AF250*AF186+AG250*AG186+AH250*AH186+AI250*AI186+AJ250*AJ186+AK250*AK186+AL250*AL186+AM250*AM186+AN250*AN186+AO250*AO186+AP250*AP186+AQ250*AQ186+AR250*AR186+AS250*AS186+AT250*AT186+AU250*AU186+AV250*AV186+AW250*AW186+AX250*AX186+AY250*AY186+AZ250*AZ186+BA250*BA186+BB250*BB186+BC250*BC186+BD250*BD186+BE250*BE186+BF250*BF186+BG250*BG186+BH250*BH186+BI250*BI186+BJ250*BJ186+BK250*BK186+BL250*BL186+BM250*BM186+BN250*BN186+BO250*BO186+BP250*BP186+BQ250*BQ186+BR250*BR186+BS250*BS186+BT250*BT186+BU250*BU186+BV250*BV186+BW250*BW186+BX250*BX186+BY250*BY186+BZ250*BZ186+CA250*CA186+CB250*CB186+CC250*CC186+CD250*CD186+CE250*CE186+CF250*CF186+CG250*CG186+CH250*CH186+CI250*CI186+CJ250*CJ186+CK250*CK186+CL250*CL186+CM250*CM186+CN250*CN186</f>
        <v>0</v>
      </c>
      <c r="CT186" s="2652">
        <f>E251*E186+F251*F186+G251*G186+H251*H186+I251*I186+J251*J186+K251*K186+L251*L186+M251*M186+N251*N186+O251*O186+P251*P186+Q251*Q186+R251*R186+S251*S186+T251*T186+U251*U186+V251*V186+W251*W186+X251*X186+Y251*Y186+Z251*Z186+AA251*AA186+AB251*AB186+AC251*AC186+AD251*AD186+AE251*AE186+AF251*AF186+AG251*AG186+AH251*AH186+AI251*AI186+AJ251*AJ186+AK251*AK186+AL251*AL186+AM251*AM186+AN251*AN186+AO251*AO186+AP251*AP186+AQ251*AQ186+AR251*AR186+AS251*AS186+AT251*AT186+AU251*AU186+AV251*AV186+AW251*AW186+AX251*AX186+AY251*AY186+AZ251*AZ186+BA251*BA186+BB251*BB186+BC251*BC186+BD251*BD186+BE251*BE186+BF251*BF186+BG251*BG186+BH251*BH186+BI251*BI186+BJ251*BJ186+BK251*BK186+BL251*BL186+BM251*BM186+BN251*BN186+BO251*BO186+BP251*BP186+BQ251*BQ186+BR251*BR186+BS251*BS186+BT251*BT186+BU251*BU186+BV251*BV186+BW251*BW186+BX251*BX186+BY251*BY186+BZ251*BZ186+CA251*CA186+CB251*CB186+CC251*CC186+CD251*CD186+CE251*CE186+CF251*CF186+CG251*CG186+CH251*CH186+CI251*CI186+CJ251*CJ186+CK251*CK186+CL251*CL186+CM251*CM186+CN251*CN186</f>
        <v>0</v>
      </c>
      <c r="CU186" s="2652">
        <f>E252*E186+F252*F186+G252*G186+H252*H186+I252*I186+J252*J186+K252*K186+L252*L186+M252*M186+N252*N186+O252*O186+P252*P186+Q252*Q186+R252*R186+S252*S186+T252*T186+U252*U186+V252*V186+W252*W186+X252*X186+Y252*Y186+Z252*Z186+AA252*AA186+AB252*AB186+AC252*AC186+AD252*AD186+AE252*AE186+AF252*AF186+AG252*AG186+AH252*AH186+AI252*AI186+AJ252*AJ186+AK252*AK186+AL252*AL186+AM252*AM186+AN252*AN186+AO252*AO186+AP252*AP186+AQ252*AQ186+AR252*AR186+AS252*AS186+AT252*AT186+AU252*AU186+AV252*AV186+AW252*AW186+AX252*AX186+AY252*AY186+AZ252*AZ186+BA252*BA186+BB252*BB186+BC252*BC186+BD252*BD186+BE252*BE186+BF252*BF186+BG252*BG186+BH252*BH186+BI252*BI186+BJ252*BJ186+BK252*BK186+BL252*BL186+BM252*BM186+BN252*BN186+BO252*BO186+BP252*BP186+BQ252*BQ186+BR252*BR186+BS252*BS186+BT252*BT186+BU252*BU186+BV252*BV186+BW252*BW186+BX252*BX186+BY252*BY186+BZ252*BZ186+CA252*CA186+CB252*CB186+CC252*CC186+CD252*CD186+CE252*CE186+CF252*CF186+CG252*CG186+CH252*CH186+CI252*CI186+CJ252*CJ186+CK252*CK186+CL252*CL186+CM252*CM186+CN252*CN186</f>
        <v>0</v>
      </c>
      <c r="CV186" s="2652">
        <f>E253*E186+F253*F186+G253*G186+H253*H186+I253*I186+J253*J186+K253*K186+L253*L186+M253*M186+N253*N186+O253*O186+P253*P186+Q253*Q186+R253*R186+S253*S186+T253*T186+U253*U186+V253*V186+W253*W186+X253*X186+Y253*Y186+Z253*Z186+AA253*AA186+AB253*AB186+AC253*AC186+AD253*AD186+AE253*AE186+AF253*AF186+AG253*AG186+AH253*AH186+AI253*AI186+AJ253*AJ186+AK253*AK186+AL253*AL186+AM253*AM186+AN253*AN186+AO253*AO186+AP253*AP186+AQ253*AQ186+AR253*AR186+AS253*AS186+AT253*AT186+AU253*AU186+AV253*AV186+AW253*AW186+AX253*AX186+AY253*AY186+AZ253*AZ186+BA253*BA186+BB253*BB186+BC253*BC186+BD253*BD186+BE253*BE186+BF253*BF186+BG253*BG186+BH253*BH186+BI253*BI186+BJ253*BJ186+BK253*BK186+BL253*BL186+BM253*BM186+BN253*BN186+BO253*BO186+BP253*BP186+BQ253*BQ186+BR253*BR186+BS253*BS186+BT253*BT186+BU253*BU186+BV253*BV186+BW253*BW186+BX253*BX186+BY253*BY186+BZ253*BZ186+CA253*CA186+CB253*CB186+CC253*CC186+CD253*CD186+CE253*CE186+CF253*CF186+CG253*CG186+CH253*CH186+CI253*CI186+CJ253*CJ186+CK253*CK186+CL253*CL186+CM253*CM186+CN253*CN186</f>
        <v>0</v>
      </c>
      <c r="CW186" s="2652">
        <f>E254*E186+F254*F186+G254*G186+H254*H186+I254*I186+J254*J186+K254*K186+L254*L186+M254*M186+N254*N186+O254*O186+P254*P186+Q254*Q186+R254*R186+S254*S186+T254*T186+U254*U186+V254*V186+W254*W186+X254*X186+Y254*Y186+Z254*Z186+AA254*AA186+AB254*AB186+AC254*AC186+AD254*AD186+AE254*AE186+AF254*AF186+AG254*AG186+AH254*AH186+AI254*AI186+AJ254*AJ186+AK254*AK186+AL254*AL186+AM254*AM186+AN254*AN186+AO254*AO186+AP254*AP186+AQ254*AQ186+AR254*AR186+AS254*AS186+AT254*AT186+AU254*AU186+AV254*AV186+AW254*AW186+AX254*AX186+AY254*AY186+AZ254*AZ186+BA254*BA186+BB254*BB186+BC254*BC186+BD254*BD186+BE254*BE186+BF254*BF186+BG254*BG186+BH254*BH186+BI254*BI186+BJ254*BJ186+BK254*BK186+BL254*BL186+BM254*BM186+BN254*BN186+BO254*BO186+BP254*BP186+BQ254*BQ186+BR254*BR186+BS254*BS186+BT254*BT186+BU254*BU186+BV254*BV186+BW254*BW186+BX254*BX186+BY254*BY186+BZ254*BZ186+CA254*CA186+CB254*CB186+CC254*CC186+CD254*CD186+CE254*CE186+CF254*CF186+CG254*CG186+CH254*CH186+CI254*CI186+CJ254*CJ186+CK254*CK186+CL254*CL186+CM254*CM186+CN254*CN186</f>
        <v>0</v>
      </c>
      <c r="CX186" s="2652">
        <f>E255*E186+F255*F186+G255*G186+H255*H186+I255*I186+J255*J186+K255*K186+L255*L186+M255*M186+N255*N186+O255*O186+P255*P186+Q255*Q186+R255*R186+S255*S186+T255*T186+U255*U186+V255*V186+W255*W186+X255*X186+Y255*Y186+Z255*Z186+AA255*AA186+AB255*AB186+AC255*AC186+AD255*AD186+AE255*AE186+AF255*AF186+AG255*AG186+AH255*AH186+AI255*AI186+AJ255*AJ186+AK255*AK186+AL255*AL186+AM255*AM186+AN255*AN186+AO255*AO186+AP255*AP186+AQ255*AQ186+AR255*AR186+AS255*AS186+AT255*AT186+AU255*AU186+AV255*AV186+AW255*AW186+AX255*AX186+AY255*AY186+AZ255*AZ186+BA255*BA186+BB255*BB186+BC255*BC186+BD255*BD186+BE255*BE186+BF255*BF186+BG255*BG186+BH255*BH186+BI255*BI186+BJ255*BJ186+BK255*BK186+BL255*BL186+BM255*BM186+BN255*BN186+BO255*BO186+BP255*BP186+BQ255*BQ186+BR255*BR186+BS255*BS186+BT255*BT186+BU255*BU186+BV255*BV186+BW255*BW186+BX255*BX186+BY255*BY186+BZ255*BZ186+CA255*CA186+CB255*CB186+CC255*CC186+CD255*CD186+CE255*CE186+CF255*CF186+CG255*CG186+CH255*CH186+CI255*CI186+CJ255*CJ186+CK255*CK186+CL255*CL186+CM255*CM186+CN255*CN186</f>
        <v>0</v>
      </c>
      <c r="CY186" s="2652">
        <f>E256*E186+F256*F186+G256*G186+H256*H186+I256*I186+J256*J186+K256*K186+L256*L186+M256*M186+N256*N186+O256*O186+P256*P186+Q256*Q186+R256*R186+S256*S186+T256*T186+U256*U186+V256*V186+W256*W186+X256*X186+Y256*Y186+Z256*Z186+AA256*AA186+AB256*AB186+AC256*AC186+AD256*AD186+AE256*AE186+AF256*AF186+AG256*AG186+AH256*AH186+AI256*AI186+AJ256*AJ186+AK256*AK186+AL256*AL186+AM256*AM186+AN256*AN186+AO256*AO186+AP256*AP186+AQ256*AQ186+AR256*AR186+AS256*AS186+AT256*AT186+AU256*AU186+AV256*AV186+AW256*AW186+AX256*AX186+AY256*AY186+AZ256*AZ186+BA256*BA186+BB256*BB186+BC256*BC186+BD256*BD186+BE256*BE186+BF256*BF186+BG256*BG186+BH256*BH186+BI256*BI186+BJ256*BJ186+BK256*BK186+BL256*BL186+BM256*BM186+BN256*BN186+BO256*BO186+BP256*BP186+BQ256*BQ186+BR256*BR186+BS256*BS186+BT256*BT186+BU256*BU186+BV256*BV186+BW256*BW186+BX256*BX186+BY256*BY186+BZ256*BZ186+CA256*CA186+CB256*CB186+CC256*CC186+CD256*CD186+CE256*CE186+CF256*CF186+CG256*CG186+CH256*CH186+CI256*CI186+CJ256*CJ186+CK256*CK186+CL256*CL186+CM256*CM186+CN256*CN186</f>
        <v>0</v>
      </c>
      <c r="CZ186" s="2652">
        <f>E257*E186+F257*F186+G257*G186+H257*H186+I257*I186+J257*J186+K257*K186+L257*L186+M257*M186+N257*N186+O257*O186+P257*P186+Q257*Q186+R257*R186+S257*S186+T257*T186+U257*U186+V257*V186+W257*W186+X257*X186+Y257*Y186+Z257*Z186+AA257*AA186+AB257*AB186+AC257*AC186+AD257*AD186+AE257*AE186+AF257*AF186+AG257*AG186+AH257*AH186+AI257*AI186+AJ257*AJ186+AK257*AK186+AL257*AL186+AM257*AM186+AN257*AN186+AO257*AO186+AP257*AP186+AQ257*AQ186+AR257*AR186+AS257*AS186+AT257*AT186+AU257*AU186+AV257*AV186+AW257*AW186+AX257*AX186+AY257*AY186+AZ257*AZ186+BA257*BA186+BB257*BB186+BC257*BC186+BD257*BD186+BE257*BE186+BF257*BF186+BG257*BG186+BH257*BH186+BI257*BI186+BJ257*BJ186+BK257*BK186+BL257*BL186+BM257*BM186+BN257*BN186+BO257*BO186+BP257*BP186+BQ257*BQ186+BR257*BR186+BS257*BS186+BT257*BT186+BU257*BU186+BV257*BV186+BW257*BW186+BX257*BX186+BY257*BY186+BZ257*BZ186+CA257*CA186+CB257*CB186+CC257*CC186+CD257*CD186+CE257*CE186+CF257*CF186+CG257*CG186+CH257*CH186+CI257*CI186+CJ257*CJ186+CK257*CK186+CL257*CL186+CM257*CM186+CN257*CN186</f>
        <v>0</v>
      </c>
      <c r="DA186" s="2652">
        <f>E258*E186+F258*F186+G258*G186+H258*H186+I258*I186+J258*J186+K258*K186+L258*L186+M258*M186+N258*N186+O258*O186+P258*P186+Q258*Q186+R258*R186+S258*S186+T258*T186+U258*U186+V258*V186+W258*W186+X258*X186+Y258*Y186+Z258*Z186+AA258*AA186+AB258*AB186+AC258*AC186+AD258*AD186+AE258*AE186+AF258*AF186+AG258*AG186+AH258*AH186+AI258*AI186+AJ258*AJ186+AK258*AK186+AL258*AL186+AM258*AM186+AN258*AN186+AO258*AO186+AP258*AP186+AQ258*AQ186+AR258*AR186+AS258*AS186+AT258*AT186+AU258*AU186+AV258*AV186+AW258*AW186+AX258*AX186+AY258*AY186+AZ258*AZ186+BA258*BA186+BB258*BB186+BC258*BC186+BD258*BD186+BE258*BE186+BF258*BF186+BG258*BG186+BH258*BH186+BI258*BI186+BJ258*BJ186+BK258*BK186+BL258*BL186+BM258*BM186+BN258*BN186+BO258*BO186+BP258*BP186+BQ258*BQ186+BR258*BR186+BS258*BS186+BT258*BT186+BU258*BU186+BV258*BV186+BW258*BW186+BX258*BX186+BY258*BY186+BZ258*BZ186+CA258*CA186+CB258*CB186+CC258*CC186+CD258*CD186+CE258*CE186+CF258*CF186+CG258*CG186+CH258*CH186+CI258*CI186+CJ258*CJ186+CK258*CK186+CL258*CL186+CM258*CM186+CN258*CN186</f>
        <v>0</v>
      </c>
    </row>
    <row r="187" spans="2:105" ht="18" x14ac:dyDescent="0.25">
      <c r="B187" s="1088">
        <v>54</v>
      </c>
      <c r="C187" s="1078" t="s">
        <v>2106</v>
      </c>
      <c r="D187" s="831" t="s">
        <v>307</v>
      </c>
      <c r="E187" s="2689">
        <f>0</f>
        <v>0</v>
      </c>
      <c r="F187" s="2689">
        <f>0</f>
        <v>0</v>
      </c>
      <c r="G187" s="2689">
        <f>0</f>
        <v>0</v>
      </c>
      <c r="H187" s="2689">
        <f>0</f>
        <v>0</v>
      </c>
      <c r="I187" s="2689">
        <f>0</f>
        <v>0</v>
      </c>
      <c r="J187" s="2689">
        <f>0</f>
        <v>0</v>
      </c>
      <c r="K187" s="2689">
        <f>0</f>
        <v>0</v>
      </c>
      <c r="L187" s="2689">
        <f>0</f>
        <v>0</v>
      </c>
      <c r="M187" s="2689">
        <f>0</f>
        <v>0</v>
      </c>
      <c r="N187" s="2689">
        <f>0</f>
        <v>0</v>
      </c>
      <c r="O187" s="2689">
        <f>0</f>
        <v>0</v>
      </c>
      <c r="P187" s="2689">
        <f>0</f>
        <v>0</v>
      </c>
      <c r="Q187" s="2689">
        <f>0</f>
        <v>0</v>
      </c>
      <c r="R187" s="2689">
        <f>0</f>
        <v>0</v>
      </c>
      <c r="S187" s="2689">
        <f>0</f>
        <v>0</v>
      </c>
      <c r="T187" s="2689">
        <f>0</f>
        <v>0</v>
      </c>
      <c r="U187" s="2689">
        <f>0</f>
        <v>0</v>
      </c>
      <c r="V187" s="2689">
        <f>0</f>
        <v>0</v>
      </c>
      <c r="W187" s="2689">
        <f>0</f>
        <v>0</v>
      </c>
      <c r="X187" s="2689">
        <f>0</f>
        <v>0</v>
      </c>
      <c r="Y187" s="2689">
        <f>0</f>
        <v>0</v>
      </c>
      <c r="Z187" s="2689">
        <f>0</f>
        <v>0</v>
      </c>
      <c r="AA187" s="2689">
        <f>0</f>
        <v>0</v>
      </c>
      <c r="AB187" s="2689">
        <f>1</f>
        <v>1</v>
      </c>
      <c r="AC187" s="2725">
        <f>0</f>
        <v>0</v>
      </c>
      <c r="AD187" s="2689">
        <f>-i_N_BIO</f>
        <v>-7.0000000000000007E-2</v>
      </c>
      <c r="AE187" s="2689">
        <f>0</f>
        <v>0</v>
      </c>
      <c r="AF187" s="2689">
        <f>0</f>
        <v>0</v>
      </c>
      <c r="AG187" s="2689">
        <f>0</f>
        <v>0</v>
      </c>
      <c r="AH187" s="2689">
        <f>0</f>
        <v>0</v>
      </c>
      <c r="AI187" s="2689">
        <f>0</f>
        <v>0</v>
      </c>
      <c r="AJ187" s="2689">
        <f>0</f>
        <v>0</v>
      </c>
      <c r="AK187" s="2689">
        <f>0</f>
        <v>0</v>
      </c>
      <c r="AL187" s="2735">
        <f>-i_P_BIO</f>
        <v>-0.02</v>
      </c>
      <c r="AM187" s="2689">
        <f>0</f>
        <v>0</v>
      </c>
      <c r="AN187" s="2689">
        <f>0</f>
        <v>0</v>
      </c>
      <c r="AO187" s="2689">
        <f>0</f>
        <v>0</v>
      </c>
      <c r="AP187" s="2689">
        <f>0</f>
        <v>0</v>
      </c>
      <c r="AQ187" s="2689">
        <f>0</f>
        <v>0</v>
      </c>
      <c r="AR187" s="2689">
        <f>0</f>
        <v>0</v>
      </c>
      <c r="AS187" s="2689">
        <f>(1-Y_HMETO)/Y_HMETO</f>
        <v>9</v>
      </c>
      <c r="AT187" s="2735">
        <f>-1/Y_HMETO</f>
        <v>-10</v>
      </c>
      <c r="AU187" s="2735">
        <f>-i_CIT_BIO-i_CIT_CH4*(1-Y_HMETO)/Y_HMETO</f>
        <v>-2.044</v>
      </c>
      <c r="AV187" s="2735">
        <f>i_INORG</f>
        <v>0.11</v>
      </c>
      <c r="AW187" s="2735">
        <f>-i_INORG*(1-i_Ca_INORG*(A_MCa+2*A_MCl)/A_MCa-i_Mg_INORG*(A_MMg+2*A_MCl)/A_MMg)*f_Na</f>
        <v>-2.8804303582798466E-2</v>
      </c>
      <c r="AX187" s="2735">
        <f>-i_INORG*(i_Ca_INORG*(2*A_MCl)/A_MCa+i_Mg_INORG*(2*A_MCl)/A_MMg)-i_INORG*(1-i_Ca_INORG*(A_MCa+2*A_MCl)/A_MCa-i_Mg_INORG*(A_MMg+2*A_MCl)/A_MMg)*(1-f_Na)</f>
        <v>-7.0195696417201539E-2</v>
      </c>
      <c r="AY187" s="2735">
        <f>-i_INORG*i_Ca_INORG</f>
        <v>-5.5000000000000005E-3</v>
      </c>
      <c r="AZ187" s="2735">
        <f>-i_INORG*i_Mg_INORG</f>
        <v>-5.5000000000000005E-3</v>
      </c>
      <c r="BA187" s="2735">
        <f>0</f>
        <v>0</v>
      </c>
      <c r="BB187" s="2735">
        <f>0</f>
        <v>0</v>
      </c>
      <c r="BC187" s="2735">
        <f>0</f>
        <v>0</v>
      </c>
      <c r="BD187" s="2735">
        <f>0</f>
        <v>0</v>
      </c>
      <c r="BE187" s="2735">
        <f>0</f>
        <v>0</v>
      </c>
      <c r="BF187" s="2735">
        <f>0</f>
        <v>0</v>
      </c>
      <c r="BG187" s="2735">
        <f>0</f>
        <v>0</v>
      </c>
      <c r="BH187" s="2735">
        <f>0</f>
        <v>0</v>
      </c>
      <c r="BI187" s="2735">
        <f>0</f>
        <v>0</v>
      </c>
      <c r="BJ187" s="2774">
        <f>0</f>
        <v>0</v>
      </c>
      <c r="BK187" s="2774">
        <f>0</f>
        <v>0</v>
      </c>
      <c r="BL187" s="2774">
        <f>0</f>
        <v>0</v>
      </c>
      <c r="BM187" s="2774">
        <f>0</f>
        <v>0</v>
      </c>
      <c r="BN187" s="2774">
        <f>0</f>
        <v>0</v>
      </c>
      <c r="BO187" s="2774">
        <f>0</f>
        <v>0</v>
      </c>
      <c r="BP187" s="2774">
        <f>0</f>
        <v>0</v>
      </c>
      <c r="BQ187" s="2735">
        <f>0</f>
        <v>0</v>
      </c>
      <c r="BR187" s="2735">
        <f>0</f>
        <v>0</v>
      </c>
      <c r="BS187" s="2774">
        <f>0</f>
        <v>0</v>
      </c>
      <c r="BT187" s="2735">
        <f>0</f>
        <v>0</v>
      </c>
      <c r="BU187" s="2735">
        <f>0</f>
        <v>0</v>
      </c>
      <c r="BV187" s="2789">
        <f>0</f>
        <v>0</v>
      </c>
      <c r="BW187" s="2789">
        <f>0</f>
        <v>0</v>
      </c>
      <c r="BX187" s="2789">
        <f>0</f>
        <v>0</v>
      </c>
      <c r="BY187" s="2789">
        <f>0</f>
        <v>0</v>
      </c>
      <c r="BZ187" s="2735">
        <f>0</f>
        <v>0</v>
      </c>
      <c r="CA187" s="2735">
        <f>0</f>
        <v>0</v>
      </c>
      <c r="CB187" s="2805">
        <f>0</f>
        <v>0</v>
      </c>
      <c r="CC187" s="2735">
        <f>0</f>
        <v>0</v>
      </c>
      <c r="CD187" s="2735">
        <f>0</f>
        <v>0</v>
      </c>
      <c r="CE187" s="2735">
        <f>0</f>
        <v>0</v>
      </c>
      <c r="CF187" s="2735">
        <f>0</f>
        <v>0</v>
      </c>
      <c r="CG187" s="2735">
        <f>0</f>
        <v>0</v>
      </c>
      <c r="CH187" s="2735">
        <f>0</f>
        <v>0</v>
      </c>
      <c r="CI187" s="2735">
        <f>0</f>
        <v>0</v>
      </c>
      <c r="CJ187" s="2735">
        <f>0</f>
        <v>0</v>
      </c>
      <c r="CK187" s="2735">
        <f>0</f>
        <v>0</v>
      </c>
      <c r="CL187" s="2735">
        <f>0</f>
        <v>0</v>
      </c>
      <c r="CM187" s="2735">
        <f>0</f>
        <v>0</v>
      </c>
      <c r="CN187" s="2735">
        <f>0</f>
        <v>0</v>
      </c>
      <c r="CO187" s="2834">
        <f>µ_HMETO_T*X_HMETO*M_satSCO2_KCO2_BIO*M_satSH2_KH2_HMETO*M_inhSO2_KiO2_HMETO*M_inhSNOx_KNO3_HMETO*M_satSNHx_KNHx_BIO*M_satSPO4_KPO4_BIO*M_satSCAT_KCAT*M_satSAN_KAN*M_satSCa_KCa*M_satSMg_KMg*B_ellinhpH_HMETO</f>
        <v>5.4356003550265865E-6</v>
      </c>
      <c r="CQ187" s="2650">
        <f>E248*E187+F248*F187+G248*G187+H248*H187+I248*I187+J248*J187+K248*K187+L248*L187+M248*M187+N248*N187+O248*O187+P248*P187+Q248*Q187+R248*R187+S248*S187+T248*T187+U248*U187+V248*V187+W248*W187+X248*X187+Y248*Y187+Z248*Z187+AA248*AA187+AB248*AB187+AC248*AC187+AD248*AD187+AE248*AE187+AF248*AF187+AG248*AG187+AH248*AH187+AI248*AI187+AJ248*AJ187+AK248*AK187+AL248*AL187+AM248*AM187+AN248*AN187+AO248*AO187+AP248*AP187+AQ248*AQ187+AR248*AR187+AS248*AS187+AT248*AT187+AU248*AU187+AV248*AV187+AW248*AW187+AX248*AX187+AY248*AY187+AZ248*AZ187+BA248*BA187+BB248*BB187+BC248*BC187+BD248*BD187+BE248*BE187+BF248*BF187+BG248*BG187+BH248*BH187+BI248*BI187+BJ248*BJ187+BK248*BK187+BL248*BL187+BM248*BM187+BN248*BN187+BO248*BO187+BP248*BP187+BQ248*BQ187+BR248*BR187+BS248*BS187+BT248*BT187+BU248*BU187+BV248*BV187+BW248*BW187+BX248*BX187+BY248*BY187+BZ248*BZ187+CA248*CA187+CB248*CB187+CC248*CC187+CD248*CD187+CE248*CE187+CF248*CF187+CG248*CG187+CH248*CH187+CI248*CI187+CJ248*CJ187+CK248*CK187+CL248*CL187+CM248*CM187+CN248*CN187</f>
        <v>0</v>
      </c>
      <c r="CR187" s="2650">
        <f>E249*E187+F249*F187+G249*G187+H249*H187+I249*I187+J249*J187+K249*K187+L249*L187+M249*M187+N249*N187+O249*O187+P249*P187+Q249*Q187+R249*R187+S249*S187+T249*T187+U249*U187+V249*V187+W249*W187+X249*X187+Y249*Y187+Z249*Z187+AA249*AA187+AB249*AB187+AC249*AC187+AD249*AD187+AE249*AE187+AF249*AF187+AG249*AG187+AH249*AH187+AI249*AI187+AJ249*AJ187+AK249*AK187+AL249*AL187+AM249*AM187+AN249*AN187+AO249*AO187+AP249*AP187+AQ249*AQ187+AR249*AR187+AS249*AS187+AT249*AT187+AU249*AU187+AV249*AV187+AW249*AW187+AX249*AX187+AY249*AY187+AZ249*AZ187+BA249*BA187+BB249*BB187+BC249*BC187+BD249*BD187+BE249*BE187+BF249*BF187+BG249*BG187+BH249*BH187+BI249*BI187+BJ249*BJ187+BK249*BK187+BL249*BL187+BM249*BM187+BN249*BN187+BO249*BO187+BP249*BP187+BQ249*BQ187+BR249*BR187+BS249*BS187+BT249*BT187+BU249*BU187+BV249*BV187+BW249*BW187+BX249*BX187+BY249*BY187+BZ249*BZ187+CA249*CA187+CB249*CB187+CC249*CC187+CD249*CD187+CE249*CE187+CF249*CF187+CG249*CG187+CH249*CH187+CI249*CI187+CJ249*CJ187+CK249*CK187+CL249*CL187+CM249*CM187+CN249*CN187</f>
        <v>0</v>
      </c>
      <c r="CS187" s="2651">
        <f>E250*E187+F250*F187+G250*G187+H250*H187+I250*I187+J250*J187+K250*K187+L250*L187+M250*M187+N250*N187+O250*O187+P250*P187+Q250*Q187+R250*R187+S250*S187+T250*T187+U250*U187+V250*V187+W250*W187+X250*X187+Y250*Y187+Z250*Z187+AA250*AA187+AB250*AB187+AC250*AC187+AD250*AD187+AE250*AE187+AF250*AF187+AG250*AG187+AH250*AH187+AI250*AI187+AJ250*AJ187+AK250*AK187+AL250*AL187+AM250*AM187+AN250*AN187+AO250*AO187+AP250*AP187+AQ250*AQ187+AR250*AR187+AS250*AS187+AT250*AT187+AU250*AU187+AV250*AV187+AW250*AW187+AX250*AX187+AY250*AY187+AZ250*AZ187+BA250*BA187+BB250*BB187+BC250*BC187+BD250*BD187+BE250*BE187+BF250*BF187+BG250*BG187+BH250*BH187+BI250*BI187+BJ250*BJ187+BK250*BK187+BL250*BL187+BM250*BM187+BN250*BN187+BO250*BO187+BP250*BP187+BQ250*BQ187+BR250*BR187+BS250*BS187+BT250*BT187+BU250*BU187+BV250*BV187+BW250*BW187+BX250*BX187+BY250*BY187+BZ250*BZ187+CA250*CA187+CB250*CB187+CC250*CC187+CD250*CD187+CE250*CE187+CF250*CF187+CG250*CG187+CH250*CH187+CI250*CI187+CJ250*CJ187+CK250*CK187+CL250*CL187+CM250*CM187+CN250*CN187</f>
        <v>0</v>
      </c>
      <c r="CT187" s="2652">
        <f>E251*E187+F251*F187+G251*G187+H251*H187+I251*I187+J251*J187+K251*K187+L251*L187+M251*M187+N251*N187+O251*O187+P251*P187+Q251*Q187+R251*R187+S251*S187+T251*T187+U251*U187+V251*V187+W251*W187+X251*X187+Y251*Y187+Z251*Z187+AA251*AA187+AB251*AB187+AC251*AC187+AD251*AD187+AE251*AE187+AF251*AF187+AG251*AG187+AH251*AH187+AI251*AI187+AJ251*AJ187+AK251*AK187+AL251*AL187+AM251*AM187+AN251*AN187+AO251*AO187+AP251*AP187+AQ251*AQ187+AR251*AR187+AS251*AS187+AT251*AT187+AU251*AU187+AV251*AV187+AW251*AW187+AX251*AX187+AY251*AY187+AZ251*AZ187+BA251*BA187+BB251*BB187+BC251*BC187+BD251*BD187+BE251*BE187+BF251*BF187+BG251*BG187+BH251*BH187+BI251*BI187+BJ251*BJ187+BK251*BK187+BL251*BL187+BM251*BM187+BN251*BN187+BO251*BO187+BP251*BP187+BQ251*BQ187+BR251*BR187+BS251*BS187+BT251*BT187+BU251*BU187+BV251*BV187+BW251*BW187+BX251*BX187+BY251*BY187+BZ251*BZ187+CA251*CA187+CB251*CB187+CC251*CC187+CD251*CD187+CE251*CE187+CF251*CF187+CG251*CG187+CH251*CH187+CI251*CI187+CJ251*CJ187+CK251*CK187+CL251*CL187+CM251*CM187+CN251*CN187</f>
        <v>0</v>
      </c>
      <c r="CU187" s="2652">
        <f>E252*E187+F252*F187+G252*G187+H252*H187+I252*I187+J252*J187+K252*K187+L252*L187+M252*M187+N252*N187+O252*O187+P252*P187+Q252*Q187+R252*R187+S252*S187+T252*T187+U252*U187+V252*V187+W252*W187+X252*X187+Y252*Y187+Z252*Z187+AA252*AA187+AB252*AB187+AC252*AC187+AD252*AD187+AE252*AE187+AF252*AF187+AG252*AG187+AH252*AH187+AI252*AI187+AJ252*AJ187+AK252*AK187+AL252*AL187+AM252*AM187+AN252*AN187+AO252*AO187+AP252*AP187+AQ252*AQ187+AR252*AR187+AS252*AS187+AT252*AT187+AU252*AU187+AV252*AV187+AW252*AW187+AX252*AX187+AY252*AY187+AZ252*AZ187+BA252*BA187+BB252*BB187+BC252*BC187+BD252*BD187+BE252*BE187+BF252*BF187+BG252*BG187+BH252*BH187+BI252*BI187+BJ252*BJ187+BK252*BK187+BL252*BL187+BM252*BM187+BN252*BN187+BO252*BO187+BP252*BP187+BQ252*BQ187+BR252*BR187+BS252*BS187+BT252*BT187+BU252*BU187+BV252*BV187+BW252*BW187+BX252*BX187+BY252*BY187+BZ252*BZ187+CA252*CA187+CB252*CB187+CC252*CC187+CD252*CD187+CE252*CE187+CF252*CF187+CG252*CG187+CH252*CH187+CI252*CI187+CJ252*CJ187+CK252*CK187+CL252*CL187+CM252*CM187+CN252*CN187</f>
        <v>0</v>
      </c>
      <c r="CV187" s="2652">
        <f>E253*E187+F253*F187+G253*G187+H253*H187+I253*I187+J253*J187+K253*K187+L253*L187+M253*M187+N253*N187+O253*O187+P253*P187+Q253*Q187+R253*R187+S253*S187+T253*T187+U253*U187+V253*V187+W253*W187+X253*X187+Y253*Y187+Z253*Z187+AA253*AA187+AB253*AB187+AC253*AC187+AD253*AD187+AE253*AE187+AF253*AF187+AG253*AG187+AH253*AH187+AI253*AI187+AJ253*AJ187+AK253*AK187+AL253*AL187+AM253*AM187+AN253*AN187+AO253*AO187+AP253*AP187+AQ253*AQ187+AR253*AR187+AS253*AS187+AT253*AT187+AU253*AU187+AV253*AV187+AW253*AW187+AX253*AX187+AY253*AY187+AZ253*AZ187+BA253*BA187+BB253*BB187+BC253*BC187+BD253*BD187+BE253*BE187+BF253*BF187+BG253*BG187+BH253*BH187+BI253*BI187+BJ253*BJ187+BK253*BK187+BL253*BL187+BM253*BM187+BN253*BN187+BO253*BO187+BP253*BP187+BQ253*BQ187+BR253*BR187+BS253*BS187+BT253*BT187+BU253*BU187+BV253*BV187+BW253*BW187+BX253*BX187+BY253*BY187+BZ253*BZ187+CA253*CA187+CB253*CB187+CC253*CC187+CD253*CD187+CE253*CE187+CF253*CF187+CG253*CG187+CH253*CH187+CI253*CI187+CJ253*CJ187+CK253*CK187+CL253*CL187+CM253*CM187+CN253*CN187</f>
        <v>0</v>
      </c>
      <c r="CW187" s="2652">
        <f>E254*E187+F254*F187+G254*G187+H254*H187+I254*I187+J254*J187+K254*K187+L254*L187+M254*M187+N254*N187+O254*O187+P254*P187+Q254*Q187+R254*R187+S254*S187+T254*T187+U254*U187+V254*V187+W254*W187+X254*X187+Y254*Y187+Z254*Z187+AA254*AA187+AB254*AB187+AC254*AC187+AD254*AD187+AE254*AE187+AF254*AF187+AG254*AG187+AH254*AH187+AI254*AI187+AJ254*AJ187+AK254*AK187+AL254*AL187+AM254*AM187+AN254*AN187+AO254*AO187+AP254*AP187+AQ254*AQ187+AR254*AR187+AS254*AS187+AT254*AT187+AU254*AU187+AV254*AV187+AW254*AW187+AX254*AX187+AY254*AY187+AZ254*AZ187+BA254*BA187+BB254*BB187+BC254*BC187+BD254*BD187+BE254*BE187+BF254*BF187+BG254*BG187+BH254*BH187+BI254*BI187+BJ254*BJ187+BK254*BK187+BL254*BL187+BM254*BM187+BN254*BN187+BO254*BO187+BP254*BP187+BQ254*BQ187+BR254*BR187+BS254*BS187+BT254*BT187+BU254*BU187+BV254*BV187+BW254*BW187+BX254*BX187+BY254*BY187+BZ254*BZ187+CA254*CA187+CB254*CB187+CC254*CC187+CD254*CD187+CE254*CE187+CF254*CF187+CG254*CG187+CH254*CH187+CI254*CI187+CJ254*CJ187+CK254*CK187+CL254*CL187+CM254*CM187+CN254*CN187</f>
        <v>0</v>
      </c>
      <c r="CX187" s="2652">
        <f>E255*E187+F255*F187+G255*G187+H255*H187+I255*I187+J255*J187+K255*K187+L255*L187+M255*M187+N255*N187+O255*O187+P255*P187+Q255*Q187+R255*R187+S255*S187+T255*T187+U255*U187+V255*V187+W255*W187+X255*X187+Y255*Y187+Z255*Z187+AA255*AA187+AB255*AB187+AC255*AC187+AD255*AD187+AE255*AE187+AF255*AF187+AG255*AG187+AH255*AH187+AI255*AI187+AJ255*AJ187+AK255*AK187+AL255*AL187+AM255*AM187+AN255*AN187+AO255*AO187+AP255*AP187+AQ255*AQ187+AR255*AR187+AS255*AS187+AT255*AT187+AU255*AU187+AV255*AV187+AW255*AW187+AX255*AX187+AY255*AY187+AZ255*AZ187+BA255*BA187+BB255*BB187+BC255*BC187+BD255*BD187+BE255*BE187+BF255*BF187+BG255*BG187+BH255*BH187+BI255*BI187+BJ255*BJ187+BK255*BK187+BL255*BL187+BM255*BM187+BN255*BN187+BO255*BO187+BP255*BP187+BQ255*BQ187+BR255*BR187+BS255*BS187+BT255*BT187+BU255*BU187+BV255*BV187+BW255*BW187+BX255*BX187+BY255*BY187+BZ255*BZ187+CA255*CA187+CB255*CB187+CC255*CC187+CD255*CD187+CE255*CE187+CF255*CF187+CG255*CG187+CH255*CH187+CI255*CI187+CJ255*CJ187+CK255*CK187+CL255*CL187+CM255*CM187+CN255*CN187</f>
        <v>0</v>
      </c>
      <c r="CY187" s="2652">
        <f>E256*E187+F256*F187+G256*G187+H256*H187+I256*I187+J256*J187+K256*K187+L256*L187+M256*M187+N256*N187+O256*O187+P256*P187+Q256*Q187+R256*R187+S256*S187+T256*T187+U256*U187+V256*V187+W256*W187+X256*X187+Y256*Y187+Z256*Z187+AA256*AA187+AB256*AB187+AC256*AC187+AD256*AD187+AE256*AE187+AF256*AF187+AG256*AG187+AH256*AH187+AI256*AI187+AJ256*AJ187+AK256*AK187+AL256*AL187+AM256*AM187+AN256*AN187+AO256*AO187+AP256*AP187+AQ256*AQ187+AR256*AR187+AS256*AS187+AT256*AT187+AU256*AU187+AV256*AV187+AW256*AW187+AX256*AX187+AY256*AY187+AZ256*AZ187+BA256*BA187+BB256*BB187+BC256*BC187+BD256*BD187+BE256*BE187+BF256*BF187+BG256*BG187+BH256*BH187+BI256*BI187+BJ256*BJ187+BK256*BK187+BL256*BL187+BM256*BM187+BN256*BN187+BO256*BO187+BP256*BP187+BQ256*BQ187+BR256*BR187+BS256*BS187+BT256*BT187+BU256*BU187+BV256*BV187+BW256*BW187+BX256*BX187+BY256*BY187+BZ256*BZ187+CA256*CA187+CB256*CB187+CC256*CC187+CD256*CD187+CE256*CE187+CF256*CF187+CG256*CG187+CH256*CH187+CI256*CI187+CJ256*CJ187+CK256*CK187+CL256*CL187+CM256*CM187+CN256*CN187</f>
        <v>0</v>
      </c>
      <c r="CZ187" s="2652">
        <f>E257*E187+F257*F187+G257*G187+H257*H187+I257*I187+J257*J187+K257*K187+L257*L187+M257*M187+N257*N187+O257*O187+P257*P187+Q257*Q187+R257*R187+S257*S187+T257*T187+U257*U187+V257*V187+W257*W187+X257*X187+Y257*Y187+Z257*Z187+AA257*AA187+AB257*AB187+AC257*AC187+AD257*AD187+AE257*AE187+AF257*AF187+AG257*AG187+AH257*AH187+AI257*AI187+AJ257*AJ187+AK257*AK187+AL257*AL187+AM257*AM187+AN257*AN187+AO257*AO187+AP257*AP187+AQ257*AQ187+AR257*AR187+AS257*AS187+AT257*AT187+AU257*AU187+AV257*AV187+AW257*AW187+AX257*AX187+AY257*AY187+AZ257*AZ187+BA257*BA187+BB257*BB187+BC257*BC187+BD257*BD187+BE257*BE187+BF257*BF187+BG257*BG187+BH257*BH187+BI257*BI187+BJ257*BJ187+BK257*BK187+BL257*BL187+BM257*BM187+BN257*BN187+BO257*BO187+BP257*BP187+BQ257*BQ187+BR257*BR187+BS257*BS187+BT257*BT187+BU257*BU187+BV257*BV187+BW257*BW187+BX257*BX187+BY257*BY187+BZ257*BZ187+CA257*CA187+CB257*CB187+CC257*CC187+CD257*CD187+CE257*CE187+CF257*CF187+CG257*CG187+CH257*CH187+CI257*CI187+CJ257*CJ187+CK257*CK187+CL257*CL187+CM257*CM187+CN257*CN187</f>
        <v>0</v>
      </c>
      <c r="DA187" s="2652">
        <f>E258*E187+F258*F187+G258*G187+H258*H187+I258*I187+J258*J187+K258*K187+L258*L187+M258*M187+N258*N187+O258*O187+P258*P187+Q258*Q187+R258*R187+S258*S187+T258*T187+U258*U187+V258*V187+W258*W187+X258*X187+Y258*Y187+Z258*Z187+AA258*AA187+AB258*AB187+AC258*AC187+AD258*AD187+AE258*AE187+AF258*AF187+AG258*AG187+AH258*AH187+AI258*AI187+AJ258*AJ187+AK258*AK187+AL258*AL187+AM258*AM187+AN258*AN187+AO258*AO187+AP258*AP187+AQ258*AQ187+AR258*AR187+AS258*AS187+AT258*AT187+AU258*AU187+AV258*AV187+AW258*AW187+AX258*AX187+AY258*AY187+AZ258*AZ187+BA258*BA187+BB258*BB187+BC258*BC187+BD258*BD187+BE258*BE187+BF258*BF187+BG258*BG187+BH258*BH187+BI258*BI187+BJ258*BJ187+BK258*BK187+BL258*BL187+BM258*BM187+BN258*BN187+BO258*BO187+BP258*BP187+BQ258*BQ187+BR258*BR187+BS258*BS187+BT258*BT187+BU258*BU187+BV258*BV187+BW258*BW187+BX258*BX187+BY258*BY187+BZ258*BZ187+CA258*CA187+CB258*CB187+CC258*CC187+CD258*CD187+CE258*CE187+CF258*CF187+CG258*CG187+CH258*CH187+CI258*CI187+CJ258*CJ187+CK258*CK187+CL258*CL187+CM258*CM187+CN258*CN187</f>
        <v>0</v>
      </c>
    </row>
    <row r="188" spans="2:105" ht="18" x14ac:dyDescent="0.25">
      <c r="B188" s="1088">
        <v>55</v>
      </c>
      <c r="C188" s="1078" t="s">
        <v>2107</v>
      </c>
      <c r="D188" s="831" t="s">
        <v>293</v>
      </c>
      <c r="E188" s="2689">
        <f>0</f>
        <v>0</v>
      </c>
      <c r="F188" s="2689">
        <f>0</f>
        <v>0</v>
      </c>
      <c r="G188" s="2689">
        <f>0</f>
        <v>0</v>
      </c>
      <c r="H188" s="2689">
        <f>0</f>
        <v>0</v>
      </c>
      <c r="I188" s="2718">
        <f>f_C</f>
        <v>0.1</v>
      </c>
      <c r="J188" s="2689">
        <f>0</f>
        <v>0</v>
      </c>
      <c r="K188" s="2689">
        <f>(1-f_E)*(1-f_C)</f>
        <v>0.82800000000000007</v>
      </c>
      <c r="L188" s="2689">
        <f>0</f>
        <v>0</v>
      </c>
      <c r="M188" s="2689">
        <f>0</f>
        <v>0</v>
      </c>
      <c r="N188" s="2689">
        <f>0</f>
        <v>0</v>
      </c>
      <c r="O188" s="2689">
        <f>0</f>
        <v>0</v>
      </c>
      <c r="P188" s="2689">
        <f>0</f>
        <v>0</v>
      </c>
      <c r="Q188" s="2689">
        <f>0</f>
        <v>0</v>
      </c>
      <c r="R188" s="2689">
        <f>f_E*(1-f_C)</f>
        <v>7.2000000000000008E-2</v>
      </c>
      <c r="S188" s="2689">
        <f>0</f>
        <v>0</v>
      </c>
      <c r="T188" s="2689">
        <f>0</f>
        <v>0</v>
      </c>
      <c r="U188" s="2689">
        <f>0</f>
        <v>0</v>
      </c>
      <c r="V188" s="2689">
        <f>0</f>
        <v>0</v>
      </c>
      <c r="W188" s="2689">
        <f>0</f>
        <v>0</v>
      </c>
      <c r="X188" s="2689">
        <f>0</f>
        <v>0</v>
      </c>
      <c r="Y188" s="2689">
        <f>0</f>
        <v>0</v>
      </c>
      <c r="Z188" s="2689">
        <f>0</f>
        <v>0</v>
      </c>
      <c r="AA188" s="2689">
        <f>0</f>
        <v>0</v>
      </c>
      <c r="AB188" s="2689">
        <f>-1</f>
        <v>-1</v>
      </c>
      <c r="AC188" s="2725">
        <f>0</f>
        <v>0</v>
      </c>
      <c r="AD188" s="2689">
        <f>i_N_BIO-f_E*(1-f_C)*i_N_XE-f_C*i_N_CB-(1-f_E)*(1-f_C)*i_N_BIO</f>
        <v>6.7199999999999899E-3</v>
      </c>
      <c r="AE188" s="2689">
        <f>0</f>
        <v>0</v>
      </c>
      <c r="AF188" s="2689">
        <f>0</f>
        <v>0</v>
      </c>
      <c r="AG188" s="2689">
        <f>0</f>
        <v>0</v>
      </c>
      <c r="AH188" s="2689">
        <f>0</f>
        <v>0</v>
      </c>
      <c r="AI188" s="2689">
        <f>0</f>
        <v>0</v>
      </c>
      <c r="AJ188" s="2689">
        <f>(1-f_E)*(1-f_C)*i_N_BIO</f>
        <v>5.7960000000000012E-2</v>
      </c>
      <c r="AK188" s="2689">
        <f>0</f>
        <v>0</v>
      </c>
      <c r="AL188" s="2689">
        <f>i_P_BIO-f_E*(1-f_C)*i_P_BIO-f_C*i_P_CB-(1-f_E)*(1-f_C)*i_P_BIO</f>
        <v>1.7999999999999995E-3</v>
      </c>
      <c r="AM188" s="2689">
        <f>0</f>
        <v>0</v>
      </c>
      <c r="AN188" s="2689">
        <f>0</f>
        <v>0</v>
      </c>
      <c r="AO188" s="2689">
        <f>0</f>
        <v>0</v>
      </c>
      <c r="AP188" s="2689">
        <f>(1-f_E)*(1-f_C)*i_P_BIO</f>
        <v>1.6560000000000002E-2</v>
      </c>
      <c r="AQ188" s="2689">
        <f>0</f>
        <v>0</v>
      </c>
      <c r="AR188" s="2689">
        <f>0</f>
        <v>0</v>
      </c>
      <c r="AS188" s="2689">
        <f>0</f>
        <v>0</v>
      </c>
      <c r="AT188" s="2689">
        <f>0</f>
        <v>0</v>
      </c>
      <c r="AU188" s="2689">
        <f>i_CIT_BIO-f_E*(1-f_C)*i_CIT_BIO-(1-f_E)*(1-f_C)*i_CIT_XBe-(1-f_E)*f_C*i_CIT_XBe-f_E*f_C*i_CIT_XBe</f>
        <v>6.1248000000000011E-2</v>
      </c>
      <c r="AV188" s="2689">
        <f>0</f>
        <v>0</v>
      </c>
      <c r="AW188" s="2689">
        <f>0</f>
        <v>0</v>
      </c>
      <c r="AX188" s="2689">
        <f>0</f>
        <v>0</v>
      </c>
      <c r="AY188" s="2689">
        <f>0</f>
        <v>0</v>
      </c>
      <c r="AZ188" s="2689">
        <f>0</f>
        <v>0</v>
      </c>
      <c r="BA188" s="2689">
        <f>0</f>
        <v>0</v>
      </c>
      <c r="BB188" s="2689">
        <f>0</f>
        <v>0</v>
      </c>
      <c r="BC188" s="2689">
        <f>0</f>
        <v>0</v>
      </c>
      <c r="BD188" s="2689">
        <f>0</f>
        <v>0</v>
      </c>
      <c r="BE188" s="2689">
        <f>0</f>
        <v>0</v>
      </c>
      <c r="BF188" s="2689">
        <f>0</f>
        <v>0</v>
      </c>
      <c r="BG188" s="2689">
        <f>0</f>
        <v>0</v>
      </c>
      <c r="BH188" s="2689">
        <f>0</f>
        <v>0</v>
      </c>
      <c r="BI188" s="2689">
        <f>0</f>
        <v>0</v>
      </c>
      <c r="BJ188" s="2775">
        <f>0</f>
        <v>0</v>
      </c>
      <c r="BK188" s="2775">
        <f>0</f>
        <v>0</v>
      </c>
      <c r="BL188" s="2775">
        <f>0</f>
        <v>0</v>
      </c>
      <c r="BM188" s="2775">
        <f>0</f>
        <v>0</v>
      </c>
      <c r="BN188" s="2775">
        <f>0</f>
        <v>0</v>
      </c>
      <c r="BO188" s="2775">
        <f>0</f>
        <v>0</v>
      </c>
      <c r="BP188" s="2775">
        <f>0</f>
        <v>0</v>
      </c>
      <c r="BQ188" s="2689">
        <f>0</f>
        <v>0</v>
      </c>
      <c r="BR188" s="2689">
        <f>0</f>
        <v>0</v>
      </c>
      <c r="BS188" s="2775">
        <f>0</f>
        <v>0</v>
      </c>
      <c r="BT188" s="2689">
        <f>0</f>
        <v>0</v>
      </c>
      <c r="BU188" s="2689">
        <f>0</f>
        <v>0</v>
      </c>
      <c r="BV188" s="2725">
        <f>0</f>
        <v>0</v>
      </c>
      <c r="BW188" s="2725">
        <f>0</f>
        <v>0</v>
      </c>
      <c r="BX188" s="2725">
        <f>0</f>
        <v>0</v>
      </c>
      <c r="BY188" s="2725">
        <f>0</f>
        <v>0</v>
      </c>
      <c r="BZ188" s="2689">
        <f>0</f>
        <v>0</v>
      </c>
      <c r="CA188" s="2689">
        <f>0</f>
        <v>0</v>
      </c>
      <c r="CB188" s="2806">
        <f>0</f>
        <v>0</v>
      </c>
      <c r="CC188" s="2689">
        <f>0</f>
        <v>0</v>
      </c>
      <c r="CD188" s="2689">
        <f>0</f>
        <v>0</v>
      </c>
      <c r="CE188" s="2689">
        <f>0</f>
        <v>0</v>
      </c>
      <c r="CF188" s="2689">
        <f>0</f>
        <v>0</v>
      </c>
      <c r="CG188" s="2689">
        <f>0</f>
        <v>0</v>
      </c>
      <c r="CH188" s="2689">
        <f>0</f>
        <v>0</v>
      </c>
      <c r="CI188" s="2689">
        <f>0</f>
        <v>0</v>
      </c>
      <c r="CJ188" s="2689">
        <f>0</f>
        <v>0</v>
      </c>
      <c r="CK188" s="2689">
        <f>0</f>
        <v>0</v>
      </c>
      <c r="CL188" s="2689">
        <f>0</f>
        <v>0</v>
      </c>
      <c r="CM188" s="2689">
        <f>0</f>
        <v>0</v>
      </c>
      <c r="CN188" s="2689">
        <f>0</f>
        <v>0</v>
      </c>
      <c r="CO188" s="2834">
        <f>b_HMETO_T*X_HMETO*(m_tox_aer*M_satSO2_KiO2_HMETO+m_tox_anox*M_satSNOx_KNO3_HMETO*M_inhSO2_KiO2_HMETO)</f>
        <v>0.25679848448969933</v>
      </c>
      <c r="CQ188" s="2650">
        <f>E248*E188+F248*F188+G248*G188+H248*H188+I248*I188+J248*J188+K248*K188+L248*L188+M248*M188+N248*N188+O248*O188+P248*P188+Q248*Q188+R248*R188+S248*S188+T248*T188+U248*U188+V248*V188+W248*W188+X248*X188+Y248*Y188+Z248*Z188+AA248*AA188+AB248*AB188+AC248*AC188+AD248*AD188+AE248*AE188+AF248*AF188+AG248*AG188+AH248*AH188+AI248*AI188+AJ248*AJ188+AK248*AK188+AL248*AL188+AM248*AM188+AN248*AN188+AO248*AO188+AP248*AP188+AQ248*AQ188+AR248*AR188+AS248*AS188+AT248*AT188+AU248*AU188+AV248*AV188+AW248*AW188+AX248*AX188+AY248*AY188+AZ248*AZ188+BA248*BA188+BB248*BB188+BC248*BC188+BD248*BD188+BE248*BE188+BF248*BF188+BG248*BG188+BH248*BH188+BI248*BI188+BJ248*BJ188+BK248*BK188+BL248*BL188+BM248*BM188+BN248*BN188+BO248*BO188+BP248*BP188+BQ248*BQ188+BR248*BR188+BS248*BS188+BT248*BT188+BU248*BU188+BV248*BV188+BW248*BW188+BX248*BX188+BY248*BY188+BZ248*BZ188+CA248*CA188+CB248*CB188+CC248*CC188+CD248*CD188+CE248*CE188+CF248*CF188+CG248*CG188+CH248*CH188+CI248*CI188+CJ248*CJ188+CK248*CK188+CL248*CL188+CM248*CM188+CN248*CN188</f>
        <v>0</v>
      </c>
      <c r="CR188" s="2650">
        <f>E249*E188+F249*F188+G249*G188+H249*H188+I249*I188+J249*J188+K249*K188+L249*L188+M249*M188+N249*N188+O249*O188+P249*P188+Q249*Q188+R249*R188+S249*S188+T249*T188+U249*U188+V249*V188+W249*W188+X249*X188+Y249*Y188+Z249*Z188+AA249*AA188+AB249*AB188+AC249*AC188+AD249*AD188+AE249*AE188+AF249*AF188+AG249*AG188+AH249*AH188+AI249*AI188+AJ249*AJ188+AK249*AK188+AL249*AL188+AM249*AM188+AN249*AN188+AO249*AO188+AP249*AP188+AQ249*AQ188+AR249*AR188+AS249*AS188+AT249*AT188+AU249*AU188+AV249*AV188+AW249*AW188+AX249*AX188+AY249*AY188+AZ249*AZ188+BA249*BA188+BB249*BB188+BC249*BC188+BD249*BD188+BE249*BE188+BF249*BF188+BG249*BG188+BH249*BH188+BI249*BI188+BJ249*BJ188+BK249*BK188+BL249*BL188+BM249*BM188+BN249*BN188+BO249*BO188+BP249*BP188+BQ249*BQ188+BR249*BR188+BS249*BS188+BT249*BT188+BU249*BU188+BV249*BV188+BW249*BW188+BX249*BX188+BY249*BY188+BZ249*BZ188+CA249*CA188+CB249*CB188+CC249*CC188+CD249*CD188+CE249*CE188+CF249*CF188+CG249*CG188+CH249*CH188+CI249*CI188+CJ249*CJ188+CK249*CK188+CL249*CL188+CM249*CM188+CN249*CN188</f>
        <v>-1.3877787807814457E-17</v>
      </c>
      <c r="CS188" s="2651">
        <f>E250*E188+F250*F188+G250*G188+H250*H188+I250*I188+J250*J188+K250*K188+L250*L188+M250*M188+N250*N188+O250*O188+P250*P188+Q250*Q188+R250*R188+S250*S188+T250*T188+U250*U188+V250*V188+W250*W188+X250*X188+Y250*Y188+Z250*Z188+AA250*AA188+AB250*AB188+AC250*AC188+AD250*AD188+AE250*AE188+AF250*AF188+AG250*AG188+AH250*AH188+AI250*AI188+AJ250*AJ188+AK250*AK188+AL250*AL188+AM250*AM188+AN250*AN188+AO250*AO188+AP250*AP188+AQ250*AQ188+AR250*AR188+AS250*AS188+AT250*AT188+AU250*AU188+AV250*AV188+AW250*AW188+AX250*AX188+AY250*AY188+AZ250*AZ188+BA250*BA188+BB250*BB188+BC250*BC188+BD250*BD188+BE250*BE188+BF250*BF188+BG250*BG188+BH250*BH188+BI250*BI188+BJ250*BJ188+BK250*BK188+BL250*BL188+BM250*BM188+BN250*BN188+BO250*BO188+BP250*BP188+BQ250*BQ188+BR250*BR188+BS250*BS188+BT250*BT188+BU250*BU188+BV250*BV188+BW250*BW188+BX250*BX188+BY250*BY188+BZ250*BZ188+CA250*CA188+CB250*CB188+CC250*CC188+CD250*CD188+CE250*CE188+CF250*CF188+CG250*CG188+CH250*CH188+CI250*CI188+CJ250*CJ188+CK250*CK188+CL250*CL188+CM250*CM188+CN250*CN188</f>
        <v>0</v>
      </c>
      <c r="CT188" s="2652">
        <f>E251*E188+F251*F188+G251*G188+H251*H188+I251*I188+J251*J188+K251*K188+L251*L188+M251*M188+N251*N188+O251*O188+P251*P188+Q251*Q188+R251*R188+S251*S188+T251*T188+U251*U188+V251*V188+W251*W188+X251*X188+Y251*Y188+Z251*Z188+AA251*AA188+AB251*AB188+AC251*AC188+AD251*AD188+AE251*AE188+AF251*AF188+AG251*AG188+AH251*AH188+AI251*AI188+AJ251*AJ188+AK251*AK188+AL251*AL188+AM251*AM188+AN251*AN188+AO251*AO188+AP251*AP188+AQ251*AQ188+AR251*AR188+AS251*AS188+AT251*AT188+AU251*AU188+AV251*AV188+AW251*AW188+AX251*AX188+AY251*AY188+AZ251*AZ188+BA251*BA188+BB251*BB188+BC251*BC188+BD251*BD188+BE251*BE188+BF251*BF188+BG251*BG188+BH251*BH188+BI251*BI188+BJ251*BJ188+BK251*BK188+BL251*BL188+BM251*BM188+BN251*BN188+BO251*BO188+BP251*BP188+BQ251*BQ188+BR251*BR188+BS251*BS188+BT251*BT188+BU251*BU188+BV251*BV188+BW251*BW188+BX251*BX188+BY251*BY188+BZ251*BZ188+CA251*CA188+CB251*CB188+CC251*CC188+CD251*CD188+CE251*CE188+CF251*CF188+CG251*CG188+CH251*CH188+CI251*CI188+CJ251*CJ188+CK251*CK188+CL251*CL188+CM251*CM188+CN251*CN188</f>
        <v>0</v>
      </c>
      <c r="CU188" s="2652">
        <f>E252*E188+F252*F188+G252*G188+H252*H188+I252*I188+J252*J188+K252*K188+L252*L188+M252*M188+N252*N188+O252*O188+P252*P188+Q252*Q188+R252*R188+S252*S188+T252*T188+U252*U188+V252*V188+W252*W188+X252*X188+Y252*Y188+Z252*Z188+AA252*AA188+AB252*AB188+AC252*AC188+AD252*AD188+AE252*AE188+AF252*AF188+AG252*AG188+AH252*AH188+AI252*AI188+AJ252*AJ188+AK252*AK188+AL252*AL188+AM252*AM188+AN252*AN188+AO252*AO188+AP252*AP188+AQ252*AQ188+AR252*AR188+AS252*AS188+AT252*AT188+AU252*AU188+AV252*AV188+AW252*AW188+AX252*AX188+AY252*AY188+AZ252*AZ188+BA252*BA188+BB252*BB188+BC252*BC188+BD252*BD188+BE252*BE188+BF252*BF188+BG252*BG188+BH252*BH188+BI252*BI188+BJ252*BJ188+BK252*BK188+BL252*BL188+BM252*BM188+BN252*BN188+BO252*BO188+BP252*BP188+BQ252*BQ188+BR252*BR188+BS252*BS188+BT252*BT188+BU252*BU188+BV252*BV188+BW252*BW188+BX252*BX188+BY252*BY188+BZ252*BZ188+CA252*CA188+CB252*CB188+CC252*CC188+CD252*CD188+CE252*CE188+CF252*CF188+CG252*CG188+CH252*CH188+CI252*CI188+CJ252*CJ188+CK252*CK188+CL252*CL188+CM252*CM188+CN252*CN188</f>
        <v>0</v>
      </c>
      <c r="CV188" s="2652">
        <f>E253*E188+F253*F188+G253*G188+H253*H188+I253*I188+J253*J188+K253*K188+L253*L188+M253*M188+N253*N188+O253*O188+P253*P188+Q253*Q188+R253*R188+S253*S188+T253*T188+U253*U188+V253*V188+W253*W188+X253*X188+Y253*Y188+Z253*Z188+AA253*AA188+AB253*AB188+AC253*AC188+AD253*AD188+AE253*AE188+AF253*AF188+AG253*AG188+AH253*AH188+AI253*AI188+AJ253*AJ188+AK253*AK188+AL253*AL188+AM253*AM188+AN253*AN188+AO253*AO188+AP253*AP188+AQ253*AQ188+AR253*AR188+AS253*AS188+AT253*AT188+AU253*AU188+AV253*AV188+AW253*AW188+AX253*AX188+AY253*AY188+AZ253*AZ188+BA253*BA188+BB253*BB188+BC253*BC188+BD253*BD188+BE253*BE188+BF253*BF188+BG253*BG188+BH253*BH188+BI253*BI188+BJ253*BJ188+BK253*BK188+BL253*BL188+BM253*BM188+BN253*BN188+BO253*BO188+BP253*BP188+BQ253*BQ188+BR253*BR188+BS253*BS188+BT253*BT188+BU253*BU188+BV253*BV188+BW253*BW188+BX253*BX188+BY253*BY188+BZ253*BZ188+CA253*CA188+CB253*CB188+CC253*CC188+CD253*CD188+CE253*CE188+CF253*CF188+CG253*CG188+CH253*CH188+CI253*CI188+CJ253*CJ188+CK253*CK188+CL253*CL188+CM253*CM188+CN253*CN188</f>
        <v>0</v>
      </c>
      <c r="CW188" s="2652">
        <f>E254*E188+F254*F188+G254*G188+H254*H188+I254*I188+J254*J188+K254*K188+L254*L188+M254*M188+N254*N188+O254*O188+P254*P188+Q254*Q188+R254*R188+S254*S188+T254*T188+U254*U188+V254*V188+W254*W188+X254*X188+Y254*Y188+Z254*Z188+AA254*AA188+AB254*AB188+AC254*AC188+AD254*AD188+AE254*AE188+AF254*AF188+AG254*AG188+AH254*AH188+AI254*AI188+AJ254*AJ188+AK254*AK188+AL254*AL188+AM254*AM188+AN254*AN188+AO254*AO188+AP254*AP188+AQ254*AQ188+AR254*AR188+AS254*AS188+AT254*AT188+AU254*AU188+AV254*AV188+AW254*AW188+AX254*AX188+AY254*AY188+AZ254*AZ188+BA254*BA188+BB254*BB188+BC254*BC188+BD254*BD188+BE254*BE188+BF254*BF188+BG254*BG188+BH254*BH188+BI254*BI188+BJ254*BJ188+BK254*BK188+BL254*BL188+BM254*BM188+BN254*BN188+BO254*BO188+BP254*BP188+BQ254*BQ188+BR254*BR188+BS254*BS188+BT254*BT188+BU254*BU188+BV254*BV188+BW254*BW188+BX254*BX188+BY254*BY188+BZ254*BZ188+CA254*CA188+CB254*CB188+CC254*CC188+CD254*CD188+CE254*CE188+CF254*CF188+CG254*CG188+CH254*CH188+CI254*CI188+CJ254*CJ188+CK254*CK188+CL254*CL188+CM254*CM188+CN254*CN188</f>
        <v>0</v>
      </c>
      <c r="CX188" s="2652">
        <f>E255*E188+F255*F188+G255*G188+H255*H188+I255*I188+J255*J188+K255*K188+L255*L188+M255*M188+N255*N188+O255*O188+P255*P188+Q255*Q188+R255*R188+S255*S188+T255*T188+U255*U188+V255*V188+W255*W188+X255*X188+Y255*Y188+Z255*Z188+AA255*AA188+AB255*AB188+AC255*AC188+AD255*AD188+AE255*AE188+AF255*AF188+AG255*AG188+AH255*AH188+AI255*AI188+AJ255*AJ188+AK255*AK188+AL255*AL188+AM255*AM188+AN255*AN188+AO255*AO188+AP255*AP188+AQ255*AQ188+AR255*AR188+AS255*AS188+AT255*AT188+AU255*AU188+AV255*AV188+AW255*AW188+AX255*AX188+AY255*AY188+AZ255*AZ188+BA255*BA188+BB255*BB188+BC255*BC188+BD255*BD188+BE255*BE188+BF255*BF188+BG255*BG188+BH255*BH188+BI255*BI188+BJ255*BJ188+BK255*BK188+BL255*BL188+BM255*BM188+BN255*BN188+BO255*BO188+BP255*BP188+BQ255*BQ188+BR255*BR188+BS255*BS188+BT255*BT188+BU255*BU188+BV255*BV188+BW255*BW188+BX255*BX188+BY255*BY188+BZ255*BZ188+CA255*CA188+CB255*CB188+CC255*CC188+CD255*CD188+CE255*CE188+CF255*CF188+CG255*CG188+CH255*CH188+CI255*CI188+CJ255*CJ188+CK255*CK188+CL255*CL188+CM255*CM188+CN255*CN188</f>
        <v>0</v>
      </c>
      <c r="CY188" s="2652">
        <f>E256*E188+F256*F188+G256*G188+H256*H188+I256*I188+J256*J188+K256*K188+L256*L188+M256*M188+N256*N188+O256*O188+P256*P188+Q256*Q188+R256*R188+S256*S188+T256*T188+U256*U188+V256*V188+W256*W188+X256*X188+Y256*Y188+Z256*Z188+AA256*AA188+AB256*AB188+AC256*AC188+AD256*AD188+AE256*AE188+AF256*AF188+AG256*AG188+AH256*AH188+AI256*AI188+AJ256*AJ188+AK256*AK188+AL256*AL188+AM256*AM188+AN256*AN188+AO256*AO188+AP256*AP188+AQ256*AQ188+AR256*AR188+AS256*AS188+AT256*AT188+AU256*AU188+AV256*AV188+AW256*AW188+AX256*AX188+AY256*AY188+AZ256*AZ188+BA256*BA188+BB256*BB188+BC256*BC188+BD256*BD188+BE256*BE188+BF256*BF188+BG256*BG188+BH256*BH188+BI256*BI188+BJ256*BJ188+BK256*BK188+BL256*BL188+BM256*BM188+BN256*BN188+BO256*BO188+BP256*BP188+BQ256*BQ188+BR256*BR188+BS256*BS188+BT256*BT188+BU256*BU188+BV256*BV188+BW256*BW188+BX256*BX188+BY256*BY188+BZ256*BZ188+CA256*CA188+CB256*CB188+CC256*CC188+CD256*CD188+CE256*CE188+CF256*CF188+CG256*CG188+CH256*CH188+CI256*CI188+CJ256*CJ188+CK256*CK188+CL256*CL188+CM256*CM188+CN256*CN188</f>
        <v>0</v>
      </c>
      <c r="CZ188" s="2652">
        <f>E257*E188+F257*F188+G257*G188+H257*H188+I257*I188+J257*J188+K257*K188+L257*L188+M257*M188+N257*N188+O257*O188+P257*P188+Q257*Q188+R257*R188+S257*S188+T257*T188+U257*U188+V257*V188+W257*W188+X257*X188+Y257*Y188+Z257*Z188+AA257*AA188+AB257*AB188+AC257*AC188+AD257*AD188+AE257*AE188+AF257*AF188+AG257*AG188+AH257*AH188+AI257*AI188+AJ257*AJ188+AK257*AK188+AL257*AL188+AM257*AM188+AN257*AN188+AO257*AO188+AP257*AP188+AQ257*AQ188+AR257*AR188+AS257*AS188+AT257*AT188+AU257*AU188+AV257*AV188+AW257*AW188+AX257*AX188+AY257*AY188+AZ257*AZ188+BA257*BA188+BB257*BB188+BC257*BC188+BD257*BD188+BE257*BE188+BF257*BF188+BG257*BG188+BH257*BH188+BI257*BI188+BJ257*BJ188+BK257*BK188+BL257*BL188+BM257*BM188+BN257*BN188+BO257*BO188+BP257*BP188+BQ257*BQ188+BR257*BR188+BS257*BS188+BT257*BT188+BU257*BU188+BV257*BV188+BW257*BW188+BX257*BX188+BY257*BY188+BZ257*BZ188+CA257*CA188+CB257*CB188+CC257*CC188+CD257*CD188+CE257*CE188+CF257*CF188+CG257*CG188+CH257*CH188+CI257*CI188+CJ257*CJ188+CK257*CK188+CL257*CL188+CM257*CM188+CN257*CN188</f>
        <v>0</v>
      </c>
      <c r="DA188" s="2652">
        <f>E258*E188+F258*F188+G258*G188+H258*H188+I258*I188+J258*J188+K258*K188+L258*L188+M258*M188+N258*N188+O258*O188+P258*P188+Q258*Q188+R258*R188+S258*S188+T258*T188+U258*U188+V258*V188+W258*W188+X258*X188+Y258*Y188+Z258*Z188+AA258*AA188+AB258*AB188+AC258*AC188+AD258*AD188+AE258*AE188+AF258*AF188+AG258*AG188+AH258*AH188+AI258*AI188+AJ258*AJ188+AK258*AK188+AL258*AL188+AM258*AM188+AN258*AN188+AO258*AO188+AP258*AP188+AQ258*AQ188+AR258*AR188+AS258*AS188+AT258*AT188+AU258*AU188+AV258*AV188+AW258*AW188+AX258*AX188+AY258*AY188+AZ258*AZ188+BA258*BA188+BB258*BB188+BC258*BC188+BD258*BD188+BE258*BE188+BF258*BF188+BG258*BG188+BH258*BH188+BI258*BI188+BJ258*BJ188+BK258*BK188+BL258*BL188+BM258*BM188+BN258*BN188+BO258*BO188+BP258*BP188+BQ258*BQ188+BR258*BR188+BS258*BS188+BT258*BT188+BU258*BU188+BV258*BV188+BW258*BW188+BX258*BX188+BY258*BY188+BZ258*BZ188+CA258*CA188+CB258*CB188+CC258*CC188+CD258*CD188+CE258*CE188+CF258*CF188+CG258*CG188+CH258*CH188+CI258*CI188+CJ258*CJ188+CK258*CK188+CL258*CL188+CM258*CM188+CN258*CN188</f>
        <v>0</v>
      </c>
    </row>
    <row r="189" spans="2:105" ht="18" x14ac:dyDescent="0.25">
      <c r="B189" s="1088">
        <v>56</v>
      </c>
      <c r="C189" s="1078" t="s">
        <v>2108</v>
      </c>
      <c r="D189" s="831" t="s">
        <v>2959</v>
      </c>
      <c r="E189" s="2689">
        <f>0</f>
        <v>0</v>
      </c>
      <c r="F189" s="2689">
        <f>0</f>
        <v>0</v>
      </c>
      <c r="G189" s="2689">
        <f>0</f>
        <v>0</v>
      </c>
      <c r="H189" s="2689">
        <f>0</f>
        <v>0</v>
      </c>
      <c r="I189" s="2718">
        <f>f_C</f>
        <v>0.1</v>
      </c>
      <c r="J189" s="2689">
        <f>0</f>
        <v>0</v>
      </c>
      <c r="K189" s="2689">
        <f>(1-f_E)*(1-f_C)</f>
        <v>0.82800000000000007</v>
      </c>
      <c r="L189" s="2689">
        <f>0</f>
        <v>0</v>
      </c>
      <c r="M189" s="2689">
        <f>0</f>
        <v>0</v>
      </c>
      <c r="N189" s="2689">
        <f>0</f>
        <v>0</v>
      </c>
      <c r="O189" s="2689">
        <f>0</f>
        <v>0</v>
      </c>
      <c r="P189" s="2689">
        <f>0</f>
        <v>0</v>
      </c>
      <c r="Q189" s="2689">
        <f>0</f>
        <v>0</v>
      </c>
      <c r="R189" s="2689">
        <f>0</f>
        <v>0</v>
      </c>
      <c r="S189" s="2689">
        <f>f_E*(1-f_C)</f>
        <v>7.2000000000000008E-2</v>
      </c>
      <c r="T189" s="2689">
        <f>0</f>
        <v>0</v>
      </c>
      <c r="U189" s="2689">
        <f>0</f>
        <v>0</v>
      </c>
      <c r="V189" s="2689">
        <f>0</f>
        <v>0</v>
      </c>
      <c r="W189" s="2689">
        <f>0</f>
        <v>0</v>
      </c>
      <c r="X189" s="2689">
        <f>0</f>
        <v>0</v>
      </c>
      <c r="Y189" s="2689">
        <f>0</f>
        <v>0</v>
      </c>
      <c r="Z189" s="2689">
        <f>0</f>
        <v>0</v>
      </c>
      <c r="AA189" s="2689">
        <f>0</f>
        <v>0</v>
      </c>
      <c r="AB189" s="2689">
        <f>-1</f>
        <v>-1</v>
      </c>
      <c r="AC189" s="2725">
        <f>0</f>
        <v>0</v>
      </c>
      <c r="AD189" s="2689">
        <f>i_N_BIO-f_E*(1-f_C)*i_N_XE-f_C*i_N_CB-(1-f_E)*(1-f_C)*i_N_BIO</f>
        <v>6.7199999999999899E-3</v>
      </c>
      <c r="AE189" s="2689">
        <f>0</f>
        <v>0</v>
      </c>
      <c r="AF189" s="2689">
        <f>0</f>
        <v>0</v>
      </c>
      <c r="AG189" s="2689">
        <f>0</f>
        <v>0</v>
      </c>
      <c r="AH189" s="2689">
        <f>0</f>
        <v>0</v>
      </c>
      <c r="AI189" s="2689">
        <f>0</f>
        <v>0</v>
      </c>
      <c r="AJ189" s="2689">
        <f>(1-f_E)*(1-f_C)*i_N_BIO</f>
        <v>5.7960000000000012E-2</v>
      </c>
      <c r="AK189" s="2689">
        <f>0</f>
        <v>0</v>
      </c>
      <c r="AL189" s="2689">
        <f>i_P_BIO-f_E*(1-f_C)*i_P_BIO-f_C*i_P_CB-(1-f_E)*(1-f_C)*i_P_BIO</f>
        <v>1.7999999999999995E-3</v>
      </c>
      <c r="AM189" s="2689">
        <f>0</f>
        <v>0</v>
      </c>
      <c r="AN189" s="2689">
        <f>0</f>
        <v>0</v>
      </c>
      <c r="AO189" s="2689">
        <f>0</f>
        <v>0</v>
      </c>
      <c r="AP189" s="2689">
        <f>(1-f_E)*(1-f_C)*i_P_BIO</f>
        <v>1.6560000000000002E-2</v>
      </c>
      <c r="AQ189" s="2689">
        <f>0</f>
        <v>0</v>
      </c>
      <c r="AR189" s="2689">
        <f>0</f>
        <v>0</v>
      </c>
      <c r="AS189" s="2689">
        <f>0</f>
        <v>0</v>
      </c>
      <c r="AT189" s="2689">
        <f>0</f>
        <v>0</v>
      </c>
      <c r="AU189" s="2689">
        <f>i_CIT_BIO-f_E*(1-f_C)*i_CIT_BIO-(1-f_E)*(1-f_C)*i_CIT_XBe-(1-f_E)*f_C*i_CIT_XBe-f_E*f_C*i_CIT_XBe</f>
        <v>6.1248000000000011E-2</v>
      </c>
      <c r="AV189" s="2689">
        <f>0</f>
        <v>0</v>
      </c>
      <c r="AW189" s="2689">
        <f>0</f>
        <v>0</v>
      </c>
      <c r="AX189" s="2689">
        <f>0</f>
        <v>0</v>
      </c>
      <c r="AY189" s="2689">
        <f>0</f>
        <v>0</v>
      </c>
      <c r="AZ189" s="2689">
        <f>0</f>
        <v>0</v>
      </c>
      <c r="BA189" s="2689">
        <f>0</f>
        <v>0</v>
      </c>
      <c r="BB189" s="2689">
        <f>0</f>
        <v>0</v>
      </c>
      <c r="BC189" s="2689">
        <f>0</f>
        <v>0</v>
      </c>
      <c r="BD189" s="2689">
        <f>0</f>
        <v>0</v>
      </c>
      <c r="BE189" s="2689">
        <f>0</f>
        <v>0</v>
      </c>
      <c r="BF189" s="2689">
        <f>0</f>
        <v>0</v>
      </c>
      <c r="BG189" s="2689">
        <f>0</f>
        <v>0</v>
      </c>
      <c r="BH189" s="2689">
        <f>0</f>
        <v>0</v>
      </c>
      <c r="BI189" s="2689">
        <f>0</f>
        <v>0</v>
      </c>
      <c r="BJ189" s="2775">
        <f>0</f>
        <v>0</v>
      </c>
      <c r="BK189" s="2775">
        <f>0</f>
        <v>0</v>
      </c>
      <c r="BL189" s="2775">
        <f>0</f>
        <v>0</v>
      </c>
      <c r="BM189" s="2775">
        <f>0</f>
        <v>0</v>
      </c>
      <c r="BN189" s="2775">
        <f>0</f>
        <v>0</v>
      </c>
      <c r="BO189" s="2775">
        <f>0</f>
        <v>0</v>
      </c>
      <c r="BP189" s="2775">
        <f>0</f>
        <v>0</v>
      </c>
      <c r="BQ189" s="2689">
        <f>0</f>
        <v>0</v>
      </c>
      <c r="BR189" s="2689">
        <f>0</f>
        <v>0</v>
      </c>
      <c r="BS189" s="2775">
        <f>0</f>
        <v>0</v>
      </c>
      <c r="BT189" s="2689">
        <f>0</f>
        <v>0</v>
      </c>
      <c r="BU189" s="2689">
        <f>0</f>
        <v>0</v>
      </c>
      <c r="BV189" s="2725">
        <f>0</f>
        <v>0</v>
      </c>
      <c r="BW189" s="2725">
        <f>0</f>
        <v>0</v>
      </c>
      <c r="BX189" s="2725">
        <f>0</f>
        <v>0</v>
      </c>
      <c r="BY189" s="2725">
        <f>0</f>
        <v>0</v>
      </c>
      <c r="BZ189" s="2689">
        <f>0</f>
        <v>0</v>
      </c>
      <c r="CA189" s="2689">
        <f>0</f>
        <v>0</v>
      </c>
      <c r="CB189" s="2806">
        <f>0</f>
        <v>0</v>
      </c>
      <c r="CC189" s="2689">
        <f>0</f>
        <v>0</v>
      </c>
      <c r="CD189" s="2689">
        <f>0</f>
        <v>0</v>
      </c>
      <c r="CE189" s="2689">
        <f>0</f>
        <v>0</v>
      </c>
      <c r="CF189" s="2689">
        <f>0</f>
        <v>0</v>
      </c>
      <c r="CG189" s="2689">
        <f>0</f>
        <v>0</v>
      </c>
      <c r="CH189" s="2689">
        <f>0</f>
        <v>0</v>
      </c>
      <c r="CI189" s="2689">
        <f>0</f>
        <v>0</v>
      </c>
      <c r="CJ189" s="2689">
        <f>0</f>
        <v>0</v>
      </c>
      <c r="CK189" s="2689">
        <f>0</f>
        <v>0</v>
      </c>
      <c r="CL189" s="2689">
        <f>0</f>
        <v>0</v>
      </c>
      <c r="CM189" s="2689">
        <f>0</f>
        <v>0</v>
      </c>
      <c r="CN189" s="2689">
        <f>0</f>
        <v>0</v>
      </c>
      <c r="CO189" s="2834">
        <f>b_HMETO_T*X_HMETO*(M_inhSNOx_KNO3_HMETO*M_inhSO2_KiO2_HMETO)</f>
        <v>6.1567605967321836E-6</v>
      </c>
      <c r="CQ189" s="2650">
        <f>E248*E189+F248*F189+G248*G189+H248*H189+I248*I189+J248*J189+K248*K189+L248*L189+M248*M189+N248*N189+O248*O189+P248*P189+Q248*Q189+R248*R189+S248*S189+T248*T189+U248*U189+V248*V189+W248*W189+X248*X189+Y248*Y189+Z248*Z189+AA248*AA189+AB248*AB189+AC248*AC189+AD248*AD189+AE248*AE189+AF248*AF189+AG248*AG189+AH248*AH189+AI248*AI189+AJ248*AJ189+AK248*AK189+AL248*AL189+AM248*AM189+AN248*AN189+AO248*AO189+AP248*AP189+AQ248*AQ189+AR248*AR189+AS248*AS189+AT248*AT189+AU248*AU189+AV248*AV189+AW248*AW189+AX248*AX189+AY248*AY189+AZ248*AZ189+BA248*BA189+BB248*BB189+BC248*BC189+BD248*BD189+BE248*BE189+BF248*BF189+BG248*BG189+BH248*BH189+BI248*BI189+BJ248*BJ189+BK248*BK189+BL248*BL189+BM248*BM189+BN248*BN189+BO248*BO189+BP248*BP189+BQ248*BQ189+BR248*BR189+BS248*BS189+BT248*BT189+BU248*BU189+BV248*BV189+BW248*BW189+BX248*BX189+BY248*BY189+BZ248*BZ189+CA248*CA189+CB248*CB189+CC248*CC189+CD248*CD189+CE248*CE189+CF248*CF189+CG248*CG189+CH248*CH189+CI248*CI189+CJ248*CJ189+CK248*CK189+CL248*CL189+CM248*CM189+CN248*CN189</f>
        <v>0</v>
      </c>
      <c r="CR189" s="2650">
        <f>E249*E189+F249*F189+G249*G189+H249*H189+I249*I189+J249*J189+K249*K189+L249*L189+M249*M189+N249*N189+O249*O189+P249*P189+Q249*Q189+R249*R189+S249*S189+T249*T189+U249*U189+V249*V189+W249*W189+X249*X189+Y249*Y189+Z249*Z189+AA249*AA189+AB249*AB189+AC249*AC189+AD249*AD189+AE249*AE189+AF249*AF189+AG249*AG189+AH249*AH189+AI249*AI189+AJ249*AJ189+AK249*AK189+AL249*AL189+AM249*AM189+AN249*AN189+AO249*AO189+AP249*AP189+AQ249*AQ189+AR249*AR189+AS249*AS189+AT249*AT189+AU249*AU189+AV249*AV189+AW249*AW189+AX249*AX189+AY249*AY189+AZ249*AZ189+BA249*BA189+BB249*BB189+BC249*BC189+BD249*BD189+BE249*BE189+BF249*BF189+BG249*BG189+BH249*BH189+BI249*BI189+BJ249*BJ189+BK249*BK189+BL249*BL189+BM249*BM189+BN249*BN189+BO249*BO189+BP249*BP189+BQ249*BQ189+BR249*BR189+BS249*BS189+BT249*BT189+BU249*BU189+BV249*BV189+BW249*BW189+BX249*BX189+BY249*BY189+BZ249*BZ189+CA249*CA189+CB249*CB189+CC249*CC189+CD249*CD189+CE249*CE189+CF249*CF189+CG249*CG189+CH249*CH189+CI249*CI189+CJ249*CJ189+CK249*CK189+CL249*CL189+CM249*CM189+CN249*CN189</f>
        <v>-1.3877787807814457E-17</v>
      </c>
      <c r="CS189" s="2651">
        <f>E250*E189+F250*F189+G250*G189+H250*H189+I250*I189+J250*J189+K250*K189+L250*L189+M250*M189+N250*N189+O250*O189+P250*P189+Q250*Q189+R250*R189+S250*S189+T250*T189+U250*U189+V250*V189+W250*W189+X250*X189+Y250*Y189+Z250*Z189+AA250*AA189+AB250*AB189+AC250*AC189+AD250*AD189+AE250*AE189+AF250*AF189+AG250*AG189+AH250*AH189+AI250*AI189+AJ250*AJ189+AK250*AK189+AL250*AL189+AM250*AM189+AN250*AN189+AO250*AO189+AP250*AP189+AQ250*AQ189+AR250*AR189+AS250*AS189+AT250*AT189+AU250*AU189+AV250*AV189+AW250*AW189+AX250*AX189+AY250*AY189+AZ250*AZ189+BA250*BA189+BB250*BB189+BC250*BC189+BD250*BD189+BE250*BE189+BF250*BF189+BG250*BG189+BH250*BH189+BI250*BI189+BJ250*BJ189+BK250*BK189+BL250*BL189+BM250*BM189+BN250*BN189+BO250*BO189+BP250*BP189+BQ250*BQ189+BR250*BR189+BS250*BS189+BT250*BT189+BU250*BU189+BV250*BV189+BW250*BW189+BX250*BX189+BY250*BY189+BZ250*BZ189+CA250*CA189+CB250*CB189+CC250*CC189+CD250*CD189+CE250*CE189+CF250*CF189+CG250*CG189+CH250*CH189+CI250*CI189+CJ250*CJ189+CK250*CK189+CL250*CL189+CM250*CM189+CN250*CN189</f>
        <v>0</v>
      </c>
      <c r="CT189" s="2652">
        <f>E251*E189+F251*F189+G251*G189+H251*H189+I251*I189+J251*J189+K251*K189+L251*L189+M251*M189+N251*N189+O251*O189+P251*P189+Q251*Q189+R251*R189+S251*S189+T251*T189+U251*U189+V251*V189+W251*W189+X251*X189+Y251*Y189+Z251*Z189+AA251*AA189+AB251*AB189+AC251*AC189+AD251*AD189+AE251*AE189+AF251*AF189+AG251*AG189+AH251*AH189+AI251*AI189+AJ251*AJ189+AK251*AK189+AL251*AL189+AM251*AM189+AN251*AN189+AO251*AO189+AP251*AP189+AQ251*AQ189+AR251*AR189+AS251*AS189+AT251*AT189+AU251*AU189+AV251*AV189+AW251*AW189+AX251*AX189+AY251*AY189+AZ251*AZ189+BA251*BA189+BB251*BB189+BC251*BC189+BD251*BD189+BE251*BE189+BF251*BF189+BG251*BG189+BH251*BH189+BI251*BI189+BJ251*BJ189+BK251*BK189+BL251*BL189+BM251*BM189+BN251*BN189+BO251*BO189+BP251*BP189+BQ251*BQ189+BR251*BR189+BS251*BS189+BT251*BT189+BU251*BU189+BV251*BV189+BW251*BW189+BX251*BX189+BY251*BY189+BZ251*BZ189+CA251*CA189+CB251*CB189+CC251*CC189+CD251*CD189+CE251*CE189+CF251*CF189+CG251*CG189+CH251*CH189+CI251*CI189+CJ251*CJ189+CK251*CK189+CL251*CL189+CM251*CM189+CN251*CN189</f>
        <v>0</v>
      </c>
      <c r="CU189" s="2652">
        <f>E252*E189+F252*F189+G252*G189+H252*H189+I252*I189+J252*J189+K252*K189+L252*L189+M252*M189+N252*N189+O252*O189+P252*P189+Q252*Q189+R252*R189+S252*S189+T252*T189+U252*U189+V252*V189+W252*W189+X252*X189+Y252*Y189+Z252*Z189+AA252*AA189+AB252*AB189+AC252*AC189+AD252*AD189+AE252*AE189+AF252*AF189+AG252*AG189+AH252*AH189+AI252*AI189+AJ252*AJ189+AK252*AK189+AL252*AL189+AM252*AM189+AN252*AN189+AO252*AO189+AP252*AP189+AQ252*AQ189+AR252*AR189+AS252*AS189+AT252*AT189+AU252*AU189+AV252*AV189+AW252*AW189+AX252*AX189+AY252*AY189+AZ252*AZ189+BA252*BA189+BB252*BB189+BC252*BC189+BD252*BD189+BE252*BE189+BF252*BF189+BG252*BG189+BH252*BH189+BI252*BI189+BJ252*BJ189+BK252*BK189+BL252*BL189+BM252*BM189+BN252*BN189+BO252*BO189+BP252*BP189+BQ252*BQ189+BR252*BR189+BS252*BS189+BT252*BT189+BU252*BU189+BV252*BV189+BW252*BW189+BX252*BX189+BY252*BY189+BZ252*BZ189+CA252*CA189+CB252*CB189+CC252*CC189+CD252*CD189+CE252*CE189+CF252*CF189+CG252*CG189+CH252*CH189+CI252*CI189+CJ252*CJ189+CK252*CK189+CL252*CL189+CM252*CM189+CN252*CN189</f>
        <v>0</v>
      </c>
      <c r="CV189" s="2652">
        <f>E253*E189+F253*F189+G253*G189+H253*H189+I253*I189+J253*J189+K253*K189+L253*L189+M253*M189+N253*N189+O253*O189+P253*P189+Q253*Q189+R253*R189+S253*S189+T253*T189+U253*U189+V253*V189+W253*W189+X253*X189+Y253*Y189+Z253*Z189+AA253*AA189+AB253*AB189+AC253*AC189+AD253*AD189+AE253*AE189+AF253*AF189+AG253*AG189+AH253*AH189+AI253*AI189+AJ253*AJ189+AK253*AK189+AL253*AL189+AM253*AM189+AN253*AN189+AO253*AO189+AP253*AP189+AQ253*AQ189+AR253*AR189+AS253*AS189+AT253*AT189+AU253*AU189+AV253*AV189+AW253*AW189+AX253*AX189+AY253*AY189+AZ253*AZ189+BA253*BA189+BB253*BB189+BC253*BC189+BD253*BD189+BE253*BE189+BF253*BF189+BG253*BG189+BH253*BH189+BI253*BI189+BJ253*BJ189+BK253*BK189+BL253*BL189+BM253*BM189+BN253*BN189+BO253*BO189+BP253*BP189+BQ253*BQ189+BR253*BR189+BS253*BS189+BT253*BT189+BU253*BU189+BV253*BV189+BW253*BW189+BX253*BX189+BY253*BY189+BZ253*BZ189+CA253*CA189+CB253*CB189+CC253*CC189+CD253*CD189+CE253*CE189+CF253*CF189+CG253*CG189+CH253*CH189+CI253*CI189+CJ253*CJ189+CK253*CK189+CL253*CL189+CM253*CM189+CN253*CN189</f>
        <v>0</v>
      </c>
      <c r="CW189" s="2652">
        <f>E254*E189+F254*F189+G254*G189+H254*H189+I254*I189+J254*J189+K254*K189+L254*L189+M254*M189+N254*N189+O254*O189+P254*P189+Q254*Q189+R254*R189+S254*S189+T254*T189+U254*U189+V254*V189+W254*W189+X254*X189+Y254*Y189+Z254*Z189+AA254*AA189+AB254*AB189+AC254*AC189+AD254*AD189+AE254*AE189+AF254*AF189+AG254*AG189+AH254*AH189+AI254*AI189+AJ254*AJ189+AK254*AK189+AL254*AL189+AM254*AM189+AN254*AN189+AO254*AO189+AP254*AP189+AQ254*AQ189+AR254*AR189+AS254*AS189+AT254*AT189+AU254*AU189+AV254*AV189+AW254*AW189+AX254*AX189+AY254*AY189+AZ254*AZ189+BA254*BA189+BB254*BB189+BC254*BC189+BD254*BD189+BE254*BE189+BF254*BF189+BG254*BG189+BH254*BH189+BI254*BI189+BJ254*BJ189+BK254*BK189+BL254*BL189+BM254*BM189+BN254*BN189+BO254*BO189+BP254*BP189+BQ254*BQ189+BR254*BR189+BS254*BS189+BT254*BT189+BU254*BU189+BV254*BV189+BW254*BW189+BX254*BX189+BY254*BY189+BZ254*BZ189+CA254*CA189+CB254*CB189+CC254*CC189+CD254*CD189+CE254*CE189+CF254*CF189+CG254*CG189+CH254*CH189+CI254*CI189+CJ254*CJ189+CK254*CK189+CL254*CL189+CM254*CM189+CN254*CN189</f>
        <v>0</v>
      </c>
      <c r="CX189" s="2652">
        <f>E255*E189+F255*F189+G255*G189+H255*H189+I255*I189+J255*J189+K255*K189+L255*L189+M255*M189+N255*N189+O255*O189+P255*P189+Q255*Q189+R255*R189+S255*S189+T255*T189+U255*U189+V255*V189+W255*W189+X255*X189+Y255*Y189+Z255*Z189+AA255*AA189+AB255*AB189+AC255*AC189+AD255*AD189+AE255*AE189+AF255*AF189+AG255*AG189+AH255*AH189+AI255*AI189+AJ255*AJ189+AK255*AK189+AL255*AL189+AM255*AM189+AN255*AN189+AO255*AO189+AP255*AP189+AQ255*AQ189+AR255*AR189+AS255*AS189+AT255*AT189+AU255*AU189+AV255*AV189+AW255*AW189+AX255*AX189+AY255*AY189+AZ255*AZ189+BA255*BA189+BB255*BB189+BC255*BC189+BD255*BD189+BE255*BE189+BF255*BF189+BG255*BG189+BH255*BH189+BI255*BI189+BJ255*BJ189+BK255*BK189+BL255*BL189+BM255*BM189+BN255*BN189+BO255*BO189+BP255*BP189+BQ255*BQ189+BR255*BR189+BS255*BS189+BT255*BT189+BU255*BU189+BV255*BV189+BW255*BW189+BX255*BX189+BY255*BY189+BZ255*BZ189+CA255*CA189+CB255*CB189+CC255*CC189+CD255*CD189+CE255*CE189+CF255*CF189+CG255*CG189+CH255*CH189+CI255*CI189+CJ255*CJ189+CK255*CK189+CL255*CL189+CM255*CM189+CN255*CN189</f>
        <v>0</v>
      </c>
      <c r="CY189" s="2652">
        <f>E256*E189+F256*F189+G256*G189+H256*H189+I256*I189+J256*J189+K256*K189+L256*L189+M256*M189+N256*N189+O256*O189+P256*P189+Q256*Q189+R256*R189+S256*S189+T256*T189+U256*U189+V256*V189+W256*W189+X256*X189+Y256*Y189+Z256*Z189+AA256*AA189+AB256*AB189+AC256*AC189+AD256*AD189+AE256*AE189+AF256*AF189+AG256*AG189+AH256*AH189+AI256*AI189+AJ256*AJ189+AK256*AK189+AL256*AL189+AM256*AM189+AN256*AN189+AO256*AO189+AP256*AP189+AQ256*AQ189+AR256*AR189+AS256*AS189+AT256*AT189+AU256*AU189+AV256*AV189+AW256*AW189+AX256*AX189+AY256*AY189+AZ256*AZ189+BA256*BA189+BB256*BB189+BC256*BC189+BD256*BD189+BE256*BE189+BF256*BF189+BG256*BG189+BH256*BH189+BI256*BI189+BJ256*BJ189+BK256*BK189+BL256*BL189+BM256*BM189+BN256*BN189+BO256*BO189+BP256*BP189+BQ256*BQ189+BR256*BR189+BS256*BS189+BT256*BT189+BU256*BU189+BV256*BV189+BW256*BW189+BX256*BX189+BY256*BY189+BZ256*BZ189+CA256*CA189+CB256*CB189+CC256*CC189+CD256*CD189+CE256*CE189+CF256*CF189+CG256*CG189+CH256*CH189+CI256*CI189+CJ256*CJ189+CK256*CK189+CL256*CL189+CM256*CM189+CN256*CN189</f>
        <v>0</v>
      </c>
      <c r="CZ189" s="2652">
        <f>E257*E189+F257*F189+G257*G189+H257*H189+I257*I189+J257*J189+K257*K189+L257*L189+M257*M189+N257*N189+O257*O189+P257*P189+Q257*Q189+R257*R189+S257*S189+T257*T189+U257*U189+V257*V189+W257*W189+X257*X189+Y257*Y189+Z257*Z189+AA257*AA189+AB257*AB189+AC257*AC189+AD257*AD189+AE257*AE189+AF257*AF189+AG257*AG189+AH257*AH189+AI257*AI189+AJ257*AJ189+AK257*AK189+AL257*AL189+AM257*AM189+AN257*AN189+AO257*AO189+AP257*AP189+AQ257*AQ189+AR257*AR189+AS257*AS189+AT257*AT189+AU257*AU189+AV257*AV189+AW257*AW189+AX257*AX189+AY257*AY189+AZ257*AZ189+BA257*BA189+BB257*BB189+BC257*BC189+BD257*BD189+BE257*BE189+BF257*BF189+BG257*BG189+BH257*BH189+BI257*BI189+BJ257*BJ189+BK257*BK189+BL257*BL189+BM257*BM189+BN257*BN189+BO257*BO189+BP257*BP189+BQ257*BQ189+BR257*BR189+BS257*BS189+BT257*BT189+BU257*BU189+BV257*BV189+BW257*BW189+BX257*BX189+BY257*BY189+BZ257*BZ189+CA257*CA189+CB257*CB189+CC257*CC189+CD257*CD189+CE257*CE189+CF257*CF189+CG257*CG189+CH257*CH189+CI257*CI189+CJ257*CJ189+CK257*CK189+CL257*CL189+CM257*CM189+CN257*CN189</f>
        <v>0</v>
      </c>
      <c r="DA189" s="2652">
        <f>E258*E189+F258*F189+G258*G189+H258*H189+I258*I189+J258*J189+K258*K189+L258*L189+M258*M189+N258*N189+O258*O189+P258*P189+Q258*Q189+R258*R189+S258*S189+T258*T189+U258*U189+V258*V189+W258*W189+X258*X189+Y258*Y189+Z258*Z189+AA258*AA189+AB258*AB189+AC258*AC189+AD258*AD189+AE258*AE189+AF258*AF189+AG258*AG189+AH258*AH189+AI258*AI189+AJ258*AJ189+AK258*AK189+AL258*AL189+AM258*AM189+AN258*AN189+AO258*AO189+AP258*AP189+AQ258*AQ189+AR258*AR189+AS258*AS189+AT258*AT189+AU258*AU189+AV258*AV189+AW258*AW189+AX258*AX189+AY258*AY189+AZ258*AZ189+BA258*BA189+BB258*BB189+BC258*BC189+BD258*BD189+BE258*BE189+BF258*BF189+BG258*BG189+BH258*BH189+BI258*BI189+BJ258*BJ189+BK258*BK189+BL258*BL189+BM258*BM189+BN258*BN189+BO258*BO189+BP258*BP189+BQ258*BQ189+BR258*BR189+BS258*BS189+BT258*BT189+BU258*BU189+BV258*BV189+BW258*BW189+BX258*BX189+BY258*BY189+BZ258*BZ189+CA258*CA189+CB258*CB189+CC258*CC189+CD258*CD189+CE258*CE189+CF258*CF189+CG258*CG189+CH258*CH189+CI258*CI189+CJ258*CJ189+CK258*CK189+CL258*CL189+CM258*CM189+CN258*CN189</f>
        <v>0</v>
      </c>
    </row>
    <row r="190" spans="2:105" ht="18" x14ac:dyDescent="0.35">
      <c r="B190" s="2266">
        <v>57</v>
      </c>
      <c r="C190" s="2267" t="s">
        <v>2109</v>
      </c>
      <c r="D190" s="2268" t="s">
        <v>4825</v>
      </c>
      <c r="E190" s="2690">
        <f>0</f>
        <v>0</v>
      </c>
      <c r="F190" s="2690">
        <f>0</f>
        <v>0</v>
      </c>
      <c r="G190" s="2690">
        <f>0</f>
        <v>0</v>
      </c>
      <c r="H190" s="2690">
        <f>0</f>
        <v>0</v>
      </c>
      <c r="I190" s="2690">
        <f>0</f>
        <v>0</v>
      </c>
      <c r="J190" s="2690">
        <f>0</f>
        <v>0</v>
      </c>
      <c r="K190" s="2690">
        <f>0</f>
        <v>0</v>
      </c>
      <c r="L190" s="2690">
        <f>0</f>
        <v>0</v>
      </c>
      <c r="M190" s="2690">
        <f>0</f>
        <v>0</v>
      </c>
      <c r="N190" s="2690">
        <f>0</f>
        <v>0</v>
      </c>
      <c r="O190" s="2690">
        <f>0</f>
        <v>0</v>
      </c>
      <c r="P190" s="2690">
        <f>0</f>
        <v>0</v>
      </c>
      <c r="Q190" s="2690">
        <f>0</f>
        <v>0</v>
      </c>
      <c r="R190" s="2690">
        <f>0</f>
        <v>0</v>
      </c>
      <c r="S190" s="2690">
        <f>0</f>
        <v>0</v>
      </c>
      <c r="T190" s="2690">
        <f>0</f>
        <v>0</v>
      </c>
      <c r="U190" s="2690">
        <f>0</f>
        <v>0</v>
      </c>
      <c r="V190" s="2690">
        <f>0</f>
        <v>0</v>
      </c>
      <c r="W190" s="2690">
        <f>0</f>
        <v>0</v>
      </c>
      <c r="X190" s="2690">
        <f>0</f>
        <v>0</v>
      </c>
      <c r="Y190" s="2690">
        <f>0</f>
        <v>0</v>
      </c>
      <c r="Z190" s="2690">
        <f>0</f>
        <v>0</v>
      </c>
      <c r="AA190" s="2690">
        <f>0</f>
        <v>0</v>
      </c>
      <c r="AB190" s="2690">
        <f>0</f>
        <v>0</v>
      </c>
      <c r="AC190" s="2690">
        <f>1</f>
        <v>1</v>
      </c>
      <c r="AD190" s="2690">
        <f>0</f>
        <v>0</v>
      </c>
      <c r="AE190" s="2749">
        <f>-i_N_ALGAE*S_NO2/S_NOx</f>
        <v>-1.3725490196078434E-3</v>
      </c>
      <c r="AF190" s="2749">
        <f>-i_N_ALGAE*S_NO3/S_NOx</f>
        <v>-6.8627450980392163E-2</v>
      </c>
      <c r="AG190" s="2690">
        <f>0</f>
        <v>0</v>
      </c>
      <c r="AH190" s="2690">
        <f>0</f>
        <v>0</v>
      </c>
      <c r="AI190" s="2690">
        <f>0</f>
        <v>0</v>
      </c>
      <c r="AJ190" s="2690">
        <f>0</f>
        <v>0</v>
      </c>
      <c r="AK190" s="2690">
        <f>0</f>
        <v>0</v>
      </c>
      <c r="AL190" s="2749">
        <f>-i_P_ALGAE</f>
        <v>-0.02</v>
      </c>
      <c r="AM190" s="2690">
        <f>0</f>
        <v>0</v>
      </c>
      <c r="AN190" s="2690">
        <f>0</f>
        <v>0</v>
      </c>
      <c r="AO190" s="2690">
        <f>0</f>
        <v>0</v>
      </c>
      <c r="AP190" s="2690">
        <f>0</f>
        <v>0</v>
      </c>
      <c r="AQ190" s="2690">
        <f>0</f>
        <v>0</v>
      </c>
      <c r="AR190" s="2749">
        <f>1+i_N_ALGAE*(E_EQNO3*S_NO3/S_NOx+E_EQNO2*S_NO2/S_NOx)</f>
        <v>1.318267117823305</v>
      </c>
      <c r="AS190" s="2690">
        <f>0</f>
        <v>0</v>
      </c>
      <c r="AT190" s="2690">
        <f>0</f>
        <v>0</v>
      </c>
      <c r="AU190" s="2755">
        <f>-i_CIT_ALGAE</f>
        <v>-0.375</v>
      </c>
      <c r="AV190" s="2690">
        <f>i_INORG</f>
        <v>0.11</v>
      </c>
      <c r="AW190" s="2757">
        <f>-i_INORG*(1-i_Ca_INORG*(A_MCa+2*A_MCl)/A_MCa-i_Mg_INORG*(A_MMg+2*A_MCl)/A_MMg)*f_Na</f>
        <v>-2.8804303582798466E-2</v>
      </c>
      <c r="AX190" s="2757">
        <f>-i_INORG*(i_Ca_INORG*(2*A_MCl)/A_MCa+i_Mg_INORG*(2*A_MCl)/A_MMg)-i_INORG*(1-i_Ca_INORG*(A_MCa+2*A_MCl)/A_MCa-i_Mg_INORG*(A_MMg+2*A_MCl)/A_MMg)*(1-f_Na)</f>
        <v>-7.0195696417201539E-2</v>
      </c>
      <c r="AY190" s="2757">
        <f>-i_INORG*i_Ca_INORG</f>
        <v>-5.5000000000000005E-3</v>
      </c>
      <c r="AZ190" s="2757">
        <f>-i_INORG*i_Mg_INORG</f>
        <v>-5.5000000000000005E-3</v>
      </c>
      <c r="BA190" s="2690">
        <f>0</f>
        <v>0</v>
      </c>
      <c r="BB190" s="2690">
        <f>0</f>
        <v>0</v>
      </c>
      <c r="BC190" s="2690">
        <f>0</f>
        <v>0</v>
      </c>
      <c r="BD190" s="2690">
        <f>0</f>
        <v>0</v>
      </c>
      <c r="BE190" s="2690">
        <f>0</f>
        <v>0</v>
      </c>
      <c r="BF190" s="2690">
        <f>0</f>
        <v>0</v>
      </c>
      <c r="BG190" s="2690">
        <f>0</f>
        <v>0</v>
      </c>
      <c r="BH190" s="2690">
        <f>0</f>
        <v>0</v>
      </c>
      <c r="BI190" s="2690">
        <f>0</f>
        <v>0</v>
      </c>
      <c r="BJ190" s="2690">
        <f>0</f>
        <v>0</v>
      </c>
      <c r="BK190" s="2690">
        <f>0</f>
        <v>0</v>
      </c>
      <c r="BL190" s="2690">
        <f>0</f>
        <v>0</v>
      </c>
      <c r="BM190" s="2690">
        <f>0</f>
        <v>0</v>
      </c>
      <c r="BN190" s="2690">
        <f>0</f>
        <v>0</v>
      </c>
      <c r="BO190" s="2690">
        <f>0</f>
        <v>0</v>
      </c>
      <c r="BP190" s="2690">
        <f>0</f>
        <v>0</v>
      </c>
      <c r="BQ190" s="2690">
        <f>0</f>
        <v>0</v>
      </c>
      <c r="BR190" s="2690">
        <f>0</f>
        <v>0</v>
      </c>
      <c r="BS190" s="2690">
        <f>0</f>
        <v>0</v>
      </c>
      <c r="BT190" s="2690">
        <f>0</f>
        <v>0</v>
      </c>
      <c r="BU190" s="2690">
        <f>0</f>
        <v>0</v>
      </c>
      <c r="BV190" s="2690">
        <f>0</f>
        <v>0</v>
      </c>
      <c r="BW190" s="2690">
        <f>0</f>
        <v>0</v>
      </c>
      <c r="BX190" s="2690">
        <f>0</f>
        <v>0</v>
      </c>
      <c r="BY190" s="2690">
        <f>0</f>
        <v>0</v>
      </c>
      <c r="BZ190" s="2690">
        <f>0</f>
        <v>0</v>
      </c>
      <c r="CA190" s="2690">
        <f>0</f>
        <v>0</v>
      </c>
      <c r="CB190" s="2690">
        <f>0</f>
        <v>0</v>
      </c>
      <c r="CC190" s="2690">
        <f>0</f>
        <v>0</v>
      </c>
      <c r="CD190" s="2690">
        <f>0</f>
        <v>0</v>
      </c>
      <c r="CE190" s="2690">
        <f>0</f>
        <v>0</v>
      </c>
      <c r="CF190" s="2690">
        <f>0</f>
        <v>0</v>
      </c>
      <c r="CG190" s="2690">
        <f>0</f>
        <v>0</v>
      </c>
      <c r="CH190" s="2690">
        <f>0</f>
        <v>0</v>
      </c>
      <c r="CI190" s="2690">
        <f>0</f>
        <v>0</v>
      </c>
      <c r="CJ190" s="2690">
        <f>0</f>
        <v>0</v>
      </c>
      <c r="CK190" s="2690">
        <f>0</f>
        <v>0</v>
      </c>
      <c r="CL190" s="2690">
        <f>0</f>
        <v>0</v>
      </c>
      <c r="CM190" s="2690">
        <f>0</f>
        <v>0</v>
      </c>
      <c r="CN190" s="2690">
        <f>0</f>
        <v>0</v>
      </c>
      <c r="CO190" s="2835">
        <f>µ_ALGAE_T*X_ALGAE*M_satSPO4_KPO4_BIO*M_satSCO2_KCO2_ALGAE*L_ightSwitch*M_satSNOx_KNOx_ALGAE*M_inhSNHx_KiNHx_ALGAE</f>
        <v>0</v>
      </c>
      <c r="CQ190" s="2650">
        <f>E248*E190+F248*F190+G248*G190+H248*H190+I248*I190+J248*J190+K248*K190+L248*L190+M248*M190+N248*N190+O248*O190+P248*P190+Q248*Q190+R248*R190+S248*S190+T248*T190+U248*U190+V248*V190+W248*W190+X248*X190+Y248*Y190+Z248*Z190+AA248*AA190+AB248*AB190+AC248*AC190+AD248*AD190+AE248*AE190+AF248*AF190+AG248*AG190+AH248*AH190+AI248*AI190+AJ248*AJ190+AK248*AK190+AL248*AL190+AM248*AM190+AN248*AN190+AO248*AO190+AP248*AP190+AQ248*AQ190+AR248*AR190+AS248*AS190+AT248*AT190+AU248*AU190+AV248*AV190+AW248*AW190+AX248*AX190+AY248*AY190+AZ248*AZ190+BA248*BA190+BB248*BB190+BC248*BC190+BD248*BD190+BE248*BE190+BF248*BF190+BG248*BG190+BH248*BH190+BI248*BI190+BJ248*BJ190+BK248*BK190+BL248*BL190+BM248*BM190+BN248*BN190+BO248*BO190+BP248*BP190+BQ248*BQ190+BR248*BR190+BS248*BS190+BT248*BT190+BU248*BU190+BV248*BV190+BW248*BW190+BX248*BX190+BY248*BY190+BZ248*BZ190+CA248*CA190+CB248*CB190+CC248*CC190+CD248*CD190+CE248*CE190+CF248*CF190+CG248*CG190+CH248*CH190+CI248*CI190+CJ248*CJ190+CK248*CK190+CL248*CL190+CM248*CM190+CN248*CN190</f>
        <v>0</v>
      </c>
      <c r="CR190" s="2650">
        <f>E249*E190+F249*F190+G249*G190+H249*H190+I249*I190+J249*J190+K249*K190+L249*L190+M249*M190+N249*N190+O249*O190+P249*P190+Q249*Q190+R249*R190+S249*S190+T249*T190+U249*U190+V249*V190+W249*W190+X249*X190+Y249*Y190+Z249*Z190+AA249*AA190+AB249*AB190+AC249*AC190+AD249*AD190+AE249*AE190+AF249*AF190+AG249*AG190+AH249*AH190+AI249*AI190+AJ249*AJ190+AK249*AK190+AL249*AL190+AM249*AM190+AN249*AN190+AO249*AO190+AP249*AP190+AQ249*AQ190+AR249*AR190+AS249*AS190+AT249*AT190+AU249*AU190+AV249*AV190+AW249*AW190+AX249*AX190+AY249*AY190+AZ249*AZ190+BA249*BA190+BB249*BB190+BC249*BC190+BD249*BD190+BE249*BE190+BF249*BF190+BG249*BG190+BH249*BH190+BI249*BI190+BJ249*BJ190+BK249*BK190+BL249*BL190+BM249*BM190+BN249*BN190+BO249*BO190+BP249*BP190+BQ249*BQ190+BR249*BR190+BS249*BS190+BT249*BT190+BU249*BU190+BV249*BV190+BW249*BW190+BX249*BX190+BY249*BY190+BZ249*BZ190+CA249*CA190+CB249*CB190+CC249*CC190+CD249*CD190+CE249*CE190+CF249*CF190+CG249*CG190+CH249*CH190+CI249*CI190+CJ249*CJ190+CK249*CK190+CL249*CL190+CM249*CM190+CN249*CN190</f>
        <v>0</v>
      </c>
      <c r="CS190" s="2651">
        <f>E250*E190+F250*F190+G250*G190+H250*H190+I250*I190+J250*J190+K250*K190+L250*L190+M250*M190+N250*N190+O250*O190+P250*P190+Q250*Q190+R250*R190+S250*S190+T250*T190+U250*U190+V250*V190+W250*W190+X250*X190+Y250*Y190+Z250*Z190+AA250*AA190+AB250*AB190+AC250*AC190+AD250*AD190+AE250*AE190+AF250*AF190+AG250*AG190+AH250*AH190+AI250*AI190+AJ250*AJ190+AK250*AK190+AL250*AL190+AM250*AM190+AN250*AN190+AO250*AO190+AP250*AP190+AQ250*AQ190+AR250*AR190+AS250*AS190+AT250*AT190+AU250*AU190+AV250*AV190+AW250*AW190+AX250*AX190+AY250*AY190+AZ250*AZ190+BA250*BA190+BB250*BB190+BC250*BC190+BD250*BD190+BE250*BE190+BF250*BF190+BG250*BG190+BH250*BH190+BI250*BI190+BJ250*BJ190+BK250*BK190+BL250*BL190+BM250*BM190+BN250*BN190+BO250*BO190+BP250*BP190+BQ250*BQ190+BR250*BR190+BS250*BS190+BT250*BT190+BU250*BU190+BV250*BV190+BW250*BW190+BX250*BX190+BY250*BY190+BZ250*BZ190+CA250*CA190+CB250*CB190+CC250*CC190+CD250*CD190+CE250*CE190+CF250*CF190+CG250*CG190+CH250*CH190+CI250*CI190+CJ250*CJ190+CK250*CK190+CL250*CL190+CM250*CM190+CN250*CN190</f>
        <v>0</v>
      </c>
      <c r="CT190" s="2652">
        <f>E251*E190+F251*F190+G251*G190+H251*H190+I251*I190+J251*J190+K251*K190+L251*L190+M251*M190+N251*N190+O251*O190+P251*P190+Q251*Q190+R251*R190+S251*S190+T251*T190+U251*U190+V251*V190+W251*W190+X251*X190+Y251*Y190+Z251*Z190+AA251*AA190+AB251*AB190+AC251*AC190+AD251*AD190+AE251*AE190+AF251*AF190+AG251*AG190+AH251*AH190+AI251*AI190+AJ251*AJ190+AK251*AK190+AL251*AL190+AM251*AM190+AN251*AN190+AO251*AO190+AP251*AP190+AQ251*AQ190+AR251*AR190+AS251*AS190+AT251*AT190+AU251*AU190+AV251*AV190+AW251*AW190+AX251*AX190+AY251*AY190+AZ251*AZ190+BA251*BA190+BB251*BB190+BC251*BC190+BD251*BD190+BE251*BE190+BF251*BF190+BG251*BG190+BH251*BH190+BI251*BI190+BJ251*BJ190+BK251*BK190+BL251*BL190+BM251*BM190+BN251*BN190+BO251*BO190+BP251*BP190+BQ251*BQ190+BR251*BR190+BS251*BS190+BT251*BT190+BU251*BU190+BV251*BV190+BW251*BW190+BX251*BX190+BY251*BY190+BZ251*BZ190+CA251*CA190+CB251*CB190+CC251*CC190+CD251*CD190+CE251*CE190+CF251*CF190+CG251*CG190+CH251*CH190+CI251*CI190+CJ251*CJ190+CK251*CK190+CL251*CL190+CM251*CM190+CN251*CN190</f>
        <v>0</v>
      </c>
      <c r="CU190" s="2652">
        <f>E252*E190+F252*F190+G252*G190+H252*H190+I252*I190+J252*J190+K252*K190+L252*L190+M252*M190+N252*N190+O252*O190+P252*P190+Q252*Q190+R252*R190+S252*S190+T252*T190+U252*U190+V252*V190+W252*W190+X252*X190+Y252*Y190+Z252*Z190+AA252*AA190+AB252*AB190+AC252*AC190+AD252*AD190+AE252*AE190+AF252*AF190+AG252*AG190+AH252*AH190+AI252*AI190+AJ252*AJ190+AK252*AK190+AL252*AL190+AM252*AM190+AN252*AN190+AO252*AO190+AP252*AP190+AQ252*AQ190+AR252*AR190+AS252*AS190+AT252*AT190+AU252*AU190+AV252*AV190+AW252*AW190+AX252*AX190+AY252*AY190+AZ252*AZ190+BA252*BA190+BB252*BB190+BC252*BC190+BD252*BD190+BE252*BE190+BF252*BF190+BG252*BG190+BH252*BH190+BI252*BI190+BJ252*BJ190+BK252*BK190+BL252*BL190+BM252*BM190+BN252*BN190+BO252*BO190+BP252*BP190+BQ252*BQ190+BR252*BR190+BS252*BS190+BT252*BT190+BU252*BU190+BV252*BV190+BW252*BW190+BX252*BX190+BY252*BY190+BZ252*BZ190+CA252*CA190+CB252*CB190+CC252*CC190+CD252*CD190+CE252*CE190+CF252*CF190+CG252*CG190+CH252*CH190+CI252*CI190+CJ252*CJ190+CK252*CK190+CL252*CL190+CM252*CM190+CN252*CN190</f>
        <v>0</v>
      </c>
      <c r="CV190" s="2652">
        <f>E253*E190+F253*F190+G253*G190+H253*H190+I253*I190+J253*J190+K253*K190+L253*L190+M253*M190+N253*N190+O253*O190+P253*P190+Q253*Q190+R253*R190+S253*S190+T253*T190+U253*U190+V253*V190+W253*W190+X253*X190+Y253*Y190+Z253*Z190+AA253*AA190+AB253*AB190+AC253*AC190+AD253*AD190+AE253*AE190+AF253*AF190+AG253*AG190+AH253*AH190+AI253*AI190+AJ253*AJ190+AK253*AK190+AL253*AL190+AM253*AM190+AN253*AN190+AO253*AO190+AP253*AP190+AQ253*AQ190+AR253*AR190+AS253*AS190+AT253*AT190+AU253*AU190+AV253*AV190+AW253*AW190+AX253*AX190+AY253*AY190+AZ253*AZ190+BA253*BA190+BB253*BB190+BC253*BC190+BD253*BD190+BE253*BE190+BF253*BF190+BG253*BG190+BH253*BH190+BI253*BI190+BJ253*BJ190+BK253*BK190+BL253*BL190+BM253*BM190+BN253*BN190+BO253*BO190+BP253*BP190+BQ253*BQ190+BR253*BR190+BS253*BS190+BT253*BT190+BU253*BU190+BV253*BV190+BW253*BW190+BX253*BX190+BY253*BY190+BZ253*BZ190+CA253*CA190+CB253*CB190+CC253*CC190+CD253*CD190+CE253*CE190+CF253*CF190+CG253*CG190+CH253*CH190+CI253*CI190+CJ253*CJ190+CK253*CK190+CL253*CL190+CM253*CM190+CN253*CN190</f>
        <v>0</v>
      </c>
      <c r="CW190" s="2652">
        <f>E254*E190+F254*F190+G254*G190+H254*H190+I254*I190+J254*J190+K254*K190+L254*L190+M254*M190+N254*N190+O254*O190+P254*P190+Q254*Q190+R254*R190+S254*S190+T254*T190+U254*U190+V254*V190+W254*W190+X254*X190+Y254*Y190+Z254*Z190+AA254*AA190+AB254*AB190+AC254*AC190+AD254*AD190+AE254*AE190+AF254*AF190+AG254*AG190+AH254*AH190+AI254*AI190+AJ254*AJ190+AK254*AK190+AL254*AL190+AM254*AM190+AN254*AN190+AO254*AO190+AP254*AP190+AQ254*AQ190+AR254*AR190+AS254*AS190+AT254*AT190+AU254*AU190+AV254*AV190+AW254*AW190+AX254*AX190+AY254*AY190+AZ254*AZ190+BA254*BA190+BB254*BB190+BC254*BC190+BD254*BD190+BE254*BE190+BF254*BF190+BG254*BG190+BH254*BH190+BI254*BI190+BJ254*BJ190+BK254*BK190+BL254*BL190+BM254*BM190+BN254*BN190+BO254*BO190+BP254*BP190+BQ254*BQ190+BR254*BR190+BS254*BS190+BT254*BT190+BU254*BU190+BV254*BV190+BW254*BW190+BX254*BX190+BY254*BY190+BZ254*BZ190+CA254*CA190+CB254*CB190+CC254*CC190+CD254*CD190+CE254*CE190+CF254*CF190+CG254*CG190+CH254*CH190+CI254*CI190+CJ254*CJ190+CK254*CK190+CL254*CL190+CM254*CM190+CN254*CN190</f>
        <v>0</v>
      </c>
      <c r="CX190" s="2652">
        <f>E255*E190+F255*F190+G255*G190+H255*H190+I255*I190+J255*J190+K255*K190+L255*L190+M255*M190+N255*N190+O255*O190+P255*P190+Q255*Q190+R255*R190+S255*S190+T255*T190+U255*U190+V255*V190+W255*W190+X255*X190+Y255*Y190+Z255*Z190+AA255*AA190+AB255*AB190+AC255*AC190+AD255*AD190+AE255*AE190+AF255*AF190+AG255*AG190+AH255*AH190+AI255*AI190+AJ255*AJ190+AK255*AK190+AL255*AL190+AM255*AM190+AN255*AN190+AO255*AO190+AP255*AP190+AQ255*AQ190+AR255*AR190+AS255*AS190+AT255*AT190+AU255*AU190+AV255*AV190+AW255*AW190+AX255*AX190+AY255*AY190+AZ255*AZ190+BA255*BA190+BB255*BB190+BC255*BC190+BD255*BD190+BE255*BE190+BF255*BF190+BG255*BG190+BH255*BH190+BI255*BI190+BJ255*BJ190+BK255*BK190+BL255*BL190+BM255*BM190+BN255*BN190+BO255*BO190+BP255*BP190+BQ255*BQ190+BR255*BR190+BS255*BS190+BT255*BT190+BU255*BU190+BV255*BV190+BW255*BW190+BX255*BX190+BY255*BY190+BZ255*BZ190+CA255*CA190+CB255*CB190+CC255*CC190+CD255*CD190+CE255*CE190+CF255*CF190+CG255*CG190+CH255*CH190+CI255*CI190+CJ255*CJ190+CK255*CK190+CL255*CL190+CM255*CM190+CN255*CN190</f>
        <v>0</v>
      </c>
      <c r="CY190" s="2652">
        <f>E256*E190+F256*F190+G256*G190+H256*H190+I256*I190+J256*J190+K256*K190+L256*L190+M256*M190+N256*N190+O256*O190+P256*P190+Q256*Q190+R256*R190+S256*S190+T256*T190+U256*U190+V256*V190+W256*W190+X256*X190+Y256*Y190+Z256*Z190+AA256*AA190+AB256*AB190+AC256*AC190+AD256*AD190+AE256*AE190+AF256*AF190+AG256*AG190+AH256*AH190+AI256*AI190+AJ256*AJ190+AK256*AK190+AL256*AL190+AM256*AM190+AN256*AN190+AO256*AO190+AP256*AP190+AQ256*AQ190+AR256*AR190+AS256*AS190+AT256*AT190+AU256*AU190+AV256*AV190+AW256*AW190+AX256*AX190+AY256*AY190+AZ256*AZ190+BA256*BA190+BB256*BB190+BC256*BC190+BD256*BD190+BE256*BE190+BF256*BF190+BG256*BG190+BH256*BH190+BI256*BI190+BJ256*BJ190+BK256*BK190+BL256*BL190+BM256*BM190+BN256*BN190+BO256*BO190+BP256*BP190+BQ256*BQ190+BR256*BR190+BS256*BS190+BT256*BT190+BU256*BU190+BV256*BV190+BW256*BW190+BX256*BX190+BY256*BY190+BZ256*BZ190+CA256*CA190+CB256*CB190+CC256*CC190+CD256*CD190+CE256*CE190+CF256*CF190+CG256*CG190+CH256*CH190+CI256*CI190+CJ256*CJ190+CK256*CK190+CL256*CL190+CM256*CM190+CN256*CN190</f>
        <v>0</v>
      </c>
      <c r="CZ190" s="2652">
        <f>E257*E190+F257*F190+G257*G190+H257*H190+I257*I190+J257*J190+K257*K190+L257*L190+M257*M190+N257*N190+O257*O190+P257*P190+Q257*Q190+R257*R190+S257*S190+T257*T190+U257*U190+V257*V190+W257*W190+X257*X190+Y257*Y190+Z257*Z190+AA257*AA190+AB257*AB190+AC257*AC190+AD257*AD190+AE257*AE190+AF257*AF190+AG257*AG190+AH257*AH190+AI257*AI190+AJ257*AJ190+AK257*AK190+AL257*AL190+AM257*AM190+AN257*AN190+AO257*AO190+AP257*AP190+AQ257*AQ190+AR257*AR190+AS257*AS190+AT257*AT190+AU257*AU190+AV257*AV190+AW257*AW190+AX257*AX190+AY257*AY190+AZ257*AZ190+BA257*BA190+BB257*BB190+BC257*BC190+BD257*BD190+BE257*BE190+BF257*BF190+BG257*BG190+BH257*BH190+BI257*BI190+BJ257*BJ190+BK257*BK190+BL257*BL190+BM257*BM190+BN257*BN190+BO257*BO190+BP257*BP190+BQ257*BQ190+BR257*BR190+BS257*BS190+BT257*BT190+BU257*BU190+BV257*BV190+BW257*BW190+BX257*BX190+BY257*BY190+BZ257*BZ190+CA257*CA190+CB257*CB190+CC257*CC190+CD257*CD190+CE257*CE190+CF257*CF190+CG257*CG190+CH257*CH190+CI257*CI190+CJ257*CJ190+CK257*CK190+CL257*CL190+CM257*CM190+CN257*CN190</f>
        <v>0</v>
      </c>
      <c r="DA190" s="2652">
        <f>E258*E190+F258*F190+G258*G190+H258*H190+I258*I190+J258*J190+K258*K190+L258*L190+M258*M190+N258*N190+O258*O190+P258*P190+Q258*Q190+R258*R190+S258*S190+T258*T190+U258*U190+V258*V190+W258*W190+X258*X190+Y258*Y190+Z258*Z190+AA258*AA190+AB258*AB190+AC258*AC190+AD258*AD190+AE258*AE190+AF258*AF190+AG258*AG190+AH258*AH190+AI258*AI190+AJ258*AJ190+AK258*AK190+AL258*AL190+AM258*AM190+AN258*AN190+AO258*AO190+AP258*AP190+AQ258*AQ190+AR258*AR190+AS258*AS190+AT258*AT190+AU258*AU190+AV258*AV190+AW258*AW190+AX258*AX190+AY258*AY190+AZ258*AZ190+BA258*BA190+BB258*BB190+BC258*BC190+BD258*BD190+BE258*BE190+BF258*BF190+BG258*BG190+BH258*BH190+BI258*BI190+BJ258*BJ190+BK258*BK190+BL258*BL190+BM258*BM190+BN258*BN190+BO258*BO190+BP258*BP190+BQ258*BQ190+BR258*BR190+BS258*BS190+BT258*BT190+BU258*BU190+BV258*BV190+BW258*BW190+BX258*BX190+BY258*BY190+BZ258*BZ190+CA258*CA190+CB258*CB190+CC258*CC190+CD258*CD190+CE258*CE190+CF258*CF190+CG258*CG190+CH258*CH190+CI258*CI190+CJ258*CJ190+CK258*CK190+CL258*CL190+CM258*CM190+CN258*CN190</f>
        <v>0</v>
      </c>
    </row>
    <row r="191" spans="2:105" ht="18" x14ac:dyDescent="0.35">
      <c r="B191" s="2266">
        <v>58</v>
      </c>
      <c r="C191" s="2267" t="s">
        <v>2138</v>
      </c>
      <c r="D191" s="2268" t="s">
        <v>4833</v>
      </c>
      <c r="E191" s="2690">
        <f>0</f>
        <v>0</v>
      </c>
      <c r="F191" s="2690">
        <f>0</f>
        <v>0</v>
      </c>
      <c r="G191" s="2690">
        <f>0</f>
        <v>0</v>
      </c>
      <c r="H191" s="2690">
        <f>0</f>
        <v>0</v>
      </c>
      <c r="I191" s="2690">
        <f>0</f>
        <v>0</v>
      </c>
      <c r="J191" s="2690">
        <f>0</f>
        <v>0</v>
      </c>
      <c r="K191" s="2690">
        <f>0</f>
        <v>0</v>
      </c>
      <c r="L191" s="2690">
        <f>0</f>
        <v>0</v>
      </c>
      <c r="M191" s="2690">
        <f>0</f>
        <v>0</v>
      </c>
      <c r="N191" s="2690">
        <f>0</f>
        <v>0</v>
      </c>
      <c r="O191" s="2690">
        <f>0</f>
        <v>0</v>
      </c>
      <c r="P191" s="2690">
        <f>0</f>
        <v>0</v>
      </c>
      <c r="Q191" s="2690">
        <f>0</f>
        <v>0</v>
      </c>
      <c r="R191" s="2690">
        <f>0</f>
        <v>0</v>
      </c>
      <c r="S191" s="2690">
        <f>0</f>
        <v>0</v>
      </c>
      <c r="T191" s="2690">
        <f>0</f>
        <v>0</v>
      </c>
      <c r="U191" s="2690">
        <f>0</f>
        <v>0</v>
      </c>
      <c r="V191" s="2690">
        <f>0</f>
        <v>0</v>
      </c>
      <c r="W191" s="2690">
        <f>0</f>
        <v>0</v>
      </c>
      <c r="X191" s="2690">
        <f>0</f>
        <v>0</v>
      </c>
      <c r="Y191" s="2690">
        <f>0</f>
        <v>0</v>
      </c>
      <c r="Z191" s="2690">
        <f>0</f>
        <v>0</v>
      </c>
      <c r="AA191" s="2690">
        <f>0</f>
        <v>0</v>
      </c>
      <c r="AB191" s="2690">
        <f>0</f>
        <v>0</v>
      </c>
      <c r="AC191" s="2690">
        <f>1</f>
        <v>1</v>
      </c>
      <c r="AD191" s="2749">
        <f>-i_N_ALGAE</f>
        <v>-7.0000000000000007E-2</v>
      </c>
      <c r="AE191" s="2690">
        <f>0</f>
        <v>0</v>
      </c>
      <c r="AF191" s="2690">
        <f>0</f>
        <v>0</v>
      </c>
      <c r="AG191" s="2690">
        <f>0</f>
        <v>0</v>
      </c>
      <c r="AH191" s="2690">
        <f>0</f>
        <v>0</v>
      </c>
      <c r="AI191" s="2690">
        <f>0</f>
        <v>0</v>
      </c>
      <c r="AJ191" s="2690">
        <f>0</f>
        <v>0</v>
      </c>
      <c r="AK191" s="2690">
        <f>0</f>
        <v>0</v>
      </c>
      <c r="AL191" s="2749">
        <f>-i_P_ALGAE</f>
        <v>-0.02</v>
      </c>
      <c r="AM191" s="2690">
        <f>0</f>
        <v>0</v>
      </c>
      <c r="AN191" s="2690">
        <f>0</f>
        <v>0</v>
      </c>
      <c r="AO191" s="2690">
        <f>0</f>
        <v>0</v>
      </c>
      <c r="AP191" s="2690">
        <f>0</f>
        <v>0</v>
      </c>
      <c r="AQ191" s="2690">
        <f>0</f>
        <v>0</v>
      </c>
      <c r="AR191" s="2690">
        <f>1</f>
        <v>1</v>
      </c>
      <c r="AS191" s="2690">
        <f>0</f>
        <v>0</v>
      </c>
      <c r="AT191" s="2690">
        <f>0</f>
        <v>0</v>
      </c>
      <c r="AU191" s="2755">
        <f>-i_CIT_ALGAE</f>
        <v>-0.375</v>
      </c>
      <c r="AV191" s="2690">
        <f>i_INORG</f>
        <v>0.11</v>
      </c>
      <c r="AW191" s="2757">
        <f>-i_INORG*(1-i_Ca_INORG*(A_MCa+2*A_MCl)/A_MCa-i_Mg_INORG*(A_MMg+2*A_MCl)/A_MMg)*f_Na</f>
        <v>-2.8804303582798466E-2</v>
      </c>
      <c r="AX191" s="2757">
        <f>-i_INORG*(i_Ca_INORG*(2*A_MCl)/A_MCa+i_Mg_INORG*(2*A_MCl)/A_MMg)-i_INORG*(1-i_Ca_INORG*(A_MCa+2*A_MCl)/A_MCa-i_Mg_INORG*(A_MMg+2*A_MCl)/A_MMg)*(1-f_Na)</f>
        <v>-7.0195696417201539E-2</v>
      </c>
      <c r="AY191" s="2757">
        <f>-i_INORG*i_Ca_INORG</f>
        <v>-5.5000000000000005E-3</v>
      </c>
      <c r="AZ191" s="2757">
        <f>-i_INORG*i_Mg_INORG</f>
        <v>-5.5000000000000005E-3</v>
      </c>
      <c r="BA191" s="2690">
        <f>0</f>
        <v>0</v>
      </c>
      <c r="BB191" s="2690">
        <f>0</f>
        <v>0</v>
      </c>
      <c r="BC191" s="2690">
        <f>0</f>
        <v>0</v>
      </c>
      <c r="BD191" s="2690">
        <f>0</f>
        <v>0</v>
      </c>
      <c r="BE191" s="2690">
        <f>0</f>
        <v>0</v>
      </c>
      <c r="BF191" s="2690">
        <f>0</f>
        <v>0</v>
      </c>
      <c r="BG191" s="2690">
        <f>0</f>
        <v>0</v>
      </c>
      <c r="BH191" s="2690">
        <f>0</f>
        <v>0</v>
      </c>
      <c r="BI191" s="2690">
        <f>0</f>
        <v>0</v>
      </c>
      <c r="BJ191" s="2690">
        <f>0</f>
        <v>0</v>
      </c>
      <c r="BK191" s="2690">
        <f>0</f>
        <v>0</v>
      </c>
      <c r="BL191" s="2690">
        <f>0</f>
        <v>0</v>
      </c>
      <c r="BM191" s="2690">
        <f>0</f>
        <v>0</v>
      </c>
      <c r="BN191" s="2690">
        <f>0</f>
        <v>0</v>
      </c>
      <c r="BO191" s="2690">
        <f>0</f>
        <v>0</v>
      </c>
      <c r="BP191" s="2690">
        <f>0</f>
        <v>0</v>
      </c>
      <c r="BQ191" s="2690">
        <f>0</f>
        <v>0</v>
      </c>
      <c r="BR191" s="2690">
        <f>0</f>
        <v>0</v>
      </c>
      <c r="BS191" s="2690">
        <f>0</f>
        <v>0</v>
      </c>
      <c r="BT191" s="2690">
        <f>0</f>
        <v>0</v>
      </c>
      <c r="BU191" s="2690">
        <f>0</f>
        <v>0</v>
      </c>
      <c r="BV191" s="2690">
        <f>0</f>
        <v>0</v>
      </c>
      <c r="BW191" s="2690">
        <f>0</f>
        <v>0</v>
      </c>
      <c r="BX191" s="2690">
        <f>0</f>
        <v>0</v>
      </c>
      <c r="BY191" s="2690">
        <f>0</f>
        <v>0</v>
      </c>
      <c r="BZ191" s="2690">
        <f>0</f>
        <v>0</v>
      </c>
      <c r="CA191" s="2690">
        <f>0</f>
        <v>0</v>
      </c>
      <c r="CB191" s="2690">
        <f>0</f>
        <v>0</v>
      </c>
      <c r="CC191" s="2690">
        <f>0</f>
        <v>0</v>
      </c>
      <c r="CD191" s="2690">
        <f>0</f>
        <v>0</v>
      </c>
      <c r="CE191" s="2690">
        <f>0</f>
        <v>0</v>
      </c>
      <c r="CF191" s="2690">
        <f>0</f>
        <v>0</v>
      </c>
      <c r="CG191" s="2690">
        <f>0</f>
        <v>0</v>
      </c>
      <c r="CH191" s="2690">
        <f>0</f>
        <v>0</v>
      </c>
      <c r="CI191" s="2690">
        <f>0</f>
        <v>0</v>
      </c>
      <c r="CJ191" s="2690">
        <f>0</f>
        <v>0</v>
      </c>
      <c r="CK191" s="2690">
        <f>0</f>
        <v>0</v>
      </c>
      <c r="CL191" s="2690">
        <f>0</f>
        <v>0</v>
      </c>
      <c r="CM191" s="2690">
        <f>0</f>
        <v>0</v>
      </c>
      <c r="CN191" s="2690">
        <f>0</f>
        <v>0</v>
      </c>
      <c r="CO191" s="2835">
        <f>µ_ALGAE_T*X_ALGAE*M_satSNHx_KNHx_ALGAE*M_satSPO4_KPO4_BIO*M_satSCO2_KCO2_ALGAE*L_ightSwitch</f>
        <v>0</v>
      </c>
      <c r="CQ191" s="2650">
        <f>E248*E191+F248*F191+G248*G191+H248*H191+I248*I191+J248*J191+K248*K191+L248*L191+M248*M191+N248*N191+O248*O191+P248*P191+Q248*Q191+R248*R191+S248*S191+T248*T191+U248*U191+V248*V191+W248*W191+X248*X191+Y248*Y191+Z248*Z191+AA248*AA191+AB248*AB191+AC248*AC191+AD248*AD191+AE248*AE191+AF248*AF191+AG248*AG191+AH248*AH191+AI248*AI191+AJ248*AJ191+AK248*AK191+AL248*AL191+AM248*AM191+AN248*AN191+AO248*AO191+AP248*AP191+AQ248*AQ191+AR248*AR191+AS248*AS191+AT248*AT191+AU248*AU191+AV248*AV191+AW248*AW191+AX248*AX191+AY248*AY191+AZ248*AZ191+BA248*BA191+BB248*BB191+BC248*BC191+BD248*BD191+BE248*BE191+BF248*BF191+BG248*BG191+BH248*BH191+BI248*BI191+BJ248*BJ191+BK248*BK191+BL248*BL191+BM248*BM191+BN248*BN191+BO248*BO191+BP248*BP191+BQ248*BQ191+BR248*BR191+BS248*BS191+BT248*BT191+BU248*BU191+BV248*BV191+BW248*BW191+BX248*BX191+BY248*BY191+BZ248*BZ191+CA248*CA191+CB248*CB191+CC248*CC191+CD248*CD191+CE248*CE191+CF248*CF191+CG248*CG191+CH248*CH191+CI248*CI191+CJ248*CJ191+CK248*CK191+CL248*CL191+CM248*CM191+CN248*CN191</f>
        <v>0</v>
      </c>
      <c r="CR191" s="2650">
        <f>E249*E191+F249*F191+G249*G191+H249*H191+I249*I191+J249*J191+K249*K191+L249*L191+M249*M191+N249*N191+O249*O191+P249*P191+Q249*Q191+R249*R191+S249*S191+T249*T191+U249*U191+V249*V191+W249*W191+X249*X191+Y249*Y191+Z249*Z191+AA249*AA191+AB249*AB191+AC249*AC191+AD249*AD191+AE249*AE191+AF249*AF191+AG249*AG191+AH249*AH191+AI249*AI191+AJ249*AJ191+AK249*AK191+AL249*AL191+AM249*AM191+AN249*AN191+AO249*AO191+AP249*AP191+AQ249*AQ191+AR249*AR191+AS249*AS191+AT249*AT191+AU249*AU191+AV249*AV191+AW249*AW191+AX249*AX191+AY249*AY191+AZ249*AZ191+BA249*BA191+BB249*BB191+BC249*BC191+BD249*BD191+BE249*BE191+BF249*BF191+BG249*BG191+BH249*BH191+BI249*BI191+BJ249*BJ191+BK249*BK191+BL249*BL191+BM249*BM191+BN249*BN191+BO249*BO191+BP249*BP191+BQ249*BQ191+BR249*BR191+BS249*BS191+BT249*BT191+BU249*BU191+BV249*BV191+BW249*BW191+BX249*BX191+BY249*BY191+BZ249*BZ191+CA249*CA191+CB249*CB191+CC249*CC191+CD249*CD191+CE249*CE191+CF249*CF191+CG249*CG191+CH249*CH191+CI249*CI191+CJ249*CJ191+CK249*CK191+CL249*CL191+CM249*CM191+CN249*CN191</f>
        <v>0</v>
      </c>
      <c r="CS191" s="2651">
        <f>E250*E191+F250*F191+G250*G191+H250*H191+I250*I191+J250*J191+K250*K191+L250*L191+M250*M191+N250*N191+O250*O191+P250*P191+Q250*Q191+R250*R191+S250*S191+T250*T191+U250*U191+V250*V191+W250*W191+X250*X191+Y250*Y191+Z250*Z191+AA250*AA191+AB250*AB191+AC250*AC191+AD250*AD191+AE250*AE191+AF250*AF191+AG250*AG191+AH250*AH191+AI250*AI191+AJ250*AJ191+AK250*AK191+AL250*AL191+AM250*AM191+AN250*AN191+AO250*AO191+AP250*AP191+AQ250*AQ191+AR250*AR191+AS250*AS191+AT250*AT191+AU250*AU191+AV250*AV191+AW250*AW191+AX250*AX191+AY250*AY191+AZ250*AZ191+BA250*BA191+BB250*BB191+BC250*BC191+BD250*BD191+BE250*BE191+BF250*BF191+BG250*BG191+BH250*BH191+BI250*BI191+BJ250*BJ191+BK250*BK191+BL250*BL191+BM250*BM191+BN250*BN191+BO250*BO191+BP250*BP191+BQ250*BQ191+BR250*BR191+BS250*BS191+BT250*BT191+BU250*BU191+BV250*BV191+BW250*BW191+BX250*BX191+BY250*BY191+BZ250*BZ191+CA250*CA191+CB250*CB191+CC250*CC191+CD250*CD191+CE250*CE191+CF250*CF191+CG250*CG191+CH250*CH191+CI250*CI191+CJ250*CJ191+CK250*CK191+CL250*CL191+CM250*CM191+CN250*CN191</f>
        <v>0</v>
      </c>
      <c r="CT191" s="2652">
        <f>E251*E191+F251*F191+G251*G191+H251*H191+I251*I191+J251*J191+K251*K191+L251*L191+M251*M191+N251*N191+O251*O191+P251*P191+Q251*Q191+R251*R191+S251*S191+T251*T191+U251*U191+V251*V191+W251*W191+X251*X191+Y251*Y191+Z251*Z191+AA251*AA191+AB251*AB191+AC251*AC191+AD251*AD191+AE251*AE191+AF251*AF191+AG251*AG191+AH251*AH191+AI251*AI191+AJ251*AJ191+AK251*AK191+AL251*AL191+AM251*AM191+AN251*AN191+AO251*AO191+AP251*AP191+AQ251*AQ191+AR251*AR191+AS251*AS191+AT251*AT191+AU251*AU191+AV251*AV191+AW251*AW191+AX251*AX191+AY251*AY191+AZ251*AZ191+BA251*BA191+BB251*BB191+BC251*BC191+BD251*BD191+BE251*BE191+BF251*BF191+BG251*BG191+BH251*BH191+BI251*BI191+BJ251*BJ191+BK251*BK191+BL251*BL191+BM251*BM191+BN251*BN191+BO251*BO191+BP251*BP191+BQ251*BQ191+BR251*BR191+BS251*BS191+BT251*BT191+BU251*BU191+BV251*BV191+BW251*BW191+BX251*BX191+BY251*BY191+BZ251*BZ191+CA251*CA191+CB251*CB191+CC251*CC191+CD251*CD191+CE251*CE191+CF251*CF191+CG251*CG191+CH251*CH191+CI251*CI191+CJ251*CJ191+CK251*CK191+CL251*CL191+CM251*CM191+CN251*CN191</f>
        <v>0</v>
      </c>
      <c r="CU191" s="2652">
        <f>E252*E191+F252*F191+G252*G191+H252*H191+I252*I191+J252*J191+K252*K191+L252*L191+M252*M191+N252*N191+O252*O191+P252*P191+Q252*Q191+R252*R191+S252*S191+T252*T191+U252*U191+V252*V191+W252*W191+X252*X191+Y252*Y191+Z252*Z191+AA252*AA191+AB252*AB191+AC252*AC191+AD252*AD191+AE252*AE191+AF252*AF191+AG252*AG191+AH252*AH191+AI252*AI191+AJ252*AJ191+AK252*AK191+AL252*AL191+AM252*AM191+AN252*AN191+AO252*AO191+AP252*AP191+AQ252*AQ191+AR252*AR191+AS252*AS191+AT252*AT191+AU252*AU191+AV252*AV191+AW252*AW191+AX252*AX191+AY252*AY191+AZ252*AZ191+BA252*BA191+BB252*BB191+BC252*BC191+BD252*BD191+BE252*BE191+BF252*BF191+BG252*BG191+BH252*BH191+BI252*BI191+BJ252*BJ191+BK252*BK191+BL252*BL191+BM252*BM191+BN252*BN191+BO252*BO191+BP252*BP191+BQ252*BQ191+BR252*BR191+BS252*BS191+BT252*BT191+BU252*BU191+BV252*BV191+BW252*BW191+BX252*BX191+BY252*BY191+BZ252*BZ191+CA252*CA191+CB252*CB191+CC252*CC191+CD252*CD191+CE252*CE191+CF252*CF191+CG252*CG191+CH252*CH191+CI252*CI191+CJ252*CJ191+CK252*CK191+CL252*CL191+CM252*CM191+CN252*CN191</f>
        <v>0</v>
      </c>
      <c r="CV191" s="2652">
        <f>E253*E191+F253*F191+G253*G191+H253*H191+I253*I191+J253*J191+K253*K191+L253*L191+M253*M191+N253*N191+O253*O191+P253*P191+Q253*Q191+R253*R191+S253*S191+T253*T191+U253*U191+V253*V191+W253*W191+X253*X191+Y253*Y191+Z253*Z191+AA253*AA191+AB253*AB191+AC253*AC191+AD253*AD191+AE253*AE191+AF253*AF191+AG253*AG191+AH253*AH191+AI253*AI191+AJ253*AJ191+AK253*AK191+AL253*AL191+AM253*AM191+AN253*AN191+AO253*AO191+AP253*AP191+AQ253*AQ191+AR253*AR191+AS253*AS191+AT253*AT191+AU253*AU191+AV253*AV191+AW253*AW191+AX253*AX191+AY253*AY191+AZ253*AZ191+BA253*BA191+BB253*BB191+BC253*BC191+BD253*BD191+BE253*BE191+BF253*BF191+BG253*BG191+BH253*BH191+BI253*BI191+BJ253*BJ191+BK253*BK191+BL253*BL191+BM253*BM191+BN253*BN191+BO253*BO191+BP253*BP191+BQ253*BQ191+BR253*BR191+BS253*BS191+BT253*BT191+BU253*BU191+BV253*BV191+BW253*BW191+BX253*BX191+BY253*BY191+BZ253*BZ191+CA253*CA191+CB253*CB191+CC253*CC191+CD253*CD191+CE253*CE191+CF253*CF191+CG253*CG191+CH253*CH191+CI253*CI191+CJ253*CJ191+CK253*CK191+CL253*CL191+CM253*CM191+CN253*CN191</f>
        <v>0</v>
      </c>
      <c r="CW191" s="2652">
        <f>E254*E191+F254*F191+G254*G191+H254*H191+I254*I191+J254*J191+K254*K191+L254*L191+M254*M191+N254*N191+O254*O191+P254*P191+Q254*Q191+R254*R191+S254*S191+T254*T191+U254*U191+V254*V191+W254*W191+X254*X191+Y254*Y191+Z254*Z191+AA254*AA191+AB254*AB191+AC254*AC191+AD254*AD191+AE254*AE191+AF254*AF191+AG254*AG191+AH254*AH191+AI254*AI191+AJ254*AJ191+AK254*AK191+AL254*AL191+AM254*AM191+AN254*AN191+AO254*AO191+AP254*AP191+AQ254*AQ191+AR254*AR191+AS254*AS191+AT254*AT191+AU254*AU191+AV254*AV191+AW254*AW191+AX254*AX191+AY254*AY191+AZ254*AZ191+BA254*BA191+BB254*BB191+BC254*BC191+BD254*BD191+BE254*BE191+BF254*BF191+BG254*BG191+BH254*BH191+BI254*BI191+BJ254*BJ191+BK254*BK191+BL254*BL191+BM254*BM191+BN254*BN191+BO254*BO191+BP254*BP191+BQ254*BQ191+BR254*BR191+BS254*BS191+BT254*BT191+BU254*BU191+BV254*BV191+BW254*BW191+BX254*BX191+BY254*BY191+BZ254*BZ191+CA254*CA191+CB254*CB191+CC254*CC191+CD254*CD191+CE254*CE191+CF254*CF191+CG254*CG191+CH254*CH191+CI254*CI191+CJ254*CJ191+CK254*CK191+CL254*CL191+CM254*CM191+CN254*CN191</f>
        <v>0</v>
      </c>
      <c r="CX191" s="2652">
        <f>E255*E191+F255*F191+G255*G191+H255*H191+I255*I191+J255*J191+K255*K191+L255*L191+M255*M191+N255*N191+O255*O191+P255*P191+Q255*Q191+R255*R191+S255*S191+T255*T191+U255*U191+V255*V191+W255*W191+X255*X191+Y255*Y191+Z255*Z191+AA255*AA191+AB255*AB191+AC255*AC191+AD255*AD191+AE255*AE191+AF255*AF191+AG255*AG191+AH255*AH191+AI255*AI191+AJ255*AJ191+AK255*AK191+AL255*AL191+AM255*AM191+AN255*AN191+AO255*AO191+AP255*AP191+AQ255*AQ191+AR255*AR191+AS255*AS191+AT255*AT191+AU255*AU191+AV255*AV191+AW255*AW191+AX255*AX191+AY255*AY191+AZ255*AZ191+BA255*BA191+BB255*BB191+BC255*BC191+BD255*BD191+BE255*BE191+BF255*BF191+BG255*BG191+BH255*BH191+BI255*BI191+BJ255*BJ191+BK255*BK191+BL255*BL191+BM255*BM191+BN255*BN191+BO255*BO191+BP255*BP191+BQ255*BQ191+BR255*BR191+BS255*BS191+BT255*BT191+BU255*BU191+BV255*BV191+BW255*BW191+BX255*BX191+BY255*BY191+BZ255*BZ191+CA255*CA191+CB255*CB191+CC255*CC191+CD255*CD191+CE255*CE191+CF255*CF191+CG255*CG191+CH255*CH191+CI255*CI191+CJ255*CJ191+CK255*CK191+CL255*CL191+CM255*CM191+CN255*CN191</f>
        <v>0</v>
      </c>
      <c r="CY191" s="2652">
        <f>E256*E191+F256*F191+G256*G191+H256*H191+I256*I191+J256*J191+K256*K191+L256*L191+M256*M191+N256*N191+O256*O191+P256*P191+Q256*Q191+R256*R191+S256*S191+T256*T191+U256*U191+V256*V191+W256*W191+X256*X191+Y256*Y191+Z256*Z191+AA256*AA191+AB256*AB191+AC256*AC191+AD256*AD191+AE256*AE191+AF256*AF191+AG256*AG191+AH256*AH191+AI256*AI191+AJ256*AJ191+AK256*AK191+AL256*AL191+AM256*AM191+AN256*AN191+AO256*AO191+AP256*AP191+AQ256*AQ191+AR256*AR191+AS256*AS191+AT256*AT191+AU256*AU191+AV256*AV191+AW256*AW191+AX256*AX191+AY256*AY191+AZ256*AZ191+BA256*BA191+BB256*BB191+BC256*BC191+BD256*BD191+BE256*BE191+BF256*BF191+BG256*BG191+BH256*BH191+BI256*BI191+BJ256*BJ191+BK256*BK191+BL256*BL191+BM256*BM191+BN256*BN191+BO256*BO191+BP256*BP191+BQ256*BQ191+BR256*BR191+BS256*BS191+BT256*BT191+BU256*BU191+BV256*BV191+BW256*BW191+BX256*BX191+BY256*BY191+BZ256*BZ191+CA256*CA191+CB256*CB191+CC256*CC191+CD256*CD191+CE256*CE191+CF256*CF191+CG256*CG191+CH256*CH191+CI256*CI191+CJ256*CJ191+CK256*CK191+CL256*CL191+CM256*CM191+CN256*CN191</f>
        <v>0</v>
      </c>
      <c r="CZ191" s="2652">
        <f>E257*E191+F257*F191+G257*G191+H257*H191+I257*I191+J257*J191+K257*K191+L257*L191+M257*M191+N257*N191+O257*O191+P257*P191+Q257*Q191+R257*R191+S257*S191+T257*T191+U257*U191+V257*V191+W257*W191+X257*X191+Y257*Y191+Z257*Z191+AA257*AA191+AB257*AB191+AC257*AC191+AD257*AD191+AE257*AE191+AF257*AF191+AG257*AG191+AH257*AH191+AI257*AI191+AJ257*AJ191+AK257*AK191+AL257*AL191+AM257*AM191+AN257*AN191+AO257*AO191+AP257*AP191+AQ257*AQ191+AR257*AR191+AS257*AS191+AT257*AT191+AU257*AU191+AV257*AV191+AW257*AW191+AX257*AX191+AY257*AY191+AZ257*AZ191+BA257*BA191+BB257*BB191+BC257*BC191+BD257*BD191+BE257*BE191+BF257*BF191+BG257*BG191+BH257*BH191+BI257*BI191+BJ257*BJ191+BK257*BK191+BL257*BL191+BM257*BM191+BN257*BN191+BO257*BO191+BP257*BP191+BQ257*BQ191+BR257*BR191+BS257*BS191+BT257*BT191+BU257*BU191+BV257*BV191+BW257*BW191+BX257*BX191+BY257*BY191+BZ257*BZ191+CA257*CA191+CB257*CB191+CC257*CC191+CD257*CD191+CE257*CE191+CF257*CF191+CG257*CG191+CH257*CH191+CI257*CI191+CJ257*CJ191+CK257*CK191+CL257*CL191+CM257*CM191+CN257*CN191</f>
        <v>0</v>
      </c>
      <c r="DA191" s="2652">
        <f>E258*E191+F258*F191+G258*G191+H258*H191+I258*I191+J258*J191+K258*K191+L258*L191+M258*M191+N258*N191+O258*O191+P258*P191+Q258*Q191+R258*R191+S258*S191+T258*T191+U258*U191+V258*V191+W258*W191+X258*X191+Y258*Y191+Z258*Z191+AA258*AA191+AB258*AB191+AC258*AC191+AD258*AD191+AE258*AE191+AF258*AF191+AG258*AG191+AH258*AH191+AI258*AI191+AJ258*AJ191+AK258*AK191+AL258*AL191+AM258*AM191+AN258*AN191+AO258*AO191+AP258*AP191+AQ258*AQ191+AR258*AR191+AS258*AS191+AT258*AT191+AU258*AU191+AV258*AV191+AW258*AW191+AX258*AX191+AY258*AY191+AZ258*AZ191+BA258*BA191+BB258*BB191+BC258*BC191+BD258*BD191+BE258*BE191+BF258*BF191+BG258*BG191+BH258*BH191+BI258*BI191+BJ258*BJ191+BK258*BK191+BL258*BL191+BM258*BM191+BN258*BN191+BO258*BO191+BP258*BP191+BQ258*BQ191+BR258*BR191+BS258*BS191+BT258*BT191+BU258*BU191+BV258*BV191+BW258*BW191+BX258*BX191+BY258*BY191+BZ258*BZ191+CA258*CA191+CB258*CB191+CC258*CC191+CD258*CD191+CE258*CE191+CF258*CF191+CG258*CG191+CH258*CH191+CI258*CI191+CJ258*CJ191+CK258*CK191+CL258*CL191+CM258*CM191+CN258*CN191</f>
        <v>0</v>
      </c>
    </row>
    <row r="192" spans="2:105" ht="18" x14ac:dyDescent="0.35">
      <c r="B192" s="2266">
        <v>59</v>
      </c>
      <c r="C192" s="2267" t="s">
        <v>2161</v>
      </c>
      <c r="D192" s="2268" t="s">
        <v>4836</v>
      </c>
      <c r="E192" s="2690">
        <f>0</f>
        <v>0</v>
      </c>
      <c r="F192" s="2690">
        <f>0</f>
        <v>0</v>
      </c>
      <c r="G192" s="2690">
        <f>0</f>
        <v>0</v>
      </c>
      <c r="H192" s="2690">
        <f>0</f>
        <v>0</v>
      </c>
      <c r="I192" s="2690">
        <f>0</f>
        <v>0</v>
      </c>
      <c r="J192" s="2690">
        <f>0</f>
        <v>0</v>
      </c>
      <c r="K192" s="2690">
        <f>0</f>
        <v>0</v>
      </c>
      <c r="L192" s="2690">
        <f>0</f>
        <v>0</v>
      </c>
      <c r="M192" s="2690">
        <f>0</f>
        <v>0</v>
      </c>
      <c r="N192" s="2690">
        <f>0</f>
        <v>0</v>
      </c>
      <c r="O192" s="2690">
        <f>0</f>
        <v>0</v>
      </c>
      <c r="P192" s="2690">
        <f>0</f>
        <v>0</v>
      </c>
      <c r="Q192" s="2690">
        <f>0</f>
        <v>0</v>
      </c>
      <c r="R192" s="2690">
        <f>0</f>
        <v>0</v>
      </c>
      <c r="S192" s="2690">
        <f>0</f>
        <v>0</v>
      </c>
      <c r="T192" s="2690">
        <f>0</f>
        <v>0</v>
      </c>
      <c r="U192" s="2690">
        <f>0</f>
        <v>0</v>
      </c>
      <c r="V192" s="2690">
        <f>0</f>
        <v>0</v>
      </c>
      <c r="W192" s="2690">
        <f>0</f>
        <v>0</v>
      </c>
      <c r="X192" s="2690">
        <f>0</f>
        <v>0</v>
      </c>
      <c r="Y192" s="2690">
        <f>0</f>
        <v>0</v>
      </c>
      <c r="Z192" s="2690">
        <f>0</f>
        <v>0</v>
      </c>
      <c r="AA192" s="2690">
        <f>0</f>
        <v>0</v>
      </c>
      <c r="AB192" s="2690">
        <f>0</f>
        <v>0</v>
      </c>
      <c r="AC192" s="2690">
        <f>-1</f>
        <v>-1</v>
      </c>
      <c r="AD192" s="2749">
        <f>i_N_ALGAE</f>
        <v>7.0000000000000007E-2</v>
      </c>
      <c r="AE192" s="2690">
        <f>0</f>
        <v>0</v>
      </c>
      <c r="AF192" s="2690">
        <f>0</f>
        <v>0</v>
      </c>
      <c r="AG192" s="2690">
        <f>0</f>
        <v>0</v>
      </c>
      <c r="AH192" s="2690">
        <f>0</f>
        <v>0</v>
      </c>
      <c r="AI192" s="2690">
        <f>0</f>
        <v>0</v>
      </c>
      <c r="AJ192" s="2690">
        <f>0</f>
        <v>0</v>
      </c>
      <c r="AK192" s="2690">
        <f>0</f>
        <v>0</v>
      </c>
      <c r="AL192" s="2749">
        <f>i_P_ALGAE</f>
        <v>0.02</v>
      </c>
      <c r="AM192" s="2690">
        <f>0</f>
        <v>0</v>
      </c>
      <c r="AN192" s="2690">
        <f>0</f>
        <v>0</v>
      </c>
      <c r="AO192" s="2690">
        <f>0</f>
        <v>0</v>
      </c>
      <c r="AP192" s="2690">
        <f>0</f>
        <v>0</v>
      </c>
      <c r="AQ192" s="2690">
        <f>0</f>
        <v>0</v>
      </c>
      <c r="AR192" s="2690">
        <f>-1</f>
        <v>-1</v>
      </c>
      <c r="AS192" s="2690">
        <f>0</f>
        <v>0</v>
      </c>
      <c r="AT192" s="2690">
        <f>0</f>
        <v>0</v>
      </c>
      <c r="AU192" s="2755">
        <f>i_CIT_ALGAE</f>
        <v>0.375</v>
      </c>
      <c r="AV192" s="2690">
        <f>0</f>
        <v>0</v>
      </c>
      <c r="AW192" s="2757">
        <f>0</f>
        <v>0</v>
      </c>
      <c r="AX192" s="2757">
        <f>0</f>
        <v>0</v>
      </c>
      <c r="AY192" s="2757">
        <f>0</f>
        <v>0</v>
      </c>
      <c r="AZ192" s="2757">
        <f>0</f>
        <v>0</v>
      </c>
      <c r="BA192" s="2690">
        <f>0</f>
        <v>0</v>
      </c>
      <c r="BB192" s="2690">
        <f>0</f>
        <v>0</v>
      </c>
      <c r="BC192" s="2690">
        <f>0</f>
        <v>0</v>
      </c>
      <c r="BD192" s="2690">
        <f>0</f>
        <v>0</v>
      </c>
      <c r="BE192" s="2690">
        <f>0</f>
        <v>0</v>
      </c>
      <c r="BF192" s="2690">
        <f>0</f>
        <v>0</v>
      </c>
      <c r="BG192" s="2690">
        <f>0</f>
        <v>0</v>
      </c>
      <c r="BH192" s="2690">
        <f>0</f>
        <v>0</v>
      </c>
      <c r="BI192" s="2690">
        <f>0</f>
        <v>0</v>
      </c>
      <c r="BJ192" s="2690">
        <f>0</f>
        <v>0</v>
      </c>
      <c r="BK192" s="2690">
        <f>0</f>
        <v>0</v>
      </c>
      <c r="BL192" s="2690">
        <f>0</f>
        <v>0</v>
      </c>
      <c r="BM192" s="2690">
        <f>0</f>
        <v>0</v>
      </c>
      <c r="BN192" s="2690">
        <f>0</f>
        <v>0</v>
      </c>
      <c r="BO192" s="2690">
        <f>0</f>
        <v>0</v>
      </c>
      <c r="BP192" s="2690">
        <f>0</f>
        <v>0</v>
      </c>
      <c r="BQ192" s="2690">
        <f>0</f>
        <v>0</v>
      </c>
      <c r="BR192" s="2690">
        <f>0</f>
        <v>0</v>
      </c>
      <c r="BS192" s="2690">
        <f>0</f>
        <v>0</v>
      </c>
      <c r="BT192" s="2690">
        <f>0</f>
        <v>0</v>
      </c>
      <c r="BU192" s="2690">
        <f>0</f>
        <v>0</v>
      </c>
      <c r="BV192" s="2690">
        <f>0</f>
        <v>0</v>
      </c>
      <c r="BW192" s="2690">
        <f>0</f>
        <v>0</v>
      </c>
      <c r="BX192" s="2690">
        <f>0</f>
        <v>0</v>
      </c>
      <c r="BY192" s="2690">
        <f>0</f>
        <v>0</v>
      </c>
      <c r="BZ192" s="2690">
        <f>0</f>
        <v>0</v>
      </c>
      <c r="CA192" s="2690">
        <f>0</f>
        <v>0</v>
      </c>
      <c r="CB192" s="2690">
        <f>0</f>
        <v>0</v>
      </c>
      <c r="CC192" s="2690">
        <f>0</f>
        <v>0</v>
      </c>
      <c r="CD192" s="2690">
        <f>0</f>
        <v>0</v>
      </c>
      <c r="CE192" s="2690">
        <f>0</f>
        <v>0</v>
      </c>
      <c r="CF192" s="2690">
        <f>0</f>
        <v>0</v>
      </c>
      <c r="CG192" s="2690">
        <f>0</f>
        <v>0</v>
      </c>
      <c r="CH192" s="2690">
        <f>0</f>
        <v>0</v>
      </c>
      <c r="CI192" s="2690">
        <f>0</f>
        <v>0</v>
      </c>
      <c r="CJ192" s="2690">
        <f>0</f>
        <v>0</v>
      </c>
      <c r="CK192" s="2690">
        <f>0</f>
        <v>0</v>
      </c>
      <c r="CL192" s="2690">
        <f>0</f>
        <v>0</v>
      </c>
      <c r="CM192" s="2690">
        <f>0</f>
        <v>0</v>
      </c>
      <c r="CN192" s="2690">
        <f>0</f>
        <v>0</v>
      </c>
      <c r="CO192" s="2836">
        <f>b_ALGAE_T*X_ALGAE*M_satSO2_KO2_ALGAE</f>
        <v>0</v>
      </c>
      <c r="CQ192" s="2650">
        <f>E248*E192+F248*F192+G248*G192+H248*H192+I248*I192+J248*J192+K248*K192+L248*L192+M248*M192+N248*N192+O248*O192+P248*P192+Q248*Q192+R248*R192+S248*S192+T248*T192+U248*U192+V248*V192+W248*W192+X248*X192+Y248*Y192+Z248*Z192+AA248*AA192+AB248*AB192+AC248*AC192+AD248*AD192+AE248*AE192+AF248*AF192+AG248*AG192+AH248*AH192+AI248*AI192+AJ248*AJ192+AK248*AK192+AL248*AL192+AM248*AM192+AN248*AN192+AO248*AO192+AP248*AP192+AQ248*AQ192+AR248*AR192+AS248*AS192+AT248*AT192+AU248*AU192+AV248*AV192+AW248*AW192+AX248*AX192+AY248*AY192+AZ248*AZ192+BA248*BA192+BB248*BB192+BC248*BC192+BD248*BD192+BE248*BE192+BF248*BF192+BG248*BG192+BH248*BH192+BI248*BI192+BJ248*BJ192+BK248*BK192+BL248*BL192+BM248*BM192+BN248*BN192+BO248*BO192+BP248*BP192+BQ248*BQ192+BR248*BR192+BS248*BS192+BT248*BT192+BU248*BU192+BV248*BV192+BW248*BW192+BX248*BX192+BY248*BY192+BZ248*BZ192+CA248*CA192+CB248*CB192+CC248*CC192+CD248*CD192+CE248*CE192+CF248*CF192+CG248*CG192+CH248*CH192+CI248*CI192+CJ248*CJ192+CK248*CK192+CL248*CL192+CM248*CM192+CN248*CN192</f>
        <v>0</v>
      </c>
      <c r="CR192" s="2650">
        <f>E249*E192+F249*F192+G249*G192+H249*H192+I249*I192+J249*J192+K249*K192+L249*L192+M249*M192+N249*N192+O249*O192+P249*P192+Q249*Q192+R249*R192+S249*S192+T249*T192+U249*U192+V249*V192+W249*W192+X249*X192+Y249*Y192+Z249*Z192+AA249*AA192+AB249*AB192+AC249*AC192+AD249*AD192+AE249*AE192+AF249*AF192+AG249*AG192+AH249*AH192+AI249*AI192+AJ249*AJ192+AK249*AK192+AL249*AL192+AM249*AM192+AN249*AN192+AO249*AO192+AP249*AP192+AQ249*AQ192+AR249*AR192+AS249*AS192+AT249*AT192+AU249*AU192+AV249*AV192+AW249*AW192+AX249*AX192+AY249*AY192+AZ249*AZ192+BA249*BA192+BB249*BB192+BC249*BC192+BD249*BD192+BE249*BE192+BF249*BF192+BG249*BG192+BH249*BH192+BI249*BI192+BJ249*BJ192+BK249*BK192+BL249*BL192+BM249*BM192+BN249*BN192+BO249*BO192+BP249*BP192+BQ249*BQ192+BR249*BR192+BS249*BS192+BT249*BT192+BU249*BU192+BV249*BV192+BW249*BW192+BX249*BX192+BY249*BY192+BZ249*BZ192+CA249*CA192+CB249*CB192+CC249*CC192+CD249*CD192+CE249*CE192+CF249*CF192+CG249*CG192+CH249*CH192+CI249*CI192+CJ249*CJ192+CK249*CK192+CL249*CL192+CM249*CM192+CN249*CN192</f>
        <v>0</v>
      </c>
      <c r="CS192" s="2651">
        <f>E250*E192+F250*F192+G250*G192+H250*H192+I250*I192+J250*J192+K250*K192+L250*L192+M250*M192+N250*N192+O250*O192+P250*P192+Q250*Q192+R250*R192+S250*S192+T250*T192+U250*U192+V250*V192+W250*W192+X250*X192+Y250*Y192+Z250*Z192+AA250*AA192+AB250*AB192+AC250*AC192+AD250*AD192+AE250*AE192+AF250*AF192+AG250*AG192+AH250*AH192+AI250*AI192+AJ250*AJ192+AK250*AK192+AL250*AL192+AM250*AM192+AN250*AN192+AO250*AO192+AP250*AP192+AQ250*AQ192+AR250*AR192+AS250*AS192+AT250*AT192+AU250*AU192+AV250*AV192+AW250*AW192+AX250*AX192+AY250*AY192+AZ250*AZ192+BA250*BA192+BB250*BB192+BC250*BC192+BD250*BD192+BE250*BE192+BF250*BF192+BG250*BG192+BH250*BH192+BI250*BI192+BJ250*BJ192+BK250*BK192+BL250*BL192+BM250*BM192+BN250*BN192+BO250*BO192+BP250*BP192+BQ250*BQ192+BR250*BR192+BS250*BS192+BT250*BT192+BU250*BU192+BV250*BV192+BW250*BW192+BX250*BX192+BY250*BY192+BZ250*BZ192+CA250*CA192+CB250*CB192+CC250*CC192+CD250*CD192+CE250*CE192+CF250*CF192+CG250*CG192+CH250*CH192+CI250*CI192+CJ250*CJ192+CK250*CK192+CL250*CL192+CM250*CM192+CN250*CN192</f>
        <v>0</v>
      </c>
      <c r="CT192" s="2652">
        <f>E251*E192+F251*F192+G251*G192+H251*H192+I251*I192+J251*J192+K251*K192+L251*L192+M251*M192+N251*N192+O251*O192+P251*P192+Q251*Q192+R251*R192+S251*S192+T251*T192+U251*U192+V251*V192+W251*W192+X251*X192+Y251*Y192+Z251*Z192+AA251*AA192+AB251*AB192+AC251*AC192+AD251*AD192+AE251*AE192+AF251*AF192+AG251*AG192+AH251*AH192+AI251*AI192+AJ251*AJ192+AK251*AK192+AL251*AL192+AM251*AM192+AN251*AN192+AO251*AO192+AP251*AP192+AQ251*AQ192+AR251*AR192+AS251*AS192+AT251*AT192+AU251*AU192+AV251*AV192+AW251*AW192+AX251*AX192+AY251*AY192+AZ251*AZ192+BA251*BA192+BB251*BB192+BC251*BC192+BD251*BD192+BE251*BE192+BF251*BF192+BG251*BG192+BH251*BH192+BI251*BI192+BJ251*BJ192+BK251*BK192+BL251*BL192+BM251*BM192+BN251*BN192+BO251*BO192+BP251*BP192+BQ251*BQ192+BR251*BR192+BS251*BS192+BT251*BT192+BU251*BU192+BV251*BV192+BW251*BW192+BX251*BX192+BY251*BY192+BZ251*BZ192+CA251*CA192+CB251*CB192+CC251*CC192+CD251*CD192+CE251*CE192+CF251*CF192+CG251*CG192+CH251*CH192+CI251*CI192+CJ251*CJ192+CK251*CK192+CL251*CL192+CM251*CM192+CN251*CN192</f>
        <v>0</v>
      </c>
      <c r="CU192" s="2652">
        <f>E252*E192+F252*F192+G252*G192+H252*H192+I252*I192+J252*J192+K252*K192+L252*L192+M252*M192+N252*N192+O252*O192+P252*P192+Q252*Q192+R252*R192+S252*S192+T252*T192+U252*U192+V252*V192+W252*W192+X252*X192+Y252*Y192+Z252*Z192+AA252*AA192+AB252*AB192+AC252*AC192+AD252*AD192+AE252*AE192+AF252*AF192+AG252*AG192+AH252*AH192+AI252*AI192+AJ252*AJ192+AK252*AK192+AL252*AL192+AM252*AM192+AN252*AN192+AO252*AO192+AP252*AP192+AQ252*AQ192+AR252*AR192+AS252*AS192+AT252*AT192+AU252*AU192+AV252*AV192+AW252*AW192+AX252*AX192+AY252*AY192+AZ252*AZ192+BA252*BA192+BB252*BB192+BC252*BC192+BD252*BD192+BE252*BE192+BF252*BF192+BG252*BG192+BH252*BH192+BI252*BI192+BJ252*BJ192+BK252*BK192+BL252*BL192+BM252*BM192+BN252*BN192+BO252*BO192+BP252*BP192+BQ252*BQ192+BR252*BR192+BS252*BS192+BT252*BT192+BU252*BU192+BV252*BV192+BW252*BW192+BX252*BX192+BY252*BY192+BZ252*BZ192+CA252*CA192+CB252*CB192+CC252*CC192+CD252*CD192+CE252*CE192+CF252*CF192+CG252*CG192+CH252*CH192+CI252*CI192+CJ252*CJ192+CK252*CK192+CL252*CL192+CM252*CM192+CN252*CN192</f>
        <v>0</v>
      </c>
      <c r="CV192" s="2652">
        <f>E253*E192+F253*F192+G253*G192+H253*H192+I253*I192+J253*J192+K253*K192+L253*L192+M253*M192+N253*N192+O253*O192+P253*P192+Q253*Q192+R253*R192+S253*S192+T253*T192+U253*U192+V253*V192+W253*W192+X253*X192+Y253*Y192+Z253*Z192+AA253*AA192+AB253*AB192+AC253*AC192+AD253*AD192+AE253*AE192+AF253*AF192+AG253*AG192+AH253*AH192+AI253*AI192+AJ253*AJ192+AK253*AK192+AL253*AL192+AM253*AM192+AN253*AN192+AO253*AO192+AP253*AP192+AQ253*AQ192+AR253*AR192+AS253*AS192+AT253*AT192+AU253*AU192+AV253*AV192+AW253*AW192+AX253*AX192+AY253*AY192+AZ253*AZ192+BA253*BA192+BB253*BB192+BC253*BC192+BD253*BD192+BE253*BE192+BF253*BF192+BG253*BG192+BH253*BH192+BI253*BI192+BJ253*BJ192+BK253*BK192+BL253*BL192+BM253*BM192+BN253*BN192+BO253*BO192+BP253*BP192+BQ253*BQ192+BR253*BR192+BS253*BS192+BT253*BT192+BU253*BU192+BV253*BV192+BW253*BW192+BX253*BX192+BY253*BY192+BZ253*BZ192+CA253*CA192+CB253*CB192+CC253*CC192+CD253*CD192+CE253*CE192+CF253*CF192+CG253*CG192+CH253*CH192+CI253*CI192+CJ253*CJ192+CK253*CK192+CL253*CL192+CM253*CM192+CN253*CN192</f>
        <v>0</v>
      </c>
      <c r="CW192" s="2652">
        <f>E254*E192+F254*F192+G254*G192+H254*H192+I254*I192+J254*J192+K254*K192+L254*L192+M254*M192+N254*N192+O254*O192+P254*P192+Q254*Q192+R254*R192+S254*S192+T254*T192+U254*U192+V254*V192+W254*W192+X254*X192+Y254*Y192+Z254*Z192+AA254*AA192+AB254*AB192+AC254*AC192+AD254*AD192+AE254*AE192+AF254*AF192+AG254*AG192+AH254*AH192+AI254*AI192+AJ254*AJ192+AK254*AK192+AL254*AL192+AM254*AM192+AN254*AN192+AO254*AO192+AP254*AP192+AQ254*AQ192+AR254*AR192+AS254*AS192+AT254*AT192+AU254*AU192+AV254*AV192+AW254*AW192+AX254*AX192+AY254*AY192+AZ254*AZ192+BA254*BA192+BB254*BB192+BC254*BC192+BD254*BD192+BE254*BE192+BF254*BF192+BG254*BG192+BH254*BH192+BI254*BI192+BJ254*BJ192+BK254*BK192+BL254*BL192+BM254*BM192+BN254*BN192+BO254*BO192+BP254*BP192+BQ254*BQ192+BR254*BR192+BS254*BS192+BT254*BT192+BU254*BU192+BV254*BV192+BW254*BW192+BX254*BX192+BY254*BY192+BZ254*BZ192+CA254*CA192+CB254*CB192+CC254*CC192+CD254*CD192+CE254*CE192+CF254*CF192+CG254*CG192+CH254*CH192+CI254*CI192+CJ254*CJ192+CK254*CK192+CL254*CL192+CM254*CM192+CN254*CN192</f>
        <v>0</v>
      </c>
      <c r="CX192" s="2652">
        <f>E255*E192+F255*F192+G255*G192+H255*H192+I255*I192+J255*J192+K255*K192+L255*L192+M255*M192+N255*N192+O255*O192+P255*P192+Q255*Q192+R255*R192+S255*S192+T255*T192+U255*U192+V255*V192+W255*W192+X255*X192+Y255*Y192+Z255*Z192+AA255*AA192+AB255*AB192+AC255*AC192+AD255*AD192+AE255*AE192+AF255*AF192+AG255*AG192+AH255*AH192+AI255*AI192+AJ255*AJ192+AK255*AK192+AL255*AL192+AM255*AM192+AN255*AN192+AO255*AO192+AP255*AP192+AQ255*AQ192+AR255*AR192+AS255*AS192+AT255*AT192+AU255*AU192+AV255*AV192+AW255*AW192+AX255*AX192+AY255*AY192+AZ255*AZ192+BA255*BA192+BB255*BB192+BC255*BC192+BD255*BD192+BE255*BE192+BF255*BF192+BG255*BG192+BH255*BH192+BI255*BI192+BJ255*BJ192+BK255*BK192+BL255*BL192+BM255*BM192+BN255*BN192+BO255*BO192+BP255*BP192+BQ255*BQ192+BR255*BR192+BS255*BS192+BT255*BT192+BU255*BU192+BV255*BV192+BW255*BW192+BX255*BX192+BY255*BY192+BZ255*BZ192+CA255*CA192+CB255*CB192+CC255*CC192+CD255*CD192+CE255*CE192+CF255*CF192+CG255*CG192+CH255*CH192+CI255*CI192+CJ255*CJ192+CK255*CK192+CL255*CL192+CM255*CM192+CN255*CN192</f>
        <v>0</v>
      </c>
      <c r="CY192" s="2652">
        <f>E256*E192+F256*F192+G256*G192+H256*H192+I256*I192+J256*J192+K256*K192+L256*L192+M256*M192+N256*N192+O256*O192+P256*P192+Q256*Q192+R256*R192+S256*S192+T256*T192+U256*U192+V256*V192+W256*W192+X256*X192+Y256*Y192+Z256*Z192+AA256*AA192+AB256*AB192+AC256*AC192+AD256*AD192+AE256*AE192+AF256*AF192+AG256*AG192+AH256*AH192+AI256*AI192+AJ256*AJ192+AK256*AK192+AL256*AL192+AM256*AM192+AN256*AN192+AO256*AO192+AP256*AP192+AQ256*AQ192+AR256*AR192+AS256*AS192+AT256*AT192+AU256*AU192+AV256*AV192+AW256*AW192+AX256*AX192+AY256*AY192+AZ256*AZ192+BA256*BA192+BB256*BB192+BC256*BC192+BD256*BD192+BE256*BE192+BF256*BF192+BG256*BG192+BH256*BH192+BI256*BI192+BJ256*BJ192+BK256*BK192+BL256*BL192+BM256*BM192+BN256*BN192+BO256*BO192+BP256*BP192+BQ256*BQ192+BR256*BR192+BS256*BS192+BT256*BT192+BU256*BU192+BV256*BV192+BW256*BW192+BX256*BX192+BY256*BY192+BZ256*BZ192+CA256*CA192+CB256*CB192+CC256*CC192+CD256*CD192+CE256*CE192+CF256*CF192+CG256*CG192+CH256*CH192+CI256*CI192+CJ256*CJ192+CK256*CK192+CL256*CL192+CM256*CM192+CN256*CN192</f>
        <v>0</v>
      </c>
      <c r="CZ192" s="2652">
        <f>E257*E192+F257*F192+G257*G192+H257*H192+I257*I192+J257*J192+K257*K192+L257*L192+M257*M192+N257*N192+O257*O192+P257*P192+Q257*Q192+R257*R192+S257*S192+T257*T192+U257*U192+V257*V192+W257*W192+X257*X192+Y257*Y192+Z257*Z192+AA257*AA192+AB257*AB192+AC257*AC192+AD257*AD192+AE257*AE192+AF257*AF192+AG257*AG192+AH257*AH192+AI257*AI192+AJ257*AJ192+AK257*AK192+AL257*AL192+AM257*AM192+AN257*AN192+AO257*AO192+AP257*AP192+AQ257*AQ192+AR257*AR192+AS257*AS192+AT257*AT192+AU257*AU192+AV257*AV192+AW257*AW192+AX257*AX192+AY257*AY192+AZ257*AZ192+BA257*BA192+BB257*BB192+BC257*BC192+BD257*BD192+BE257*BE192+BF257*BF192+BG257*BG192+BH257*BH192+BI257*BI192+BJ257*BJ192+BK257*BK192+BL257*BL192+BM257*BM192+BN257*BN192+BO257*BO192+BP257*BP192+BQ257*BQ192+BR257*BR192+BS257*BS192+BT257*BT192+BU257*BU192+BV257*BV192+BW257*BW192+BX257*BX192+BY257*BY192+BZ257*BZ192+CA257*CA192+CB257*CB192+CC257*CC192+CD257*CD192+CE257*CE192+CF257*CF192+CG257*CG192+CH257*CH192+CI257*CI192+CJ257*CJ192+CK257*CK192+CL257*CL192+CM257*CM192+CN257*CN192</f>
        <v>0</v>
      </c>
      <c r="DA192" s="2652">
        <f>E258*E192+F258*F192+G258*G192+H258*H192+I258*I192+J258*J192+K258*K192+L258*L192+M258*M192+N258*N192+O258*O192+P258*P192+Q258*Q192+R258*R192+S258*S192+T258*T192+U258*U192+V258*V192+W258*W192+X258*X192+Y258*Y192+Z258*Z192+AA258*AA192+AB258*AB192+AC258*AC192+AD258*AD192+AE258*AE192+AF258*AF192+AG258*AG192+AH258*AH192+AI258*AI192+AJ258*AJ192+AK258*AK192+AL258*AL192+AM258*AM192+AN258*AN192+AO258*AO192+AP258*AP192+AQ258*AQ192+AR258*AR192+AS258*AS192+AT258*AT192+AU258*AU192+AV258*AV192+AW258*AW192+AX258*AX192+AY258*AY192+AZ258*AZ192+BA258*BA192+BB258*BB192+BC258*BC192+BD258*BD192+BE258*BE192+BF258*BF192+BG258*BG192+BH258*BH192+BI258*BI192+BJ258*BJ192+BK258*BK192+BL258*BL192+BM258*BM192+BN258*BN192+BO258*BO192+BP258*BP192+BQ258*BQ192+BR258*BR192+BS258*BS192+BT258*BT192+BU258*BU192+BV258*BV192+BW258*BW192+BX258*BX192+BY258*BY192+BZ258*BZ192+CA258*CA192+CB258*CB192+CC258*CC192+CD258*CD192+CE258*CE192+CF258*CF192+CG258*CG192+CH258*CH192+CI258*CI192+CJ258*CJ192+CK258*CK192+CL258*CL192+CM258*CM192+CN258*CN192</f>
        <v>0</v>
      </c>
    </row>
    <row r="193" spans="2:105" ht="18" x14ac:dyDescent="0.35">
      <c r="B193" s="2266">
        <v>60</v>
      </c>
      <c r="C193" s="2267" t="s">
        <v>2382</v>
      </c>
      <c r="D193" s="2268" t="s">
        <v>4840</v>
      </c>
      <c r="E193" s="2690">
        <f>0</f>
        <v>0</v>
      </c>
      <c r="F193" s="2690">
        <f>0</f>
        <v>0</v>
      </c>
      <c r="G193" s="2690">
        <f>0</f>
        <v>0</v>
      </c>
      <c r="H193" s="2690">
        <f>0</f>
        <v>0</v>
      </c>
      <c r="I193" s="2690">
        <f>0</f>
        <v>0</v>
      </c>
      <c r="J193" s="2690">
        <f>0</f>
        <v>0</v>
      </c>
      <c r="K193" s="2690">
        <f>1-f_E</f>
        <v>0.92</v>
      </c>
      <c r="L193" s="2690">
        <f>0</f>
        <v>0</v>
      </c>
      <c r="M193" s="2690">
        <f>0</f>
        <v>0</v>
      </c>
      <c r="N193" s="2690">
        <f>0</f>
        <v>0</v>
      </c>
      <c r="O193" s="2690">
        <f>0</f>
        <v>0</v>
      </c>
      <c r="P193" s="2690">
        <f>0</f>
        <v>0</v>
      </c>
      <c r="Q193" s="2690">
        <f>0</f>
        <v>0</v>
      </c>
      <c r="R193" s="2690">
        <f>f_E</f>
        <v>0.08</v>
      </c>
      <c r="S193" s="2690">
        <f>0</f>
        <v>0</v>
      </c>
      <c r="T193" s="2690">
        <f>0</f>
        <v>0</v>
      </c>
      <c r="U193" s="2690">
        <f>0</f>
        <v>0</v>
      </c>
      <c r="V193" s="2690">
        <f>0</f>
        <v>0</v>
      </c>
      <c r="W193" s="2690">
        <f>0</f>
        <v>0</v>
      </c>
      <c r="X193" s="2690">
        <f>0</f>
        <v>0</v>
      </c>
      <c r="Y193" s="2690">
        <f>0</f>
        <v>0</v>
      </c>
      <c r="Z193" s="2690">
        <f>0</f>
        <v>0</v>
      </c>
      <c r="AA193" s="2690">
        <f>0</f>
        <v>0</v>
      </c>
      <c r="AB193" s="2690">
        <f>0</f>
        <v>0</v>
      </c>
      <c r="AC193" s="2690">
        <f>-1</f>
        <v>-1</v>
      </c>
      <c r="AD193" s="2749">
        <f>-f_E*(i_N_XE-i_N_BIO)</f>
        <v>8.0000000000000069E-4</v>
      </c>
      <c r="AE193" s="2690">
        <f>0</f>
        <v>0</v>
      </c>
      <c r="AF193" s="2690">
        <f>0</f>
        <v>0</v>
      </c>
      <c r="AG193" s="2690">
        <f>0</f>
        <v>0</v>
      </c>
      <c r="AH193" s="2690">
        <f>0</f>
        <v>0</v>
      </c>
      <c r="AI193" s="2690">
        <f>0</f>
        <v>0</v>
      </c>
      <c r="AJ193" s="2690">
        <f>(1-f_E)*i_N_BIO</f>
        <v>6.4400000000000013E-2</v>
      </c>
      <c r="AK193" s="2690">
        <f>0</f>
        <v>0</v>
      </c>
      <c r="AL193" s="2749">
        <f>i_P_ALGAE-i_P_BIO</f>
        <v>0</v>
      </c>
      <c r="AM193" s="2690">
        <f>0</f>
        <v>0</v>
      </c>
      <c r="AN193" s="2690">
        <f>0</f>
        <v>0</v>
      </c>
      <c r="AO193" s="2690">
        <f>0</f>
        <v>0</v>
      </c>
      <c r="AP193" s="2690">
        <f>(1-f_E)*i_P_BIO</f>
        <v>1.84E-2</v>
      </c>
      <c r="AQ193" s="2690">
        <f>0</f>
        <v>0</v>
      </c>
      <c r="AR193" s="2690">
        <f>0</f>
        <v>0</v>
      </c>
      <c r="AS193" s="2690">
        <f>0</f>
        <v>0</v>
      </c>
      <c r="AT193" s="2690">
        <f>0</f>
        <v>0</v>
      </c>
      <c r="AU193" s="2755">
        <f>i_CIT_ALGAE-(1-f_E)*i_CIT_XBe-f_E*i_CIT_BIO</f>
        <v>8.3720000000000044E-2</v>
      </c>
      <c r="AV193" s="2690">
        <f>0</f>
        <v>0</v>
      </c>
      <c r="AW193" s="2757">
        <f>0</f>
        <v>0</v>
      </c>
      <c r="AX193" s="2757">
        <f>0</f>
        <v>0</v>
      </c>
      <c r="AY193" s="2757">
        <f>0</f>
        <v>0</v>
      </c>
      <c r="AZ193" s="2757">
        <f>0</f>
        <v>0</v>
      </c>
      <c r="BA193" s="2690">
        <f>0</f>
        <v>0</v>
      </c>
      <c r="BB193" s="2690">
        <f>0</f>
        <v>0</v>
      </c>
      <c r="BC193" s="2690">
        <f>0</f>
        <v>0</v>
      </c>
      <c r="BD193" s="2690">
        <f>0</f>
        <v>0</v>
      </c>
      <c r="BE193" s="2690">
        <f>0</f>
        <v>0</v>
      </c>
      <c r="BF193" s="2690">
        <f>0</f>
        <v>0</v>
      </c>
      <c r="BG193" s="2690">
        <f>0</f>
        <v>0</v>
      </c>
      <c r="BH193" s="2690">
        <f>0</f>
        <v>0</v>
      </c>
      <c r="BI193" s="2690">
        <f>0</f>
        <v>0</v>
      </c>
      <c r="BJ193" s="2690">
        <f>0</f>
        <v>0</v>
      </c>
      <c r="BK193" s="2690">
        <f>0</f>
        <v>0</v>
      </c>
      <c r="BL193" s="2690">
        <f>0</f>
        <v>0</v>
      </c>
      <c r="BM193" s="2690">
        <f>0</f>
        <v>0</v>
      </c>
      <c r="BN193" s="2690">
        <f>0</f>
        <v>0</v>
      </c>
      <c r="BO193" s="2690">
        <f>0</f>
        <v>0</v>
      </c>
      <c r="BP193" s="2690">
        <f>0</f>
        <v>0</v>
      </c>
      <c r="BQ193" s="2690">
        <f>0</f>
        <v>0</v>
      </c>
      <c r="BR193" s="2690">
        <f>0</f>
        <v>0</v>
      </c>
      <c r="BS193" s="2690">
        <f>0</f>
        <v>0</v>
      </c>
      <c r="BT193" s="2690">
        <f>0</f>
        <v>0</v>
      </c>
      <c r="BU193" s="2690">
        <f>0</f>
        <v>0</v>
      </c>
      <c r="BV193" s="2690">
        <f>0</f>
        <v>0</v>
      </c>
      <c r="BW193" s="2690">
        <f>0</f>
        <v>0</v>
      </c>
      <c r="BX193" s="2690">
        <f>0</f>
        <v>0</v>
      </c>
      <c r="BY193" s="2690">
        <f>0</f>
        <v>0</v>
      </c>
      <c r="BZ193" s="2690">
        <f>0</f>
        <v>0</v>
      </c>
      <c r="CA193" s="2690">
        <f>0</f>
        <v>0</v>
      </c>
      <c r="CB193" s="2690">
        <f>0</f>
        <v>0</v>
      </c>
      <c r="CC193" s="2690">
        <f>0</f>
        <v>0</v>
      </c>
      <c r="CD193" s="2690">
        <f>0</f>
        <v>0</v>
      </c>
      <c r="CE193" s="2690">
        <f>0</f>
        <v>0</v>
      </c>
      <c r="CF193" s="2690">
        <f>0</f>
        <v>0</v>
      </c>
      <c r="CG193" s="2690">
        <f>0</f>
        <v>0</v>
      </c>
      <c r="CH193" s="2690">
        <f>0</f>
        <v>0</v>
      </c>
      <c r="CI193" s="2690">
        <f>0</f>
        <v>0</v>
      </c>
      <c r="CJ193" s="2690">
        <f>0</f>
        <v>0</v>
      </c>
      <c r="CK193" s="2690">
        <f>0</f>
        <v>0</v>
      </c>
      <c r="CL193" s="2690">
        <f>0</f>
        <v>0</v>
      </c>
      <c r="CM193" s="2690">
        <f>0</f>
        <v>0</v>
      </c>
      <c r="CN193" s="2690">
        <f>0</f>
        <v>0</v>
      </c>
      <c r="CO193" s="2836">
        <f>b_ALGAE_T*X_ALGAE*M_inhSO2_KO2_ALGAE</f>
        <v>0</v>
      </c>
      <c r="CQ193" s="2650">
        <f>E248*E193+F248*F193+G248*G193+H248*H193+I248*I193+J248*J193+K248*K193+L248*L193+M248*M193+N248*N193+O248*O193+P248*P193+Q248*Q193+R248*R193+S248*S193+T248*T193+U248*U193+V248*V193+W248*W193+X248*X193+Y248*Y193+Z248*Z193+AA248*AA193+AB248*AB193+AC248*AC193+AD248*AD193+AE248*AE193+AF248*AF193+AG248*AG193+AH248*AH193+AI248*AI193+AJ248*AJ193+AK248*AK193+AL248*AL193+AM248*AM193+AN248*AN193+AO248*AO193+AP248*AP193+AQ248*AQ193+AR248*AR193+AS248*AS193+AT248*AT193+AU248*AU193+AV248*AV193+AW248*AW193+AX248*AX193+AY248*AY193+AZ248*AZ193+BA248*BA193+BB248*BB193+BC248*BC193+BD248*BD193+BE248*BE193+BF248*BF193+BG248*BG193+BH248*BH193+BI248*BI193+BJ248*BJ193+BK248*BK193+BL248*BL193+BM248*BM193+BN248*BN193+BO248*BO193+BP248*BP193+BQ248*BQ193+BR248*BR193+BS248*BS193+BT248*BT193+BU248*BU193+BV248*BV193+BW248*BW193+BX248*BX193+BY248*BY193+BZ248*BZ193+CA248*CA193+CB248*CB193+CC248*CC193+CD248*CD193+CE248*CE193+CF248*CF193+CG248*CG193+CH248*CH193+CI248*CI193+CJ248*CJ193+CK248*CK193+CL248*CL193+CM248*CM193+CN248*CN193</f>
        <v>0</v>
      </c>
      <c r="CR193" s="2650">
        <f>E249*E193+F249*F193+G249*G193+H249*H193+I249*I193+J249*J193+K249*K193+L249*L193+M249*M193+N249*N193+O249*O193+P249*P193+Q249*Q193+R249*R193+S249*S193+T249*T193+U249*U193+V249*V193+W249*W193+X249*X193+Y249*Y193+Z249*Z193+AA249*AA193+AB249*AB193+AC249*AC193+AD249*AD193+AE249*AE193+AF249*AF193+AG249*AG193+AH249*AH193+AI249*AI193+AJ249*AJ193+AK249*AK193+AL249*AL193+AM249*AM193+AN249*AN193+AO249*AO193+AP249*AP193+AQ249*AQ193+AR249*AR193+AS249*AS193+AT249*AT193+AU249*AU193+AV249*AV193+AW249*AW193+AX249*AX193+AY249*AY193+AZ249*AZ193+BA249*BA193+BB249*BB193+BC249*BC193+BD249*BD193+BE249*BE193+BF249*BF193+BG249*BG193+BH249*BH193+BI249*BI193+BJ249*BJ193+BK249*BK193+BL249*BL193+BM249*BM193+BN249*BN193+BO249*BO193+BP249*BP193+BQ249*BQ193+BR249*BR193+BS249*BS193+BT249*BT193+BU249*BU193+BV249*BV193+BW249*BW193+BX249*BX193+BY249*BY193+BZ249*BZ193+CA249*CA193+CB249*CB193+CC249*CC193+CD249*CD193+CE249*CE193+CF249*CF193+CG249*CG193+CH249*CH193+CI249*CI193+CJ249*CJ193+CK249*CK193+CL249*CL193+CM249*CM193+CN249*CN193</f>
        <v>2.7755575615628914E-17</v>
      </c>
      <c r="CS193" s="2651">
        <f>E250*E193+F250*F193+G250*G193+H250*H193+I250*I193+J250*J193+K250*K193+L250*L193+M250*M193+N250*N193+O250*O193+P250*P193+Q250*Q193+R250*R193+S250*S193+T250*T193+U250*U193+V250*V193+W250*W193+X250*X193+Y250*Y193+Z250*Z193+AA250*AA193+AB250*AB193+AC250*AC193+AD250*AD193+AE250*AE193+AF250*AF193+AG250*AG193+AH250*AH193+AI250*AI193+AJ250*AJ193+AK250*AK193+AL250*AL193+AM250*AM193+AN250*AN193+AO250*AO193+AP250*AP193+AQ250*AQ193+AR250*AR193+AS250*AS193+AT250*AT193+AU250*AU193+AV250*AV193+AW250*AW193+AX250*AX193+AY250*AY193+AZ250*AZ193+BA250*BA193+BB250*BB193+BC250*BC193+BD250*BD193+BE250*BE193+BF250*BF193+BG250*BG193+BH250*BH193+BI250*BI193+BJ250*BJ193+BK250*BK193+BL250*BL193+BM250*BM193+BN250*BN193+BO250*BO193+BP250*BP193+BQ250*BQ193+BR250*BR193+BS250*BS193+BT250*BT193+BU250*BU193+BV250*BV193+BW250*BW193+BX250*BX193+BY250*BY193+BZ250*BZ193+CA250*CA193+CB250*CB193+CC250*CC193+CD250*CD193+CE250*CE193+CF250*CF193+CG250*CG193+CH250*CH193+CI250*CI193+CJ250*CJ193+CK250*CK193+CL250*CL193+CM250*CM193+CN250*CN193</f>
        <v>0</v>
      </c>
      <c r="CT193" s="2652">
        <f>E251*E193+F251*F193+G251*G193+H251*H193+I251*I193+J251*J193+K251*K193+L251*L193+M251*M193+N251*N193+O251*O193+P251*P193+Q251*Q193+R251*R193+S251*S193+T251*T193+U251*U193+V251*V193+W251*W193+X251*X193+Y251*Y193+Z251*Z193+AA251*AA193+AB251*AB193+AC251*AC193+AD251*AD193+AE251*AE193+AF251*AF193+AG251*AG193+AH251*AH193+AI251*AI193+AJ251*AJ193+AK251*AK193+AL251*AL193+AM251*AM193+AN251*AN193+AO251*AO193+AP251*AP193+AQ251*AQ193+AR251*AR193+AS251*AS193+AT251*AT193+AU251*AU193+AV251*AV193+AW251*AW193+AX251*AX193+AY251*AY193+AZ251*AZ193+BA251*BA193+BB251*BB193+BC251*BC193+BD251*BD193+BE251*BE193+BF251*BF193+BG251*BG193+BH251*BH193+BI251*BI193+BJ251*BJ193+BK251*BK193+BL251*BL193+BM251*BM193+BN251*BN193+BO251*BO193+BP251*BP193+BQ251*BQ193+BR251*BR193+BS251*BS193+BT251*BT193+BU251*BU193+BV251*BV193+BW251*BW193+BX251*BX193+BY251*BY193+BZ251*BZ193+CA251*CA193+CB251*CB193+CC251*CC193+CD251*CD193+CE251*CE193+CF251*CF193+CG251*CG193+CH251*CH193+CI251*CI193+CJ251*CJ193+CK251*CK193+CL251*CL193+CM251*CM193+CN251*CN193</f>
        <v>0</v>
      </c>
      <c r="CU193" s="2652">
        <f>E252*E193+F252*F193+G252*G193+H252*H193+I252*I193+J252*J193+K252*K193+L252*L193+M252*M193+N252*N193+O252*O193+P252*P193+Q252*Q193+R252*R193+S252*S193+T252*T193+U252*U193+V252*V193+W252*W193+X252*X193+Y252*Y193+Z252*Z193+AA252*AA193+AB252*AB193+AC252*AC193+AD252*AD193+AE252*AE193+AF252*AF193+AG252*AG193+AH252*AH193+AI252*AI193+AJ252*AJ193+AK252*AK193+AL252*AL193+AM252*AM193+AN252*AN193+AO252*AO193+AP252*AP193+AQ252*AQ193+AR252*AR193+AS252*AS193+AT252*AT193+AU252*AU193+AV252*AV193+AW252*AW193+AX252*AX193+AY252*AY193+AZ252*AZ193+BA252*BA193+BB252*BB193+BC252*BC193+BD252*BD193+BE252*BE193+BF252*BF193+BG252*BG193+BH252*BH193+BI252*BI193+BJ252*BJ193+BK252*BK193+BL252*BL193+BM252*BM193+BN252*BN193+BO252*BO193+BP252*BP193+BQ252*BQ193+BR252*BR193+BS252*BS193+BT252*BT193+BU252*BU193+BV252*BV193+BW252*BW193+BX252*BX193+BY252*BY193+BZ252*BZ193+CA252*CA193+CB252*CB193+CC252*CC193+CD252*CD193+CE252*CE193+CF252*CF193+CG252*CG193+CH252*CH193+CI252*CI193+CJ252*CJ193+CK252*CK193+CL252*CL193+CM252*CM193+CN252*CN193</f>
        <v>0</v>
      </c>
      <c r="CV193" s="2652">
        <f>E253*E193+F253*F193+G253*G193+H253*H193+I253*I193+J253*J193+K253*K193+L253*L193+M253*M193+N253*N193+O253*O193+P253*P193+Q253*Q193+R253*R193+S253*S193+T253*T193+U253*U193+V253*V193+W253*W193+X253*X193+Y253*Y193+Z253*Z193+AA253*AA193+AB253*AB193+AC253*AC193+AD253*AD193+AE253*AE193+AF253*AF193+AG253*AG193+AH253*AH193+AI253*AI193+AJ253*AJ193+AK253*AK193+AL253*AL193+AM253*AM193+AN253*AN193+AO253*AO193+AP253*AP193+AQ253*AQ193+AR253*AR193+AS253*AS193+AT253*AT193+AU253*AU193+AV253*AV193+AW253*AW193+AX253*AX193+AY253*AY193+AZ253*AZ193+BA253*BA193+BB253*BB193+BC253*BC193+BD253*BD193+BE253*BE193+BF253*BF193+BG253*BG193+BH253*BH193+BI253*BI193+BJ253*BJ193+BK253*BK193+BL253*BL193+BM253*BM193+BN253*BN193+BO253*BO193+BP253*BP193+BQ253*BQ193+BR253*BR193+BS253*BS193+BT253*BT193+BU253*BU193+BV253*BV193+BW253*BW193+BX253*BX193+BY253*BY193+BZ253*BZ193+CA253*CA193+CB253*CB193+CC253*CC193+CD253*CD193+CE253*CE193+CF253*CF193+CG253*CG193+CH253*CH193+CI253*CI193+CJ253*CJ193+CK253*CK193+CL253*CL193+CM253*CM193+CN253*CN193</f>
        <v>0</v>
      </c>
      <c r="CW193" s="2652">
        <f>E254*E193+F254*F193+G254*G193+H254*H193+I254*I193+J254*J193+K254*K193+L254*L193+M254*M193+N254*N193+O254*O193+P254*P193+Q254*Q193+R254*R193+S254*S193+T254*T193+U254*U193+V254*V193+W254*W193+X254*X193+Y254*Y193+Z254*Z193+AA254*AA193+AB254*AB193+AC254*AC193+AD254*AD193+AE254*AE193+AF254*AF193+AG254*AG193+AH254*AH193+AI254*AI193+AJ254*AJ193+AK254*AK193+AL254*AL193+AM254*AM193+AN254*AN193+AO254*AO193+AP254*AP193+AQ254*AQ193+AR254*AR193+AS254*AS193+AT254*AT193+AU254*AU193+AV254*AV193+AW254*AW193+AX254*AX193+AY254*AY193+AZ254*AZ193+BA254*BA193+BB254*BB193+BC254*BC193+BD254*BD193+BE254*BE193+BF254*BF193+BG254*BG193+BH254*BH193+BI254*BI193+BJ254*BJ193+BK254*BK193+BL254*BL193+BM254*BM193+BN254*BN193+BO254*BO193+BP254*BP193+BQ254*BQ193+BR254*BR193+BS254*BS193+BT254*BT193+BU254*BU193+BV254*BV193+BW254*BW193+BX254*BX193+BY254*BY193+BZ254*BZ193+CA254*CA193+CB254*CB193+CC254*CC193+CD254*CD193+CE254*CE193+CF254*CF193+CG254*CG193+CH254*CH193+CI254*CI193+CJ254*CJ193+CK254*CK193+CL254*CL193+CM254*CM193+CN254*CN193</f>
        <v>0</v>
      </c>
      <c r="CX193" s="2652">
        <f>E255*E193+F255*F193+G255*G193+H255*H193+I255*I193+J255*J193+K255*K193+L255*L193+M255*M193+N255*N193+O255*O193+P255*P193+Q255*Q193+R255*R193+S255*S193+T255*T193+U255*U193+V255*V193+W255*W193+X255*X193+Y255*Y193+Z255*Z193+AA255*AA193+AB255*AB193+AC255*AC193+AD255*AD193+AE255*AE193+AF255*AF193+AG255*AG193+AH255*AH193+AI255*AI193+AJ255*AJ193+AK255*AK193+AL255*AL193+AM255*AM193+AN255*AN193+AO255*AO193+AP255*AP193+AQ255*AQ193+AR255*AR193+AS255*AS193+AT255*AT193+AU255*AU193+AV255*AV193+AW255*AW193+AX255*AX193+AY255*AY193+AZ255*AZ193+BA255*BA193+BB255*BB193+BC255*BC193+BD255*BD193+BE255*BE193+BF255*BF193+BG255*BG193+BH255*BH193+BI255*BI193+BJ255*BJ193+BK255*BK193+BL255*BL193+BM255*BM193+BN255*BN193+BO255*BO193+BP255*BP193+BQ255*BQ193+BR255*BR193+BS255*BS193+BT255*BT193+BU255*BU193+BV255*BV193+BW255*BW193+BX255*BX193+BY255*BY193+BZ255*BZ193+CA255*CA193+CB255*CB193+CC255*CC193+CD255*CD193+CE255*CE193+CF255*CF193+CG255*CG193+CH255*CH193+CI255*CI193+CJ255*CJ193+CK255*CK193+CL255*CL193+CM255*CM193+CN255*CN193</f>
        <v>0</v>
      </c>
      <c r="CY193" s="2652">
        <f>E256*E193+F256*F193+G256*G193+H256*H193+I256*I193+J256*J193+K256*K193+L256*L193+M256*M193+N256*N193+O256*O193+P256*P193+Q256*Q193+R256*R193+S256*S193+T256*T193+U256*U193+V256*V193+W256*W193+X256*X193+Y256*Y193+Z256*Z193+AA256*AA193+AB256*AB193+AC256*AC193+AD256*AD193+AE256*AE193+AF256*AF193+AG256*AG193+AH256*AH193+AI256*AI193+AJ256*AJ193+AK256*AK193+AL256*AL193+AM256*AM193+AN256*AN193+AO256*AO193+AP256*AP193+AQ256*AQ193+AR256*AR193+AS256*AS193+AT256*AT193+AU256*AU193+AV256*AV193+AW256*AW193+AX256*AX193+AY256*AY193+AZ256*AZ193+BA256*BA193+BB256*BB193+BC256*BC193+BD256*BD193+BE256*BE193+BF256*BF193+BG256*BG193+BH256*BH193+BI256*BI193+BJ256*BJ193+BK256*BK193+BL256*BL193+BM256*BM193+BN256*BN193+BO256*BO193+BP256*BP193+BQ256*BQ193+BR256*BR193+BS256*BS193+BT256*BT193+BU256*BU193+BV256*BV193+BW256*BW193+BX256*BX193+BY256*BY193+BZ256*BZ193+CA256*CA193+CB256*CB193+CC256*CC193+CD256*CD193+CE256*CE193+CF256*CF193+CG256*CG193+CH256*CH193+CI256*CI193+CJ256*CJ193+CK256*CK193+CL256*CL193+CM256*CM193+CN256*CN193</f>
        <v>0</v>
      </c>
      <c r="CZ193" s="2652">
        <f>E257*E193+F257*F193+G257*G193+H257*H193+I257*I193+J257*J193+K257*K193+L257*L193+M257*M193+N257*N193+O257*O193+P257*P193+Q257*Q193+R257*R193+S257*S193+T257*T193+U257*U193+V257*V193+W257*W193+X257*X193+Y257*Y193+Z257*Z193+AA257*AA193+AB257*AB193+AC257*AC193+AD257*AD193+AE257*AE193+AF257*AF193+AG257*AG193+AH257*AH193+AI257*AI193+AJ257*AJ193+AK257*AK193+AL257*AL193+AM257*AM193+AN257*AN193+AO257*AO193+AP257*AP193+AQ257*AQ193+AR257*AR193+AS257*AS193+AT257*AT193+AU257*AU193+AV257*AV193+AW257*AW193+AX257*AX193+AY257*AY193+AZ257*AZ193+BA257*BA193+BB257*BB193+BC257*BC193+BD257*BD193+BE257*BE193+BF257*BF193+BG257*BG193+BH257*BH193+BI257*BI193+BJ257*BJ193+BK257*BK193+BL257*BL193+BM257*BM193+BN257*BN193+BO257*BO193+BP257*BP193+BQ257*BQ193+BR257*BR193+BS257*BS193+BT257*BT193+BU257*BU193+BV257*BV193+BW257*BW193+BX257*BX193+BY257*BY193+BZ257*BZ193+CA257*CA193+CB257*CB193+CC257*CC193+CD257*CD193+CE257*CE193+CF257*CF193+CG257*CG193+CH257*CH193+CI257*CI193+CJ257*CJ193+CK257*CK193+CL257*CL193+CM257*CM193+CN257*CN193</f>
        <v>0</v>
      </c>
      <c r="DA193" s="2652">
        <f>E258*E193+F258*F193+G258*G193+H258*H193+I258*I193+J258*J193+K258*K193+L258*L193+M258*M193+N258*N193+O258*O193+P258*P193+Q258*Q193+R258*R193+S258*S193+T258*T193+U258*U193+V258*V193+W258*W193+X258*X193+Y258*Y193+Z258*Z193+AA258*AA193+AB258*AB193+AC258*AC193+AD258*AD193+AE258*AE193+AF258*AF193+AG258*AG193+AH258*AH193+AI258*AI193+AJ258*AJ193+AK258*AK193+AL258*AL193+AM258*AM193+AN258*AN193+AO258*AO193+AP258*AP193+AQ258*AQ193+AR258*AR193+AS258*AS193+AT258*AT193+AU258*AU193+AV258*AV193+AW258*AW193+AX258*AX193+AY258*AY193+AZ258*AZ193+BA258*BA193+BB258*BB193+BC258*BC193+BD258*BD193+BE258*BE193+BF258*BF193+BG258*BG193+BH258*BH193+BI258*BI193+BJ258*BJ193+BK258*BK193+BL258*BL193+BM258*BM193+BN258*BN193+BO258*BO193+BP258*BP193+BQ258*BQ193+BR258*BR193+BS258*BS193+BT258*BT193+BU258*BU193+BV258*BV193+BW258*BW193+BX258*BX193+BY258*BY193+BZ258*BZ193+CA258*CA193+CB258*CB193+CC258*CC193+CD258*CD193+CE258*CE193+CF258*CF193+CG258*CG193+CH258*CH193+CI258*CI193+CJ258*CJ193+CK258*CK193+CL258*CL193+CM258*CM193+CN258*CN193</f>
        <v>0</v>
      </c>
    </row>
    <row r="194" spans="2:105" ht="18" x14ac:dyDescent="0.25">
      <c r="B194" s="1089">
        <v>61</v>
      </c>
      <c r="C194" s="1079" t="s">
        <v>2383</v>
      </c>
      <c r="D194" s="837" t="s">
        <v>1684</v>
      </c>
      <c r="E194" s="2691">
        <f>0</f>
        <v>0</v>
      </c>
      <c r="F194" s="2691">
        <f>0</f>
        <v>0</v>
      </c>
      <c r="G194" s="2691">
        <f>0</f>
        <v>0</v>
      </c>
      <c r="H194" s="2691">
        <f>0</f>
        <v>0</v>
      </c>
      <c r="I194" s="2691">
        <f>-1</f>
        <v>-1</v>
      </c>
      <c r="J194" s="2691">
        <f>1</f>
        <v>1</v>
      </c>
      <c r="K194" s="2693">
        <f>0</f>
        <v>0</v>
      </c>
      <c r="L194" s="2691">
        <f>0</f>
        <v>0</v>
      </c>
      <c r="M194" s="2691">
        <f>0</f>
        <v>0</v>
      </c>
      <c r="N194" s="2691">
        <f>0</f>
        <v>0</v>
      </c>
      <c r="O194" s="2691">
        <f>0</f>
        <v>0</v>
      </c>
      <c r="P194" s="2691">
        <f>0</f>
        <v>0</v>
      </c>
      <c r="Q194" s="2691">
        <f>0</f>
        <v>0</v>
      </c>
      <c r="R194" s="2691">
        <f>0</f>
        <v>0</v>
      </c>
      <c r="S194" s="2691">
        <f>0</f>
        <v>0</v>
      </c>
      <c r="T194" s="2691">
        <f>0</f>
        <v>0</v>
      </c>
      <c r="U194" s="2691">
        <f>0</f>
        <v>0</v>
      </c>
      <c r="V194" s="2691">
        <f>0</f>
        <v>0</v>
      </c>
      <c r="W194" s="2691">
        <f>0</f>
        <v>0</v>
      </c>
      <c r="X194" s="2691">
        <f>0</f>
        <v>0</v>
      </c>
      <c r="Y194" s="2691">
        <f>0</f>
        <v>0</v>
      </c>
      <c r="Z194" s="2691">
        <f>0</f>
        <v>0</v>
      </c>
      <c r="AA194" s="2691">
        <f>0</f>
        <v>0</v>
      </c>
      <c r="AB194" s="2691">
        <f>0</f>
        <v>0</v>
      </c>
      <c r="AC194" s="2693">
        <f>0</f>
        <v>0</v>
      </c>
      <c r="AD194" s="2691">
        <f>0</f>
        <v>0</v>
      </c>
      <c r="AE194" s="2691">
        <f>0</f>
        <v>0</v>
      </c>
      <c r="AF194" s="2691">
        <f>0</f>
        <v>0</v>
      </c>
      <c r="AG194" s="2691">
        <f>0</f>
        <v>0</v>
      </c>
      <c r="AH194" s="2691">
        <f>0</f>
        <v>0</v>
      </c>
      <c r="AI194" s="2691">
        <f>i_N_CB</f>
        <v>0.01</v>
      </c>
      <c r="AJ194" s="2693">
        <f>0</f>
        <v>0</v>
      </c>
      <c r="AK194" s="2691">
        <f>0</f>
        <v>0</v>
      </c>
      <c r="AL194" s="2691">
        <f>0</f>
        <v>0</v>
      </c>
      <c r="AM194" s="2691">
        <f>0</f>
        <v>0</v>
      </c>
      <c r="AN194" s="2691">
        <f>0</f>
        <v>0</v>
      </c>
      <c r="AO194" s="2691">
        <f>i_P_CB</f>
        <v>2E-3</v>
      </c>
      <c r="AP194" s="2693">
        <f>0</f>
        <v>0</v>
      </c>
      <c r="AQ194" s="2691">
        <f>0</f>
        <v>0</v>
      </c>
      <c r="AR194" s="2691">
        <f>0</f>
        <v>0</v>
      </c>
      <c r="AS194" s="2691">
        <f>0</f>
        <v>0</v>
      </c>
      <c r="AT194" s="2691">
        <f>0</f>
        <v>0</v>
      </c>
      <c r="AU194" s="2691">
        <f>0</f>
        <v>0</v>
      </c>
      <c r="AV194" s="2691">
        <f>0</f>
        <v>0</v>
      </c>
      <c r="AW194" s="2691">
        <f>0</f>
        <v>0</v>
      </c>
      <c r="AX194" s="2691">
        <f>0</f>
        <v>0</v>
      </c>
      <c r="AY194" s="2691">
        <f>0</f>
        <v>0</v>
      </c>
      <c r="AZ194" s="2691">
        <f>0</f>
        <v>0</v>
      </c>
      <c r="BA194" s="2691">
        <f>0</f>
        <v>0</v>
      </c>
      <c r="BB194" s="2691">
        <f>0</f>
        <v>0</v>
      </c>
      <c r="BC194" s="2691">
        <f>0</f>
        <v>0</v>
      </c>
      <c r="BD194" s="2691">
        <f>0</f>
        <v>0</v>
      </c>
      <c r="BE194" s="2691">
        <f>0</f>
        <v>0</v>
      </c>
      <c r="BF194" s="2691">
        <f>0</f>
        <v>0</v>
      </c>
      <c r="BG194" s="2691">
        <f>0</f>
        <v>0</v>
      </c>
      <c r="BH194" s="2691">
        <f>0</f>
        <v>0</v>
      </c>
      <c r="BI194" s="2691">
        <f>0</f>
        <v>0</v>
      </c>
      <c r="BJ194" s="2698">
        <f>0</f>
        <v>0</v>
      </c>
      <c r="BK194" s="2698">
        <f>0</f>
        <v>0</v>
      </c>
      <c r="BL194" s="2698">
        <f>0</f>
        <v>0</v>
      </c>
      <c r="BM194" s="2698">
        <f>0</f>
        <v>0</v>
      </c>
      <c r="BN194" s="2698">
        <f>0</f>
        <v>0</v>
      </c>
      <c r="BO194" s="2698">
        <f>0</f>
        <v>0</v>
      </c>
      <c r="BP194" s="2698">
        <f>0</f>
        <v>0</v>
      </c>
      <c r="BQ194" s="2691">
        <f>0</f>
        <v>0</v>
      </c>
      <c r="BR194" s="2691">
        <f>0</f>
        <v>0</v>
      </c>
      <c r="BS194" s="2698">
        <f>0</f>
        <v>0</v>
      </c>
      <c r="BT194" s="2691">
        <f>0</f>
        <v>0</v>
      </c>
      <c r="BU194" s="2691">
        <f>0</f>
        <v>0</v>
      </c>
      <c r="BV194" s="2693">
        <f>0</f>
        <v>0</v>
      </c>
      <c r="BW194" s="2693">
        <f>0</f>
        <v>0</v>
      </c>
      <c r="BX194" s="2693">
        <f>0</f>
        <v>0</v>
      </c>
      <c r="BY194" s="2693">
        <f>0</f>
        <v>0</v>
      </c>
      <c r="BZ194" s="2691">
        <f>0</f>
        <v>0</v>
      </c>
      <c r="CA194" s="2691">
        <f>0</f>
        <v>0</v>
      </c>
      <c r="CB194" s="2807">
        <f>0</f>
        <v>0</v>
      </c>
      <c r="CC194" s="2691">
        <f>0</f>
        <v>0</v>
      </c>
      <c r="CD194" s="2691">
        <f>0</f>
        <v>0</v>
      </c>
      <c r="CE194" s="2691">
        <f>0</f>
        <v>0</v>
      </c>
      <c r="CF194" s="2691">
        <f>0</f>
        <v>0</v>
      </c>
      <c r="CG194" s="2691">
        <f>0</f>
        <v>0</v>
      </c>
      <c r="CH194" s="2691">
        <f>0</f>
        <v>0</v>
      </c>
      <c r="CI194" s="2691">
        <f>0</f>
        <v>0</v>
      </c>
      <c r="CJ194" s="2691">
        <f>0</f>
        <v>0</v>
      </c>
      <c r="CK194" s="2691">
        <f>0</f>
        <v>0</v>
      </c>
      <c r="CL194" s="2691">
        <f>0</f>
        <v>0</v>
      </c>
      <c r="CM194" s="2691">
        <f>0</f>
        <v>0</v>
      </c>
      <c r="CN194" s="2691">
        <f>0</f>
        <v>0</v>
      </c>
      <c r="CO194" s="2837">
        <f>q_FLOC_T*η_FLOC_Process*f_EPS_VSS*X_BIO*M_satCB_KCB_FLOC+q_FLOC_HFO_T*X_HFO*M_satCB_KCB_FLOC_HFO*B_ellinhpH_FLOC_HFO+q_FLOC_HAO_T*X_HAO*M_satCB_KCB_FLOC_HAO*B_ellinhpH_FLOC_HAO</f>
        <v>8.2563181675102307E-2</v>
      </c>
      <c r="CQ194" s="2650">
        <f>E248*E194+F248*F194+G248*G194+H248*H194+I248*I194+J248*J194+K248*K194+L248*L194+M248*M194+N248*N194+O248*O194+P248*P194+Q248*Q194+R248*R194+S248*S194+T248*T194+U248*U194+V248*V194+W248*W194+X248*X194+Y248*Y194+Z248*Z194+AA248*AA194+AB248*AB194+AC248*AC194+AD248*AD194+AE248*AE194+AF248*AF194+AG248*AG194+AH248*AH194+AI248*AI194+AJ248*AJ194+AK248*AK194+AL248*AL194+AM248*AM194+AN248*AN194+AO248*AO194+AP248*AP194+AQ248*AQ194+AR248*AR194+AS248*AS194+AT248*AT194+AU248*AU194+AV248*AV194+AW248*AW194+AX248*AX194+AY248*AY194+AZ248*AZ194+BA248*BA194+BB248*BB194+BC248*BC194+BD248*BD194+BE248*BE194+BF248*BF194+BG248*BG194+BH248*BH194+BI248*BI194+BJ248*BJ194+BK248*BK194+BL248*BL194+BM248*BM194+BN248*BN194+BO248*BO194+BP248*BP194+BQ248*BQ194+BR248*BR194+BS248*BS194+BT248*BT194+BU248*BU194+BV248*BV194+BW248*BW194+BX248*BX194+BY248*BY194+BZ248*BZ194+CA248*CA194+CB248*CB194+CC248*CC194+CD248*CD194+CE248*CE194+CF248*CF194+CG248*CG194+CH248*CH194+CI248*CI194+CJ248*CJ194+CK248*CK194+CL248*CL194+CM248*CM194+CN248*CN194</f>
        <v>0</v>
      </c>
      <c r="CR194" s="2650">
        <f>E249*E194+F249*F194+G249*G194+H249*H194+I249*I194+J249*J194+K249*K194+L249*L194+M249*M194+N249*N194+O249*O194+P249*P194+Q249*Q194+R249*R194+S249*S194+T249*T194+U249*U194+V249*V194+W249*W194+X249*X194+Y249*Y194+Z249*Z194+AA249*AA194+AB249*AB194+AC249*AC194+AD249*AD194+AE249*AE194+AF249*AF194+AG249*AG194+AH249*AH194+AI249*AI194+AJ249*AJ194+AK249*AK194+AL249*AL194+AM249*AM194+AN249*AN194+AO249*AO194+AP249*AP194+AQ249*AQ194+AR249*AR194+AS249*AS194+AT249*AT194+AU249*AU194+AV249*AV194+AW249*AW194+AX249*AX194+AY249*AY194+AZ249*AZ194+BA249*BA194+BB249*BB194+BC249*BC194+BD249*BD194+BE249*BE194+BF249*BF194+BG249*BG194+BH249*BH194+BI249*BI194+BJ249*BJ194+BK249*BK194+BL249*BL194+BM249*BM194+BN249*BN194+BO249*BO194+BP249*BP194+BQ249*BQ194+BR249*BR194+BS249*BS194+BT249*BT194+BU249*BU194+BV249*BV194+BW249*BW194+BX249*BX194+BY249*BY194+BZ249*BZ194+CA249*CA194+CB249*CB194+CC249*CC194+CD249*CD194+CE249*CE194+CF249*CF194+CG249*CG194+CH249*CH194+CI249*CI194+CJ249*CJ194+CK249*CK194+CL249*CL194+CM249*CM194+CN249*CN194</f>
        <v>0</v>
      </c>
      <c r="CS194" s="2651">
        <f>E250*E194+F250*F194+G250*G194+H250*H194+I250*I194+J250*J194+K250*K194+L250*L194+M250*M194+N250*N194+O250*O194+P250*P194+Q250*Q194+R250*R194+S250*S194+T250*T194+U250*U194+V250*V194+W250*W194+X250*X194+Y250*Y194+Z250*Z194+AA250*AA194+AB250*AB194+AC250*AC194+AD250*AD194+AE250*AE194+AF250*AF194+AG250*AG194+AH250*AH194+AI250*AI194+AJ250*AJ194+AK250*AK194+AL250*AL194+AM250*AM194+AN250*AN194+AO250*AO194+AP250*AP194+AQ250*AQ194+AR250*AR194+AS250*AS194+AT250*AT194+AU250*AU194+AV250*AV194+AW250*AW194+AX250*AX194+AY250*AY194+AZ250*AZ194+BA250*BA194+BB250*BB194+BC250*BC194+BD250*BD194+BE250*BE194+BF250*BF194+BG250*BG194+BH250*BH194+BI250*BI194+BJ250*BJ194+BK250*BK194+BL250*BL194+BM250*BM194+BN250*BN194+BO250*BO194+BP250*BP194+BQ250*BQ194+BR250*BR194+BS250*BS194+BT250*BT194+BU250*BU194+BV250*BV194+BW250*BW194+BX250*BX194+BY250*BY194+BZ250*BZ194+CA250*CA194+CB250*CB194+CC250*CC194+CD250*CD194+CE250*CE194+CF250*CF194+CG250*CG194+CH250*CH194+CI250*CI194+CJ250*CJ194+CK250*CK194+CL250*CL194+CM250*CM194+CN250*CN194</f>
        <v>0</v>
      </c>
      <c r="CT194" s="2652">
        <f>E251*E194+F251*F194+G251*G194+H251*H194+I251*I194+J251*J194+K251*K194+L251*L194+M251*M194+N251*N194+O251*O194+P251*P194+Q251*Q194+R251*R194+S251*S194+T251*T194+U251*U194+V251*V194+W251*W194+X251*X194+Y251*Y194+Z251*Z194+AA251*AA194+AB251*AB194+AC251*AC194+AD251*AD194+AE251*AE194+AF251*AF194+AG251*AG194+AH251*AH194+AI251*AI194+AJ251*AJ194+AK251*AK194+AL251*AL194+AM251*AM194+AN251*AN194+AO251*AO194+AP251*AP194+AQ251*AQ194+AR251*AR194+AS251*AS194+AT251*AT194+AU251*AU194+AV251*AV194+AW251*AW194+AX251*AX194+AY251*AY194+AZ251*AZ194+BA251*BA194+BB251*BB194+BC251*BC194+BD251*BD194+BE251*BE194+BF251*BF194+BG251*BG194+BH251*BH194+BI251*BI194+BJ251*BJ194+BK251*BK194+BL251*BL194+BM251*BM194+BN251*BN194+BO251*BO194+BP251*BP194+BQ251*BQ194+BR251*BR194+BS251*BS194+BT251*BT194+BU251*BU194+BV251*BV194+BW251*BW194+BX251*BX194+BY251*BY194+BZ251*BZ194+CA251*CA194+CB251*CB194+CC251*CC194+CD251*CD194+CE251*CE194+CF251*CF194+CG251*CG194+CH251*CH194+CI251*CI194+CJ251*CJ194+CK251*CK194+CL251*CL194+CM251*CM194+CN251*CN194</f>
        <v>0</v>
      </c>
      <c r="CU194" s="2652">
        <f>E252*E194+F252*F194+G252*G194+H252*H194+I252*I194+J252*J194+K252*K194+L252*L194+M252*M194+N252*N194+O252*O194+P252*P194+Q252*Q194+R252*R194+S252*S194+T252*T194+U252*U194+V252*V194+W252*W194+X252*X194+Y252*Y194+Z252*Z194+AA252*AA194+AB252*AB194+AC252*AC194+AD252*AD194+AE252*AE194+AF252*AF194+AG252*AG194+AH252*AH194+AI252*AI194+AJ252*AJ194+AK252*AK194+AL252*AL194+AM252*AM194+AN252*AN194+AO252*AO194+AP252*AP194+AQ252*AQ194+AR252*AR194+AS252*AS194+AT252*AT194+AU252*AU194+AV252*AV194+AW252*AW194+AX252*AX194+AY252*AY194+AZ252*AZ194+BA252*BA194+BB252*BB194+BC252*BC194+BD252*BD194+BE252*BE194+BF252*BF194+BG252*BG194+BH252*BH194+BI252*BI194+BJ252*BJ194+BK252*BK194+BL252*BL194+BM252*BM194+BN252*BN194+BO252*BO194+BP252*BP194+BQ252*BQ194+BR252*BR194+BS252*BS194+BT252*BT194+BU252*BU194+BV252*BV194+BW252*BW194+BX252*BX194+BY252*BY194+BZ252*BZ194+CA252*CA194+CB252*CB194+CC252*CC194+CD252*CD194+CE252*CE194+CF252*CF194+CG252*CG194+CH252*CH194+CI252*CI194+CJ252*CJ194+CK252*CK194+CL252*CL194+CM252*CM194+CN252*CN194</f>
        <v>0</v>
      </c>
      <c r="CV194" s="2652">
        <f>E253*E194+F253*F194+G253*G194+H253*H194+I253*I194+J253*J194+K253*K194+L253*L194+M253*M194+N253*N194+O253*O194+P253*P194+Q253*Q194+R253*R194+S253*S194+T253*T194+U253*U194+V253*V194+W253*W194+X253*X194+Y253*Y194+Z253*Z194+AA253*AA194+AB253*AB194+AC253*AC194+AD253*AD194+AE253*AE194+AF253*AF194+AG253*AG194+AH253*AH194+AI253*AI194+AJ253*AJ194+AK253*AK194+AL253*AL194+AM253*AM194+AN253*AN194+AO253*AO194+AP253*AP194+AQ253*AQ194+AR253*AR194+AS253*AS194+AT253*AT194+AU253*AU194+AV253*AV194+AW253*AW194+AX253*AX194+AY253*AY194+AZ253*AZ194+BA253*BA194+BB253*BB194+BC253*BC194+BD253*BD194+BE253*BE194+BF253*BF194+BG253*BG194+BH253*BH194+BI253*BI194+BJ253*BJ194+BK253*BK194+BL253*BL194+BM253*BM194+BN253*BN194+BO253*BO194+BP253*BP194+BQ253*BQ194+BR253*BR194+BS253*BS194+BT253*BT194+BU253*BU194+BV253*BV194+BW253*BW194+BX253*BX194+BY253*BY194+BZ253*BZ194+CA253*CA194+CB253*CB194+CC253*CC194+CD253*CD194+CE253*CE194+CF253*CF194+CG253*CG194+CH253*CH194+CI253*CI194+CJ253*CJ194+CK253*CK194+CL253*CL194+CM253*CM194+CN253*CN194</f>
        <v>0</v>
      </c>
      <c r="CW194" s="2652">
        <f>E254*E194+F254*F194+G254*G194+H254*H194+I254*I194+J254*J194+K254*K194+L254*L194+M254*M194+N254*N194+O254*O194+P254*P194+Q254*Q194+R254*R194+S254*S194+T254*T194+U254*U194+V254*V194+W254*W194+X254*X194+Y254*Y194+Z254*Z194+AA254*AA194+AB254*AB194+AC254*AC194+AD254*AD194+AE254*AE194+AF254*AF194+AG254*AG194+AH254*AH194+AI254*AI194+AJ254*AJ194+AK254*AK194+AL254*AL194+AM254*AM194+AN254*AN194+AO254*AO194+AP254*AP194+AQ254*AQ194+AR254*AR194+AS254*AS194+AT254*AT194+AU254*AU194+AV254*AV194+AW254*AW194+AX254*AX194+AY254*AY194+AZ254*AZ194+BA254*BA194+BB254*BB194+BC254*BC194+BD254*BD194+BE254*BE194+BF254*BF194+BG254*BG194+BH254*BH194+BI254*BI194+BJ254*BJ194+BK254*BK194+BL254*BL194+BM254*BM194+BN254*BN194+BO254*BO194+BP254*BP194+BQ254*BQ194+BR254*BR194+BS254*BS194+BT254*BT194+BU254*BU194+BV254*BV194+BW254*BW194+BX254*BX194+BY254*BY194+BZ254*BZ194+CA254*CA194+CB254*CB194+CC254*CC194+CD254*CD194+CE254*CE194+CF254*CF194+CG254*CG194+CH254*CH194+CI254*CI194+CJ254*CJ194+CK254*CK194+CL254*CL194+CM254*CM194+CN254*CN194</f>
        <v>0</v>
      </c>
      <c r="CX194" s="2652">
        <f>E255*E194+F255*F194+G255*G194+H255*H194+I255*I194+J255*J194+K255*K194+L255*L194+M255*M194+N255*N194+O255*O194+P255*P194+Q255*Q194+R255*R194+S255*S194+T255*T194+U255*U194+V255*V194+W255*W194+X255*X194+Y255*Y194+Z255*Z194+AA255*AA194+AB255*AB194+AC255*AC194+AD255*AD194+AE255*AE194+AF255*AF194+AG255*AG194+AH255*AH194+AI255*AI194+AJ255*AJ194+AK255*AK194+AL255*AL194+AM255*AM194+AN255*AN194+AO255*AO194+AP255*AP194+AQ255*AQ194+AR255*AR194+AS255*AS194+AT255*AT194+AU255*AU194+AV255*AV194+AW255*AW194+AX255*AX194+AY255*AY194+AZ255*AZ194+BA255*BA194+BB255*BB194+BC255*BC194+BD255*BD194+BE255*BE194+BF255*BF194+BG255*BG194+BH255*BH194+BI255*BI194+BJ255*BJ194+BK255*BK194+BL255*BL194+BM255*BM194+BN255*BN194+BO255*BO194+BP255*BP194+BQ255*BQ194+BR255*BR194+BS255*BS194+BT255*BT194+BU255*BU194+BV255*BV194+BW255*BW194+BX255*BX194+BY255*BY194+BZ255*BZ194+CA255*CA194+CB255*CB194+CC255*CC194+CD255*CD194+CE255*CE194+CF255*CF194+CG255*CG194+CH255*CH194+CI255*CI194+CJ255*CJ194+CK255*CK194+CL255*CL194+CM255*CM194+CN255*CN194</f>
        <v>0</v>
      </c>
      <c r="CY194" s="2652">
        <f>E256*E194+F256*F194+G256*G194+H256*H194+I256*I194+J256*J194+K256*K194+L256*L194+M256*M194+N256*N194+O256*O194+P256*P194+Q256*Q194+R256*R194+S256*S194+T256*T194+U256*U194+V256*V194+W256*W194+X256*X194+Y256*Y194+Z256*Z194+AA256*AA194+AB256*AB194+AC256*AC194+AD256*AD194+AE256*AE194+AF256*AF194+AG256*AG194+AH256*AH194+AI256*AI194+AJ256*AJ194+AK256*AK194+AL256*AL194+AM256*AM194+AN256*AN194+AO256*AO194+AP256*AP194+AQ256*AQ194+AR256*AR194+AS256*AS194+AT256*AT194+AU256*AU194+AV256*AV194+AW256*AW194+AX256*AX194+AY256*AY194+AZ256*AZ194+BA256*BA194+BB256*BB194+BC256*BC194+BD256*BD194+BE256*BE194+BF256*BF194+BG256*BG194+BH256*BH194+BI256*BI194+BJ256*BJ194+BK256*BK194+BL256*BL194+BM256*BM194+BN256*BN194+BO256*BO194+BP256*BP194+BQ256*BQ194+BR256*BR194+BS256*BS194+BT256*BT194+BU256*BU194+BV256*BV194+BW256*BW194+BX256*BX194+BY256*BY194+BZ256*BZ194+CA256*CA194+CB256*CB194+CC256*CC194+CD256*CD194+CE256*CE194+CF256*CF194+CG256*CG194+CH256*CH194+CI256*CI194+CJ256*CJ194+CK256*CK194+CL256*CL194+CM256*CM194+CN256*CN194</f>
        <v>0</v>
      </c>
      <c r="CZ194" s="2652">
        <f>E257*E194+F257*F194+G257*G194+H257*H194+I257*I194+J257*J194+K257*K194+L257*L194+M257*M194+N257*N194+O257*O194+P257*P194+Q257*Q194+R257*R194+S257*S194+T257*T194+U257*U194+V257*V194+W257*W194+X257*X194+Y257*Y194+Z257*Z194+AA257*AA194+AB257*AB194+AC257*AC194+AD257*AD194+AE257*AE194+AF257*AF194+AG257*AG194+AH257*AH194+AI257*AI194+AJ257*AJ194+AK257*AK194+AL257*AL194+AM257*AM194+AN257*AN194+AO257*AO194+AP257*AP194+AQ257*AQ194+AR257*AR194+AS257*AS194+AT257*AT194+AU257*AU194+AV257*AV194+AW257*AW194+AX257*AX194+AY257*AY194+AZ257*AZ194+BA257*BA194+BB257*BB194+BC257*BC194+BD257*BD194+BE257*BE194+BF257*BF194+BG257*BG194+BH257*BH194+BI257*BI194+BJ257*BJ194+BK257*BK194+BL257*BL194+BM257*BM194+BN257*BN194+BO257*BO194+BP257*BP194+BQ257*BQ194+BR257*BR194+BS257*BS194+BT257*BT194+BU257*BU194+BV257*BV194+BW257*BW194+BX257*BX194+BY257*BY194+BZ257*BZ194+CA257*CA194+CB257*CB194+CC257*CC194+CD257*CD194+CE257*CE194+CF257*CF194+CG257*CG194+CH257*CH194+CI257*CI194+CJ257*CJ194+CK257*CK194+CL257*CL194+CM257*CM194+CN257*CN194</f>
        <v>0</v>
      </c>
      <c r="DA194" s="2652">
        <f>E258*E194+F258*F194+G258*G194+H258*H194+I258*I194+J258*J194+K258*K194+L258*L194+M258*M194+N258*N194+O258*O194+P258*P194+Q258*Q194+R258*R194+S258*S194+T258*T194+U258*U194+V258*V194+W258*W194+X258*X194+Y258*Y194+Z258*Z194+AA258*AA194+AB258*AB194+AC258*AC194+AD258*AD194+AE258*AE194+AF258*AF194+AG258*AG194+AH258*AH194+AI258*AI194+AJ258*AJ194+AK258*AK194+AL258*AL194+AM258*AM194+AN258*AN194+AO258*AO194+AP258*AP194+AQ258*AQ194+AR258*AR194+AS258*AS194+AT258*AT194+AU258*AU194+AV258*AV194+AW258*AW194+AX258*AX194+AY258*AY194+AZ258*AZ194+BA258*BA194+BB258*BB194+BC258*BC194+BD258*BD194+BE258*BE194+BF258*BF194+BG258*BG194+BH258*BH194+BI258*BI194+BJ258*BJ194+BK258*BK194+BL258*BL194+BM258*BM194+BN258*BN194+BO258*BO194+BP258*BP194+BQ258*BQ194+BR258*BR194+BS258*BS194+BT258*BT194+BU258*BU194+BV258*BV194+BW258*BW194+BX258*BX194+BY258*BY194+BZ258*BZ194+CA258*CA194+CB258*CB194+CC258*CC194+CD258*CD194+CE258*CE194+CF258*CF194+CG258*CG194+CH258*CH194+CI258*CI194+CJ258*CJ194+CK258*CK194+CL258*CL194+CM258*CM194+CN258*CN194</f>
        <v>0</v>
      </c>
    </row>
    <row r="195" spans="2:105" ht="18" x14ac:dyDescent="0.25">
      <c r="B195" s="1089">
        <v>62</v>
      </c>
      <c r="C195" s="1079" t="s">
        <v>2384</v>
      </c>
      <c r="D195" s="837" t="s">
        <v>1687</v>
      </c>
      <c r="E195" s="2691">
        <f>0</f>
        <v>0</v>
      </c>
      <c r="F195" s="2691">
        <f>0</f>
        <v>0</v>
      </c>
      <c r="G195" s="2691">
        <f>0</f>
        <v>0</v>
      </c>
      <c r="H195" s="2691">
        <f>0</f>
        <v>0</v>
      </c>
      <c r="I195" s="2691">
        <f>0</f>
        <v>0</v>
      </c>
      <c r="J195" s="2691">
        <f>0</f>
        <v>0</v>
      </c>
      <c r="K195" s="2693">
        <f>0</f>
        <v>0</v>
      </c>
      <c r="L195" s="2691">
        <f>0</f>
        <v>0</v>
      </c>
      <c r="M195" s="2691">
        <f>-1</f>
        <v>-1</v>
      </c>
      <c r="N195" s="2691">
        <f>1</f>
        <v>1</v>
      </c>
      <c r="O195" s="2691">
        <f>0</f>
        <v>0</v>
      </c>
      <c r="P195" s="2691">
        <f>0</f>
        <v>0</v>
      </c>
      <c r="Q195" s="2691">
        <f>0</f>
        <v>0</v>
      </c>
      <c r="R195" s="2691">
        <f>0</f>
        <v>0</v>
      </c>
      <c r="S195" s="2691">
        <f>0</f>
        <v>0</v>
      </c>
      <c r="T195" s="2691">
        <f>0</f>
        <v>0</v>
      </c>
      <c r="U195" s="2691">
        <f>0</f>
        <v>0</v>
      </c>
      <c r="V195" s="2691">
        <f>0</f>
        <v>0</v>
      </c>
      <c r="W195" s="2691">
        <f>0</f>
        <v>0</v>
      </c>
      <c r="X195" s="2691">
        <f>0</f>
        <v>0</v>
      </c>
      <c r="Y195" s="2691">
        <f>0</f>
        <v>0</v>
      </c>
      <c r="Z195" s="2691">
        <f>0</f>
        <v>0</v>
      </c>
      <c r="AA195" s="2691">
        <f>0</f>
        <v>0</v>
      </c>
      <c r="AB195" s="2691">
        <f>0</f>
        <v>0</v>
      </c>
      <c r="AC195" s="2693">
        <f>0</f>
        <v>0</v>
      </c>
      <c r="AD195" s="2691">
        <f>0</f>
        <v>0</v>
      </c>
      <c r="AE195" s="2691">
        <f>0</f>
        <v>0</v>
      </c>
      <c r="AF195" s="2691">
        <f>0</f>
        <v>0</v>
      </c>
      <c r="AG195" s="2691">
        <f>0</f>
        <v>0</v>
      </c>
      <c r="AH195" s="2691">
        <f>0</f>
        <v>0</v>
      </c>
      <c r="AI195" s="2691">
        <f>0</f>
        <v>0</v>
      </c>
      <c r="AJ195" s="2693">
        <f>0</f>
        <v>0</v>
      </c>
      <c r="AK195" s="2691">
        <f>i_N_CU</f>
        <v>0.01</v>
      </c>
      <c r="AL195" s="2691">
        <f>0</f>
        <v>0</v>
      </c>
      <c r="AM195" s="2691">
        <f>0</f>
        <v>0</v>
      </c>
      <c r="AN195" s="2691">
        <f>0</f>
        <v>0</v>
      </c>
      <c r="AO195" s="2691">
        <f>0</f>
        <v>0</v>
      </c>
      <c r="AP195" s="2693">
        <f>0</f>
        <v>0</v>
      </c>
      <c r="AQ195" s="2691">
        <f>i_P_CU</f>
        <v>2E-3</v>
      </c>
      <c r="AR195" s="2691">
        <f>0</f>
        <v>0</v>
      </c>
      <c r="AS195" s="2691">
        <f>0</f>
        <v>0</v>
      </c>
      <c r="AT195" s="2691">
        <f>0</f>
        <v>0</v>
      </c>
      <c r="AU195" s="2691">
        <f>0</f>
        <v>0</v>
      </c>
      <c r="AV195" s="2691">
        <f>0</f>
        <v>0</v>
      </c>
      <c r="AW195" s="2691">
        <f>0</f>
        <v>0</v>
      </c>
      <c r="AX195" s="2691">
        <f>0</f>
        <v>0</v>
      </c>
      <c r="AY195" s="2691">
        <f>0</f>
        <v>0</v>
      </c>
      <c r="AZ195" s="2691">
        <f>0</f>
        <v>0</v>
      </c>
      <c r="BA195" s="2691">
        <f>0</f>
        <v>0</v>
      </c>
      <c r="BB195" s="2691">
        <f>0</f>
        <v>0</v>
      </c>
      <c r="BC195" s="2691">
        <f>0</f>
        <v>0</v>
      </c>
      <c r="BD195" s="2691">
        <f>0</f>
        <v>0</v>
      </c>
      <c r="BE195" s="2691">
        <f>0</f>
        <v>0</v>
      </c>
      <c r="BF195" s="2691">
        <f>0</f>
        <v>0</v>
      </c>
      <c r="BG195" s="2691">
        <f>0</f>
        <v>0</v>
      </c>
      <c r="BH195" s="2691">
        <f>0</f>
        <v>0</v>
      </c>
      <c r="BI195" s="2691">
        <f>0</f>
        <v>0</v>
      </c>
      <c r="BJ195" s="2698">
        <f>0</f>
        <v>0</v>
      </c>
      <c r="BK195" s="2698">
        <f>0</f>
        <v>0</v>
      </c>
      <c r="BL195" s="2698">
        <f>0</f>
        <v>0</v>
      </c>
      <c r="BM195" s="2698">
        <f>0</f>
        <v>0</v>
      </c>
      <c r="BN195" s="2698">
        <f>0</f>
        <v>0</v>
      </c>
      <c r="BO195" s="2698">
        <f>0</f>
        <v>0</v>
      </c>
      <c r="BP195" s="2698">
        <f>0</f>
        <v>0</v>
      </c>
      <c r="BQ195" s="2691">
        <f>0</f>
        <v>0</v>
      </c>
      <c r="BR195" s="2691">
        <f>0</f>
        <v>0</v>
      </c>
      <c r="BS195" s="2698">
        <f>0</f>
        <v>0</v>
      </c>
      <c r="BT195" s="2691">
        <f>0</f>
        <v>0</v>
      </c>
      <c r="BU195" s="2691">
        <f>0</f>
        <v>0</v>
      </c>
      <c r="BV195" s="2693">
        <f>0</f>
        <v>0</v>
      </c>
      <c r="BW195" s="2693">
        <f>0</f>
        <v>0</v>
      </c>
      <c r="BX195" s="2693">
        <f>0</f>
        <v>0</v>
      </c>
      <c r="BY195" s="2693">
        <f>0</f>
        <v>0</v>
      </c>
      <c r="BZ195" s="2691">
        <f>0</f>
        <v>0</v>
      </c>
      <c r="CA195" s="2691">
        <f>0</f>
        <v>0</v>
      </c>
      <c r="CB195" s="2807">
        <f>0</f>
        <v>0</v>
      </c>
      <c r="CC195" s="2691">
        <f>0</f>
        <v>0</v>
      </c>
      <c r="CD195" s="2691">
        <f>0</f>
        <v>0</v>
      </c>
      <c r="CE195" s="2691">
        <f>0</f>
        <v>0</v>
      </c>
      <c r="CF195" s="2691">
        <f>0</f>
        <v>0</v>
      </c>
      <c r="CG195" s="2691">
        <f>0</f>
        <v>0</v>
      </c>
      <c r="CH195" s="2691">
        <f>0</f>
        <v>0</v>
      </c>
      <c r="CI195" s="2691">
        <f>0</f>
        <v>0</v>
      </c>
      <c r="CJ195" s="2691">
        <f>0</f>
        <v>0</v>
      </c>
      <c r="CK195" s="2691">
        <f>0</f>
        <v>0</v>
      </c>
      <c r="CL195" s="2691">
        <f>0</f>
        <v>0</v>
      </c>
      <c r="CM195" s="2691">
        <f>0</f>
        <v>0</v>
      </c>
      <c r="CN195" s="2691">
        <f>0</f>
        <v>0</v>
      </c>
      <c r="CO195" s="2837">
        <f>q_FLOC_T*η_FLOC_Process*f_EPS_VSS*X_BIO*M_satCU_KCU_FLOC+q_FLOC_HFO_T*X_HFO*M_satCU_KCU_FLOC_HFO*B_ellinhpH_FLOC_HFO+q_FLOC_HAO_T*X_HAO*M_satCU_KCU_FLOC_HAO*B_ellinhpH_FLOC_HAO</f>
        <v>0.40954607939827969</v>
      </c>
      <c r="CQ195" s="2650">
        <f>E248*E195+F248*F195+G248*G195+H248*H195+I248*I195+J248*J195+K248*K195+L248*L195+M248*M195+N248*N195+O248*O195+P248*P195+Q248*Q195+R248*R195+S248*S195+T248*T195+U248*U195+V248*V195+W248*W195+X248*X195+Y248*Y195+Z248*Z195+AA248*AA195+AB248*AB195+AC248*AC195+AD248*AD195+AE248*AE195+AF248*AF195+AG248*AG195+AH248*AH195+AI248*AI195+AJ248*AJ195+AK248*AK195+AL248*AL195+AM248*AM195+AN248*AN195+AO248*AO195+AP248*AP195+AQ248*AQ195+AR248*AR195+AS248*AS195+AT248*AT195+AU248*AU195+AV248*AV195+AW248*AW195+AX248*AX195+AY248*AY195+AZ248*AZ195+BA248*BA195+BB248*BB195+BC248*BC195+BD248*BD195+BE248*BE195+BF248*BF195+BG248*BG195+BH248*BH195+BI248*BI195+BJ248*BJ195+BK248*BK195+BL248*BL195+BM248*BM195+BN248*BN195+BO248*BO195+BP248*BP195+BQ248*BQ195+BR248*BR195+BS248*BS195+BT248*BT195+BU248*BU195+BV248*BV195+BW248*BW195+BX248*BX195+BY248*BY195+BZ248*BZ195+CA248*CA195+CB248*CB195+CC248*CC195+CD248*CD195+CE248*CE195+CF248*CF195+CG248*CG195+CH248*CH195+CI248*CI195+CJ248*CJ195+CK248*CK195+CL248*CL195+CM248*CM195+CN248*CN195</f>
        <v>0</v>
      </c>
      <c r="CR195" s="2650">
        <f>E249*E195+F249*F195+G249*G195+H249*H195+I249*I195+J249*J195+K249*K195+L249*L195+M249*M195+N249*N195+O249*O195+P249*P195+Q249*Q195+R249*R195+S249*S195+T249*T195+U249*U195+V249*V195+W249*W195+X249*X195+Y249*Y195+Z249*Z195+AA249*AA195+AB249*AB195+AC249*AC195+AD249*AD195+AE249*AE195+AF249*AF195+AG249*AG195+AH249*AH195+AI249*AI195+AJ249*AJ195+AK249*AK195+AL249*AL195+AM249*AM195+AN249*AN195+AO249*AO195+AP249*AP195+AQ249*AQ195+AR249*AR195+AS249*AS195+AT249*AT195+AU249*AU195+AV249*AV195+AW249*AW195+AX249*AX195+AY249*AY195+AZ249*AZ195+BA249*BA195+BB249*BB195+BC249*BC195+BD249*BD195+BE249*BE195+BF249*BF195+BG249*BG195+BH249*BH195+BI249*BI195+BJ249*BJ195+BK249*BK195+BL249*BL195+BM249*BM195+BN249*BN195+BO249*BO195+BP249*BP195+BQ249*BQ195+BR249*BR195+BS249*BS195+BT249*BT195+BU249*BU195+BV249*BV195+BW249*BW195+BX249*BX195+BY249*BY195+BZ249*BZ195+CA249*CA195+CB249*CB195+CC249*CC195+CD249*CD195+CE249*CE195+CF249*CF195+CG249*CG195+CH249*CH195+CI249*CI195+CJ249*CJ195+CK249*CK195+CL249*CL195+CM249*CM195+CN249*CN195</f>
        <v>0</v>
      </c>
      <c r="CS195" s="2651">
        <f>E250*E195+F250*F195+G250*G195+H250*H195+I250*I195+J250*J195+K250*K195+L250*L195+M250*M195+N250*N195+O250*O195+P250*P195+Q250*Q195+R250*R195+S250*S195+T250*T195+U250*U195+V250*V195+W250*W195+X250*X195+Y250*Y195+Z250*Z195+AA250*AA195+AB250*AB195+AC250*AC195+AD250*AD195+AE250*AE195+AF250*AF195+AG250*AG195+AH250*AH195+AI250*AI195+AJ250*AJ195+AK250*AK195+AL250*AL195+AM250*AM195+AN250*AN195+AO250*AO195+AP250*AP195+AQ250*AQ195+AR250*AR195+AS250*AS195+AT250*AT195+AU250*AU195+AV250*AV195+AW250*AW195+AX250*AX195+AY250*AY195+AZ250*AZ195+BA250*BA195+BB250*BB195+BC250*BC195+BD250*BD195+BE250*BE195+BF250*BF195+BG250*BG195+BH250*BH195+BI250*BI195+BJ250*BJ195+BK250*BK195+BL250*BL195+BM250*BM195+BN250*BN195+BO250*BO195+BP250*BP195+BQ250*BQ195+BR250*BR195+BS250*BS195+BT250*BT195+BU250*BU195+BV250*BV195+BW250*BW195+BX250*BX195+BY250*BY195+BZ250*BZ195+CA250*CA195+CB250*CB195+CC250*CC195+CD250*CD195+CE250*CE195+CF250*CF195+CG250*CG195+CH250*CH195+CI250*CI195+CJ250*CJ195+CK250*CK195+CL250*CL195+CM250*CM195+CN250*CN195</f>
        <v>0</v>
      </c>
      <c r="CT195" s="2652">
        <f>E251*E195+F251*F195+G251*G195+H251*H195+I251*I195+J251*J195+K251*K195+L251*L195+M251*M195+N251*N195+O251*O195+P251*P195+Q251*Q195+R251*R195+S251*S195+T251*T195+U251*U195+V251*V195+W251*W195+X251*X195+Y251*Y195+Z251*Z195+AA251*AA195+AB251*AB195+AC251*AC195+AD251*AD195+AE251*AE195+AF251*AF195+AG251*AG195+AH251*AH195+AI251*AI195+AJ251*AJ195+AK251*AK195+AL251*AL195+AM251*AM195+AN251*AN195+AO251*AO195+AP251*AP195+AQ251*AQ195+AR251*AR195+AS251*AS195+AT251*AT195+AU251*AU195+AV251*AV195+AW251*AW195+AX251*AX195+AY251*AY195+AZ251*AZ195+BA251*BA195+BB251*BB195+BC251*BC195+BD251*BD195+BE251*BE195+BF251*BF195+BG251*BG195+BH251*BH195+BI251*BI195+BJ251*BJ195+BK251*BK195+BL251*BL195+BM251*BM195+BN251*BN195+BO251*BO195+BP251*BP195+BQ251*BQ195+BR251*BR195+BS251*BS195+BT251*BT195+BU251*BU195+BV251*BV195+BW251*BW195+BX251*BX195+BY251*BY195+BZ251*BZ195+CA251*CA195+CB251*CB195+CC251*CC195+CD251*CD195+CE251*CE195+CF251*CF195+CG251*CG195+CH251*CH195+CI251*CI195+CJ251*CJ195+CK251*CK195+CL251*CL195+CM251*CM195+CN251*CN195</f>
        <v>0</v>
      </c>
      <c r="CU195" s="2652">
        <f>E252*E195+F252*F195+G252*G195+H252*H195+I252*I195+J252*J195+K252*K195+L252*L195+M252*M195+N252*N195+O252*O195+P252*P195+Q252*Q195+R252*R195+S252*S195+T252*T195+U252*U195+V252*V195+W252*W195+X252*X195+Y252*Y195+Z252*Z195+AA252*AA195+AB252*AB195+AC252*AC195+AD252*AD195+AE252*AE195+AF252*AF195+AG252*AG195+AH252*AH195+AI252*AI195+AJ252*AJ195+AK252*AK195+AL252*AL195+AM252*AM195+AN252*AN195+AO252*AO195+AP252*AP195+AQ252*AQ195+AR252*AR195+AS252*AS195+AT252*AT195+AU252*AU195+AV252*AV195+AW252*AW195+AX252*AX195+AY252*AY195+AZ252*AZ195+BA252*BA195+BB252*BB195+BC252*BC195+BD252*BD195+BE252*BE195+BF252*BF195+BG252*BG195+BH252*BH195+BI252*BI195+BJ252*BJ195+BK252*BK195+BL252*BL195+BM252*BM195+BN252*BN195+BO252*BO195+BP252*BP195+BQ252*BQ195+BR252*BR195+BS252*BS195+BT252*BT195+BU252*BU195+BV252*BV195+BW252*BW195+BX252*BX195+BY252*BY195+BZ252*BZ195+CA252*CA195+CB252*CB195+CC252*CC195+CD252*CD195+CE252*CE195+CF252*CF195+CG252*CG195+CH252*CH195+CI252*CI195+CJ252*CJ195+CK252*CK195+CL252*CL195+CM252*CM195+CN252*CN195</f>
        <v>0</v>
      </c>
      <c r="CV195" s="2652">
        <f>E253*E195+F253*F195+G253*G195+H253*H195+I253*I195+J253*J195+K253*K195+L253*L195+M253*M195+N253*N195+O253*O195+P253*P195+Q253*Q195+R253*R195+S253*S195+T253*T195+U253*U195+V253*V195+W253*W195+X253*X195+Y253*Y195+Z253*Z195+AA253*AA195+AB253*AB195+AC253*AC195+AD253*AD195+AE253*AE195+AF253*AF195+AG253*AG195+AH253*AH195+AI253*AI195+AJ253*AJ195+AK253*AK195+AL253*AL195+AM253*AM195+AN253*AN195+AO253*AO195+AP253*AP195+AQ253*AQ195+AR253*AR195+AS253*AS195+AT253*AT195+AU253*AU195+AV253*AV195+AW253*AW195+AX253*AX195+AY253*AY195+AZ253*AZ195+BA253*BA195+BB253*BB195+BC253*BC195+BD253*BD195+BE253*BE195+BF253*BF195+BG253*BG195+BH253*BH195+BI253*BI195+BJ253*BJ195+BK253*BK195+BL253*BL195+BM253*BM195+BN253*BN195+BO253*BO195+BP253*BP195+BQ253*BQ195+BR253*BR195+BS253*BS195+BT253*BT195+BU253*BU195+BV253*BV195+BW253*BW195+BX253*BX195+BY253*BY195+BZ253*BZ195+CA253*CA195+CB253*CB195+CC253*CC195+CD253*CD195+CE253*CE195+CF253*CF195+CG253*CG195+CH253*CH195+CI253*CI195+CJ253*CJ195+CK253*CK195+CL253*CL195+CM253*CM195+CN253*CN195</f>
        <v>0</v>
      </c>
      <c r="CW195" s="2652">
        <f>E254*E195+F254*F195+G254*G195+H254*H195+I254*I195+J254*J195+K254*K195+L254*L195+M254*M195+N254*N195+O254*O195+P254*P195+Q254*Q195+R254*R195+S254*S195+T254*T195+U254*U195+V254*V195+W254*W195+X254*X195+Y254*Y195+Z254*Z195+AA254*AA195+AB254*AB195+AC254*AC195+AD254*AD195+AE254*AE195+AF254*AF195+AG254*AG195+AH254*AH195+AI254*AI195+AJ254*AJ195+AK254*AK195+AL254*AL195+AM254*AM195+AN254*AN195+AO254*AO195+AP254*AP195+AQ254*AQ195+AR254*AR195+AS254*AS195+AT254*AT195+AU254*AU195+AV254*AV195+AW254*AW195+AX254*AX195+AY254*AY195+AZ254*AZ195+BA254*BA195+BB254*BB195+BC254*BC195+BD254*BD195+BE254*BE195+BF254*BF195+BG254*BG195+BH254*BH195+BI254*BI195+BJ254*BJ195+BK254*BK195+BL254*BL195+BM254*BM195+BN254*BN195+BO254*BO195+BP254*BP195+BQ254*BQ195+BR254*BR195+BS254*BS195+BT254*BT195+BU254*BU195+BV254*BV195+BW254*BW195+BX254*BX195+BY254*BY195+BZ254*BZ195+CA254*CA195+CB254*CB195+CC254*CC195+CD254*CD195+CE254*CE195+CF254*CF195+CG254*CG195+CH254*CH195+CI254*CI195+CJ254*CJ195+CK254*CK195+CL254*CL195+CM254*CM195+CN254*CN195</f>
        <v>0</v>
      </c>
      <c r="CX195" s="2652">
        <f>E255*E195+F255*F195+G255*G195+H255*H195+I255*I195+J255*J195+K255*K195+L255*L195+M255*M195+N255*N195+O255*O195+P255*P195+Q255*Q195+R255*R195+S255*S195+T255*T195+U255*U195+V255*V195+W255*W195+X255*X195+Y255*Y195+Z255*Z195+AA255*AA195+AB255*AB195+AC255*AC195+AD255*AD195+AE255*AE195+AF255*AF195+AG255*AG195+AH255*AH195+AI255*AI195+AJ255*AJ195+AK255*AK195+AL255*AL195+AM255*AM195+AN255*AN195+AO255*AO195+AP255*AP195+AQ255*AQ195+AR255*AR195+AS255*AS195+AT255*AT195+AU255*AU195+AV255*AV195+AW255*AW195+AX255*AX195+AY255*AY195+AZ255*AZ195+BA255*BA195+BB255*BB195+BC255*BC195+BD255*BD195+BE255*BE195+BF255*BF195+BG255*BG195+BH255*BH195+BI255*BI195+BJ255*BJ195+BK255*BK195+BL255*BL195+BM255*BM195+BN255*BN195+BO255*BO195+BP255*BP195+BQ255*BQ195+BR255*BR195+BS255*BS195+BT255*BT195+BU255*BU195+BV255*BV195+BW255*BW195+BX255*BX195+BY255*BY195+BZ255*BZ195+CA255*CA195+CB255*CB195+CC255*CC195+CD255*CD195+CE255*CE195+CF255*CF195+CG255*CG195+CH255*CH195+CI255*CI195+CJ255*CJ195+CK255*CK195+CL255*CL195+CM255*CM195+CN255*CN195</f>
        <v>0</v>
      </c>
      <c r="CY195" s="2652">
        <f>E256*E195+F256*F195+G256*G195+H256*H195+I256*I195+J256*J195+K256*K195+L256*L195+M256*M195+N256*N195+O256*O195+P256*P195+Q256*Q195+R256*R195+S256*S195+T256*T195+U256*U195+V256*V195+W256*W195+X256*X195+Y256*Y195+Z256*Z195+AA256*AA195+AB256*AB195+AC256*AC195+AD256*AD195+AE256*AE195+AF256*AF195+AG256*AG195+AH256*AH195+AI256*AI195+AJ256*AJ195+AK256*AK195+AL256*AL195+AM256*AM195+AN256*AN195+AO256*AO195+AP256*AP195+AQ256*AQ195+AR256*AR195+AS256*AS195+AT256*AT195+AU256*AU195+AV256*AV195+AW256*AW195+AX256*AX195+AY256*AY195+AZ256*AZ195+BA256*BA195+BB256*BB195+BC256*BC195+BD256*BD195+BE256*BE195+BF256*BF195+BG256*BG195+BH256*BH195+BI256*BI195+BJ256*BJ195+BK256*BK195+BL256*BL195+BM256*BM195+BN256*BN195+BO256*BO195+BP256*BP195+BQ256*BQ195+BR256*BR195+BS256*BS195+BT256*BT195+BU256*BU195+BV256*BV195+BW256*BW195+BX256*BX195+BY256*BY195+BZ256*BZ195+CA256*CA195+CB256*CB195+CC256*CC195+CD256*CD195+CE256*CE195+CF256*CF195+CG256*CG195+CH256*CH195+CI256*CI195+CJ256*CJ195+CK256*CK195+CL256*CL195+CM256*CM195+CN256*CN195</f>
        <v>0</v>
      </c>
      <c r="CZ195" s="2652">
        <f>E257*E195+F257*F195+G257*G195+H257*H195+I257*I195+J257*J195+K257*K195+L257*L195+M257*M195+N257*N195+O257*O195+P257*P195+Q257*Q195+R257*R195+S257*S195+T257*T195+U257*U195+V257*V195+W257*W195+X257*X195+Y257*Y195+Z257*Z195+AA257*AA195+AB257*AB195+AC257*AC195+AD257*AD195+AE257*AE195+AF257*AF195+AG257*AG195+AH257*AH195+AI257*AI195+AJ257*AJ195+AK257*AK195+AL257*AL195+AM257*AM195+AN257*AN195+AO257*AO195+AP257*AP195+AQ257*AQ195+AR257*AR195+AS257*AS195+AT257*AT195+AU257*AU195+AV257*AV195+AW257*AW195+AX257*AX195+AY257*AY195+AZ257*AZ195+BA257*BA195+BB257*BB195+BC257*BC195+BD257*BD195+BE257*BE195+BF257*BF195+BG257*BG195+BH257*BH195+BI257*BI195+BJ257*BJ195+BK257*BK195+BL257*BL195+BM257*BM195+BN257*BN195+BO257*BO195+BP257*BP195+BQ257*BQ195+BR257*BR195+BS257*BS195+BT257*BT195+BU257*BU195+BV257*BV195+BW257*BW195+BX257*BX195+BY257*BY195+BZ257*BZ195+CA257*CA195+CB257*CB195+CC257*CC195+CD257*CD195+CE257*CE195+CF257*CF195+CG257*CG195+CH257*CH195+CI257*CI195+CJ257*CJ195+CK257*CK195+CL257*CL195+CM257*CM195+CN257*CN195</f>
        <v>0</v>
      </c>
      <c r="DA195" s="2652">
        <f>E258*E195+F258*F195+G258*G195+H258*H195+I258*I195+J258*J195+K258*K195+L258*L195+M258*M195+N258*N195+O258*O195+P258*P195+Q258*Q195+R258*R195+S258*S195+T258*T195+U258*U195+V258*V195+W258*W195+X258*X195+Y258*Y195+Z258*Z195+AA258*AA195+AB258*AB195+AC258*AC195+AD258*AD195+AE258*AE195+AF258*AF195+AG258*AG195+AH258*AH195+AI258*AI195+AJ258*AJ195+AK258*AK195+AL258*AL195+AM258*AM195+AN258*AN195+AO258*AO195+AP258*AP195+AQ258*AQ195+AR258*AR195+AS258*AS195+AT258*AT195+AU258*AU195+AV258*AV195+AW258*AW195+AX258*AX195+AY258*AY195+AZ258*AZ195+BA258*BA195+BB258*BB195+BC258*BC195+BD258*BD195+BE258*BE195+BF258*BF195+BG258*BG195+BH258*BH195+BI258*BI195+BJ258*BJ195+BK258*BK195+BL258*BL195+BM258*BM195+BN258*BN195+BO258*BO195+BP258*BP195+BQ258*BQ195+BR258*BR195+BS258*BS195+BT258*BT195+BU258*BU195+BV258*BV195+BW258*BW195+BX258*BX195+BY258*BY195+BZ258*BZ195+CA258*CA195+CB258*CB195+CC258*CC195+CD258*CD195+CE258*CE195+CF258*CF195+CG258*CG195+CH258*CH195+CI258*CI195+CJ258*CJ195+CK258*CK195+CL258*CL195+CM258*CM195+CN258*CN195</f>
        <v>0</v>
      </c>
    </row>
    <row r="196" spans="2:105" ht="18" x14ac:dyDescent="0.25">
      <c r="B196" s="1089">
        <v>63</v>
      </c>
      <c r="C196" s="1079" t="s">
        <v>2385</v>
      </c>
      <c r="D196" s="837" t="s">
        <v>3562</v>
      </c>
      <c r="E196" s="2691">
        <f>0</f>
        <v>0</v>
      </c>
      <c r="F196" s="2691">
        <f>0</f>
        <v>0</v>
      </c>
      <c r="G196" s="2691">
        <f>0</f>
        <v>0</v>
      </c>
      <c r="H196" s="2691">
        <f>0</f>
        <v>0</v>
      </c>
      <c r="I196" s="2691">
        <f>-1</f>
        <v>-1</v>
      </c>
      <c r="J196" s="2691">
        <f>1</f>
        <v>1</v>
      </c>
      <c r="K196" s="2693">
        <f>0</f>
        <v>0</v>
      </c>
      <c r="L196" s="2691">
        <f>0</f>
        <v>0</v>
      </c>
      <c r="M196" s="2691">
        <f>0</f>
        <v>0</v>
      </c>
      <c r="N196" s="2691">
        <f>0</f>
        <v>0</v>
      </c>
      <c r="O196" s="2691">
        <f>0</f>
        <v>0</v>
      </c>
      <c r="P196" s="2691">
        <f>0</f>
        <v>0</v>
      </c>
      <c r="Q196" s="2691">
        <f>0</f>
        <v>0</v>
      </c>
      <c r="R196" s="2691">
        <f>0</f>
        <v>0</v>
      </c>
      <c r="S196" s="2691">
        <f>0</f>
        <v>0</v>
      </c>
      <c r="T196" s="2691">
        <f>0</f>
        <v>0</v>
      </c>
      <c r="U196" s="2691">
        <f>0</f>
        <v>0</v>
      </c>
      <c r="V196" s="2691">
        <f>0</f>
        <v>0</v>
      </c>
      <c r="W196" s="2691">
        <f>0</f>
        <v>0</v>
      </c>
      <c r="X196" s="2691">
        <f>0</f>
        <v>0</v>
      </c>
      <c r="Y196" s="2691">
        <f>0</f>
        <v>0</v>
      </c>
      <c r="Z196" s="2691">
        <f>0</f>
        <v>0</v>
      </c>
      <c r="AA196" s="2691">
        <f>0</f>
        <v>0</v>
      </c>
      <c r="AB196" s="2691">
        <f>0</f>
        <v>0</v>
      </c>
      <c r="AC196" s="2693">
        <f>0</f>
        <v>0</v>
      </c>
      <c r="AD196" s="2691">
        <f>0</f>
        <v>0</v>
      </c>
      <c r="AE196" s="2691">
        <f>0</f>
        <v>0</v>
      </c>
      <c r="AF196" s="2691">
        <f>0</f>
        <v>0</v>
      </c>
      <c r="AG196" s="2691">
        <f>0</f>
        <v>0</v>
      </c>
      <c r="AH196" s="2691">
        <f>0</f>
        <v>0</v>
      </c>
      <c r="AI196" s="2691">
        <f>i_N_CB</f>
        <v>0.01</v>
      </c>
      <c r="AJ196" s="2693">
        <f>0</f>
        <v>0</v>
      </c>
      <c r="AK196" s="2691">
        <f>0</f>
        <v>0</v>
      </c>
      <c r="AL196" s="2691">
        <f>0</f>
        <v>0</v>
      </c>
      <c r="AM196" s="2691">
        <f>0</f>
        <v>0</v>
      </c>
      <c r="AN196" s="2691">
        <f>0</f>
        <v>0</v>
      </c>
      <c r="AO196" s="2691">
        <f>i_P_CB</f>
        <v>2E-3</v>
      </c>
      <c r="AP196" s="2693">
        <f>0</f>
        <v>0</v>
      </c>
      <c r="AQ196" s="2691">
        <f>0</f>
        <v>0</v>
      </c>
      <c r="AR196" s="2691">
        <f>0</f>
        <v>0</v>
      </c>
      <c r="AS196" s="2691">
        <f>0</f>
        <v>0</v>
      </c>
      <c r="AT196" s="2691">
        <f>0</f>
        <v>0</v>
      </c>
      <c r="AU196" s="2691">
        <f>0</f>
        <v>0</v>
      </c>
      <c r="AV196" s="2691">
        <f>0</f>
        <v>0</v>
      </c>
      <c r="AW196" s="2691">
        <f>0</f>
        <v>0</v>
      </c>
      <c r="AX196" s="2691">
        <f>0</f>
        <v>0</v>
      </c>
      <c r="AY196" s="2691">
        <f>0</f>
        <v>0</v>
      </c>
      <c r="AZ196" s="2691">
        <f>0</f>
        <v>0</v>
      </c>
      <c r="BA196" s="2691">
        <f>0</f>
        <v>0</v>
      </c>
      <c r="BB196" s="2691">
        <f>0</f>
        <v>0</v>
      </c>
      <c r="BC196" s="2691">
        <f>0</f>
        <v>0</v>
      </c>
      <c r="BD196" s="2691">
        <f>0</f>
        <v>0</v>
      </c>
      <c r="BE196" s="2691">
        <f>0</f>
        <v>0</v>
      </c>
      <c r="BF196" s="2691">
        <f>0</f>
        <v>0</v>
      </c>
      <c r="BG196" s="2691">
        <f>0</f>
        <v>0</v>
      </c>
      <c r="BH196" s="2691">
        <f>0</f>
        <v>0</v>
      </c>
      <c r="BI196" s="2691">
        <f>0</f>
        <v>0</v>
      </c>
      <c r="BJ196" s="2698">
        <f>0</f>
        <v>0</v>
      </c>
      <c r="BK196" s="2698">
        <f>0</f>
        <v>0</v>
      </c>
      <c r="BL196" s="2698">
        <f>0</f>
        <v>0</v>
      </c>
      <c r="BM196" s="2698">
        <f>0</f>
        <v>0</v>
      </c>
      <c r="BN196" s="2698">
        <f>0</f>
        <v>0</v>
      </c>
      <c r="BO196" s="2698">
        <f>0</f>
        <v>0</v>
      </c>
      <c r="BP196" s="2698">
        <f>0</f>
        <v>0</v>
      </c>
      <c r="BQ196" s="2691">
        <f>0</f>
        <v>0</v>
      </c>
      <c r="BR196" s="2691">
        <f>0</f>
        <v>0</v>
      </c>
      <c r="BS196" s="2698">
        <f>0</f>
        <v>0</v>
      </c>
      <c r="BT196" s="2691">
        <f>0</f>
        <v>0</v>
      </c>
      <c r="BU196" s="2691">
        <f>0</f>
        <v>0</v>
      </c>
      <c r="BV196" s="2693">
        <f>0</f>
        <v>0</v>
      </c>
      <c r="BW196" s="2693">
        <f>0</f>
        <v>0</v>
      </c>
      <c r="BX196" s="2693">
        <f>0</f>
        <v>0</v>
      </c>
      <c r="BY196" s="2693">
        <f>0</f>
        <v>0</v>
      </c>
      <c r="BZ196" s="2691">
        <f>0</f>
        <v>0</v>
      </c>
      <c r="CA196" s="2691">
        <f>0</f>
        <v>0</v>
      </c>
      <c r="CB196" s="2807">
        <f>0</f>
        <v>0</v>
      </c>
      <c r="CC196" s="2691">
        <f>0</f>
        <v>0</v>
      </c>
      <c r="CD196" s="2691">
        <f>0</f>
        <v>0</v>
      </c>
      <c r="CE196" s="2691">
        <f>0</f>
        <v>0</v>
      </c>
      <c r="CF196" s="2691">
        <f>0</f>
        <v>0</v>
      </c>
      <c r="CG196" s="2691">
        <f>0</f>
        <v>0</v>
      </c>
      <c r="CH196" s="2691">
        <f>0</f>
        <v>0</v>
      </c>
      <c r="CI196" s="2691">
        <f>0</f>
        <v>0</v>
      </c>
      <c r="CJ196" s="2691">
        <f>0</f>
        <v>0</v>
      </c>
      <c r="CK196" s="2691">
        <f>0</f>
        <v>0</v>
      </c>
      <c r="CL196" s="2691">
        <f>0</f>
        <v>0</v>
      </c>
      <c r="CM196" s="2691">
        <f>0</f>
        <v>0</v>
      </c>
      <c r="CN196" s="2691">
        <f>0</f>
        <v>0</v>
      </c>
      <c r="CO196" s="2838">
        <f>r_ateFLOC_CB_polymer</f>
        <v>0</v>
      </c>
      <c r="CQ196" s="2650">
        <f>E248*E196+F248*F196+G248*G196+H248*H196+I248*I196+J248*J196+K248*K196+L248*L196+M248*M196+N248*N196+O248*O196+P248*P196+Q248*Q196+R248*R196+S248*S196+T248*T196+U248*U196+V248*V196+W248*W196+X248*X196+Y248*Y196+Z248*Z196+AA248*AA196+AB248*AB196+AC248*AC196+AD248*AD196+AE248*AE196+AF248*AF196+AG248*AG196+AH248*AH196+AI248*AI196+AJ248*AJ196+AK248*AK196+AL248*AL196+AM248*AM196+AN248*AN196+AO248*AO196+AP248*AP196+AQ248*AQ196+AR248*AR196+AS248*AS196+AT248*AT196+AU248*AU196+AV248*AV196+AW248*AW196+AX248*AX196+AY248*AY196+AZ248*AZ196+BA248*BA196+BB248*BB196+BC248*BC196+BD248*BD196+BE248*BE196+BF248*BF196+BG248*BG196+BH248*BH196+BI248*BI196+BJ248*BJ196+BK248*BK196+BL248*BL196+BM248*BM196+BN248*BN196+BO248*BO196+BP248*BP196+BQ248*BQ196+BR248*BR196+BS248*BS196+BT248*BT196+BU248*BU196+BV248*BV196+BW248*BW196+BX248*BX196+BY248*BY196+BZ248*BZ196+CA248*CA196+CB248*CB196+CC248*CC196+CD248*CD196+CE248*CE196+CF248*CF196+CG248*CG196+CH248*CH196+CI248*CI196+CJ248*CJ196+CK248*CK196+CL248*CL196+CM248*CM196+CN248*CN196</f>
        <v>0</v>
      </c>
      <c r="CR196" s="2650">
        <f>E249*E196+F249*F196+G249*G196+H249*H196+I249*I196+J249*J196+K249*K196+L249*L196+M249*M196+N249*N196+O249*O196+P249*P196+Q249*Q196+R249*R196+S249*S196+T249*T196+U249*U196+V249*V196+W249*W196+X249*X196+Y249*Y196+Z249*Z196+AA249*AA196+AB249*AB196+AC249*AC196+AD249*AD196+AE249*AE196+AF249*AF196+AG249*AG196+AH249*AH196+AI249*AI196+AJ249*AJ196+AK249*AK196+AL249*AL196+AM249*AM196+AN249*AN196+AO249*AO196+AP249*AP196+AQ249*AQ196+AR249*AR196+AS249*AS196+AT249*AT196+AU249*AU196+AV249*AV196+AW249*AW196+AX249*AX196+AY249*AY196+AZ249*AZ196+BA249*BA196+BB249*BB196+BC249*BC196+BD249*BD196+BE249*BE196+BF249*BF196+BG249*BG196+BH249*BH196+BI249*BI196+BJ249*BJ196+BK249*BK196+BL249*BL196+BM249*BM196+BN249*BN196+BO249*BO196+BP249*BP196+BQ249*BQ196+BR249*BR196+BS249*BS196+BT249*BT196+BU249*BU196+BV249*BV196+BW249*BW196+BX249*BX196+BY249*BY196+BZ249*BZ196+CA249*CA196+CB249*CB196+CC249*CC196+CD249*CD196+CE249*CE196+CF249*CF196+CG249*CG196+CH249*CH196+CI249*CI196+CJ249*CJ196+CK249*CK196+CL249*CL196+CM249*CM196+CN249*CN196</f>
        <v>0</v>
      </c>
      <c r="CS196" s="2651">
        <f>E250*E196+F250*F196+G250*G196+H250*H196+I250*I196+J250*J196+K250*K196+L250*L196+M250*M196+N250*N196+O250*O196+P250*P196+Q250*Q196+R250*R196+S250*S196+T250*T196+U250*U196+V250*V196+W250*W196+X250*X196+Y250*Y196+Z250*Z196+AA250*AA196+AB250*AB196+AC250*AC196+AD250*AD196+AE250*AE196+AF250*AF196+AG250*AG196+AH250*AH196+AI250*AI196+AJ250*AJ196+AK250*AK196+AL250*AL196+AM250*AM196+AN250*AN196+AO250*AO196+AP250*AP196+AQ250*AQ196+AR250*AR196+AS250*AS196+AT250*AT196+AU250*AU196+AV250*AV196+AW250*AW196+AX250*AX196+AY250*AY196+AZ250*AZ196+BA250*BA196+BB250*BB196+BC250*BC196+BD250*BD196+BE250*BE196+BF250*BF196+BG250*BG196+BH250*BH196+BI250*BI196+BJ250*BJ196+BK250*BK196+BL250*BL196+BM250*BM196+BN250*BN196+BO250*BO196+BP250*BP196+BQ250*BQ196+BR250*BR196+BS250*BS196+BT250*BT196+BU250*BU196+BV250*BV196+BW250*BW196+BX250*BX196+BY250*BY196+BZ250*BZ196+CA250*CA196+CB250*CB196+CC250*CC196+CD250*CD196+CE250*CE196+CF250*CF196+CG250*CG196+CH250*CH196+CI250*CI196+CJ250*CJ196+CK250*CK196+CL250*CL196+CM250*CM196+CN250*CN196</f>
        <v>0</v>
      </c>
      <c r="CT196" s="2652">
        <f>E251*E196+F251*F196+G251*G196+H251*H196+I251*I196+J251*J196+K251*K196+L251*L196+M251*M196+N251*N196+O251*O196+P251*P196+Q251*Q196+R251*R196+S251*S196+T251*T196+U251*U196+V251*V196+W251*W196+X251*X196+Y251*Y196+Z251*Z196+AA251*AA196+AB251*AB196+AC251*AC196+AD251*AD196+AE251*AE196+AF251*AF196+AG251*AG196+AH251*AH196+AI251*AI196+AJ251*AJ196+AK251*AK196+AL251*AL196+AM251*AM196+AN251*AN196+AO251*AO196+AP251*AP196+AQ251*AQ196+AR251*AR196+AS251*AS196+AT251*AT196+AU251*AU196+AV251*AV196+AW251*AW196+AX251*AX196+AY251*AY196+AZ251*AZ196+BA251*BA196+BB251*BB196+BC251*BC196+BD251*BD196+BE251*BE196+BF251*BF196+BG251*BG196+BH251*BH196+BI251*BI196+BJ251*BJ196+BK251*BK196+BL251*BL196+BM251*BM196+BN251*BN196+BO251*BO196+BP251*BP196+BQ251*BQ196+BR251*BR196+BS251*BS196+BT251*BT196+BU251*BU196+BV251*BV196+BW251*BW196+BX251*BX196+BY251*BY196+BZ251*BZ196+CA251*CA196+CB251*CB196+CC251*CC196+CD251*CD196+CE251*CE196+CF251*CF196+CG251*CG196+CH251*CH196+CI251*CI196+CJ251*CJ196+CK251*CK196+CL251*CL196+CM251*CM196+CN251*CN196</f>
        <v>0</v>
      </c>
      <c r="CU196" s="2652">
        <f>E252*E196+F252*F196+G252*G196+H252*H196+I252*I196+J252*J196+K252*K196+L252*L196+M252*M196+N252*N196+O252*O196+P252*P196+Q252*Q196+R252*R196+S252*S196+T252*T196+U252*U196+V252*V196+W252*W196+X252*X196+Y252*Y196+Z252*Z196+AA252*AA196+AB252*AB196+AC252*AC196+AD252*AD196+AE252*AE196+AF252*AF196+AG252*AG196+AH252*AH196+AI252*AI196+AJ252*AJ196+AK252*AK196+AL252*AL196+AM252*AM196+AN252*AN196+AO252*AO196+AP252*AP196+AQ252*AQ196+AR252*AR196+AS252*AS196+AT252*AT196+AU252*AU196+AV252*AV196+AW252*AW196+AX252*AX196+AY252*AY196+AZ252*AZ196+BA252*BA196+BB252*BB196+BC252*BC196+BD252*BD196+BE252*BE196+BF252*BF196+BG252*BG196+BH252*BH196+BI252*BI196+BJ252*BJ196+BK252*BK196+BL252*BL196+BM252*BM196+BN252*BN196+BO252*BO196+BP252*BP196+BQ252*BQ196+BR252*BR196+BS252*BS196+BT252*BT196+BU252*BU196+BV252*BV196+BW252*BW196+BX252*BX196+BY252*BY196+BZ252*BZ196+CA252*CA196+CB252*CB196+CC252*CC196+CD252*CD196+CE252*CE196+CF252*CF196+CG252*CG196+CH252*CH196+CI252*CI196+CJ252*CJ196+CK252*CK196+CL252*CL196+CM252*CM196+CN252*CN196</f>
        <v>0</v>
      </c>
      <c r="CV196" s="2652">
        <f>E253*E196+F253*F196+G253*G196+H253*H196+I253*I196+J253*J196+K253*K196+L253*L196+M253*M196+N253*N196+O253*O196+P253*P196+Q253*Q196+R253*R196+S253*S196+T253*T196+U253*U196+V253*V196+W253*W196+X253*X196+Y253*Y196+Z253*Z196+AA253*AA196+AB253*AB196+AC253*AC196+AD253*AD196+AE253*AE196+AF253*AF196+AG253*AG196+AH253*AH196+AI253*AI196+AJ253*AJ196+AK253*AK196+AL253*AL196+AM253*AM196+AN253*AN196+AO253*AO196+AP253*AP196+AQ253*AQ196+AR253*AR196+AS253*AS196+AT253*AT196+AU253*AU196+AV253*AV196+AW253*AW196+AX253*AX196+AY253*AY196+AZ253*AZ196+BA253*BA196+BB253*BB196+BC253*BC196+BD253*BD196+BE253*BE196+BF253*BF196+BG253*BG196+BH253*BH196+BI253*BI196+BJ253*BJ196+BK253*BK196+BL253*BL196+BM253*BM196+BN253*BN196+BO253*BO196+BP253*BP196+BQ253*BQ196+BR253*BR196+BS253*BS196+BT253*BT196+BU253*BU196+BV253*BV196+BW253*BW196+BX253*BX196+BY253*BY196+BZ253*BZ196+CA253*CA196+CB253*CB196+CC253*CC196+CD253*CD196+CE253*CE196+CF253*CF196+CG253*CG196+CH253*CH196+CI253*CI196+CJ253*CJ196+CK253*CK196+CL253*CL196+CM253*CM196+CN253*CN196</f>
        <v>0</v>
      </c>
      <c r="CW196" s="2652">
        <f>E254*E196+F254*F196+G254*G196+H254*H196+I254*I196+J254*J196+K254*K196+L254*L196+M254*M196+N254*N196+O254*O196+P254*P196+Q254*Q196+R254*R196+S254*S196+T254*T196+U254*U196+V254*V196+W254*W196+X254*X196+Y254*Y196+Z254*Z196+AA254*AA196+AB254*AB196+AC254*AC196+AD254*AD196+AE254*AE196+AF254*AF196+AG254*AG196+AH254*AH196+AI254*AI196+AJ254*AJ196+AK254*AK196+AL254*AL196+AM254*AM196+AN254*AN196+AO254*AO196+AP254*AP196+AQ254*AQ196+AR254*AR196+AS254*AS196+AT254*AT196+AU254*AU196+AV254*AV196+AW254*AW196+AX254*AX196+AY254*AY196+AZ254*AZ196+BA254*BA196+BB254*BB196+BC254*BC196+BD254*BD196+BE254*BE196+BF254*BF196+BG254*BG196+BH254*BH196+BI254*BI196+BJ254*BJ196+BK254*BK196+BL254*BL196+BM254*BM196+BN254*BN196+BO254*BO196+BP254*BP196+BQ254*BQ196+BR254*BR196+BS254*BS196+BT254*BT196+BU254*BU196+BV254*BV196+BW254*BW196+BX254*BX196+BY254*BY196+BZ254*BZ196+CA254*CA196+CB254*CB196+CC254*CC196+CD254*CD196+CE254*CE196+CF254*CF196+CG254*CG196+CH254*CH196+CI254*CI196+CJ254*CJ196+CK254*CK196+CL254*CL196+CM254*CM196+CN254*CN196</f>
        <v>0</v>
      </c>
      <c r="CX196" s="2652">
        <f>E255*E196+F255*F196+G255*G196+H255*H196+I255*I196+J255*J196+K255*K196+L255*L196+M255*M196+N255*N196+O255*O196+P255*P196+Q255*Q196+R255*R196+S255*S196+T255*T196+U255*U196+V255*V196+W255*W196+X255*X196+Y255*Y196+Z255*Z196+AA255*AA196+AB255*AB196+AC255*AC196+AD255*AD196+AE255*AE196+AF255*AF196+AG255*AG196+AH255*AH196+AI255*AI196+AJ255*AJ196+AK255*AK196+AL255*AL196+AM255*AM196+AN255*AN196+AO255*AO196+AP255*AP196+AQ255*AQ196+AR255*AR196+AS255*AS196+AT255*AT196+AU255*AU196+AV255*AV196+AW255*AW196+AX255*AX196+AY255*AY196+AZ255*AZ196+BA255*BA196+BB255*BB196+BC255*BC196+BD255*BD196+BE255*BE196+BF255*BF196+BG255*BG196+BH255*BH196+BI255*BI196+BJ255*BJ196+BK255*BK196+BL255*BL196+BM255*BM196+BN255*BN196+BO255*BO196+BP255*BP196+BQ255*BQ196+BR255*BR196+BS255*BS196+BT255*BT196+BU255*BU196+BV255*BV196+BW255*BW196+BX255*BX196+BY255*BY196+BZ255*BZ196+CA255*CA196+CB255*CB196+CC255*CC196+CD255*CD196+CE255*CE196+CF255*CF196+CG255*CG196+CH255*CH196+CI255*CI196+CJ255*CJ196+CK255*CK196+CL255*CL196+CM255*CM196+CN255*CN196</f>
        <v>0</v>
      </c>
      <c r="CY196" s="2652">
        <f>E256*E196+F256*F196+G256*G196+H256*H196+I256*I196+J256*J196+K256*K196+L256*L196+M256*M196+N256*N196+O256*O196+P256*P196+Q256*Q196+R256*R196+S256*S196+T256*T196+U256*U196+V256*V196+W256*W196+X256*X196+Y256*Y196+Z256*Z196+AA256*AA196+AB256*AB196+AC256*AC196+AD256*AD196+AE256*AE196+AF256*AF196+AG256*AG196+AH256*AH196+AI256*AI196+AJ256*AJ196+AK256*AK196+AL256*AL196+AM256*AM196+AN256*AN196+AO256*AO196+AP256*AP196+AQ256*AQ196+AR256*AR196+AS256*AS196+AT256*AT196+AU256*AU196+AV256*AV196+AW256*AW196+AX256*AX196+AY256*AY196+AZ256*AZ196+BA256*BA196+BB256*BB196+BC256*BC196+BD256*BD196+BE256*BE196+BF256*BF196+BG256*BG196+BH256*BH196+BI256*BI196+BJ256*BJ196+BK256*BK196+BL256*BL196+BM256*BM196+BN256*BN196+BO256*BO196+BP256*BP196+BQ256*BQ196+BR256*BR196+BS256*BS196+BT256*BT196+BU256*BU196+BV256*BV196+BW256*BW196+BX256*BX196+BY256*BY196+BZ256*BZ196+CA256*CA196+CB256*CB196+CC256*CC196+CD256*CD196+CE256*CE196+CF256*CF196+CG256*CG196+CH256*CH196+CI256*CI196+CJ256*CJ196+CK256*CK196+CL256*CL196+CM256*CM196+CN256*CN196</f>
        <v>0</v>
      </c>
      <c r="CZ196" s="2652">
        <f>E257*E196+F257*F196+G257*G196+H257*H196+I257*I196+J257*J196+K257*K196+L257*L196+M257*M196+N257*N196+O257*O196+P257*P196+Q257*Q196+R257*R196+S257*S196+T257*T196+U257*U196+V257*V196+W257*W196+X257*X196+Y257*Y196+Z257*Z196+AA257*AA196+AB257*AB196+AC257*AC196+AD257*AD196+AE257*AE196+AF257*AF196+AG257*AG196+AH257*AH196+AI257*AI196+AJ257*AJ196+AK257*AK196+AL257*AL196+AM257*AM196+AN257*AN196+AO257*AO196+AP257*AP196+AQ257*AQ196+AR257*AR196+AS257*AS196+AT257*AT196+AU257*AU196+AV257*AV196+AW257*AW196+AX257*AX196+AY257*AY196+AZ257*AZ196+BA257*BA196+BB257*BB196+BC257*BC196+BD257*BD196+BE257*BE196+BF257*BF196+BG257*BG196+BH257*BH196+BI257*BI196+BJ257*BJ196+BK257*BK196+BL257*BL196+BM257*BM196+BN257*BN196+BO257*BO196+BP257*BP196+BQ257*BQ196+BR257*BR196+BS257*BS196+BT257*BT196+BU257*BU196+BV257*BV196+BW257*BW196+BX257*BX196+BY257*BY196+BZ257*BZ196+CA257*CA196+CB257*CB196+CC257*CC196+CD257*CD196+CE257*CE196+CF257*CF196+CG257*CG196+CH257*CH196+CI257*CI196+CJ257*CJ196+CK257*CK196+CL257*CL196+CM257*CM196+CN257*CN196</f>
        <v>0</v>
      </c>
      <c r="DA196" s="2652">
        <f>E258*E196+F258*F196+G258*G196+H258*H196+I258*I196+J258*J196+K258*K196+L258*L196+M258*M196+N258*N196+O258*O196+P258*P196+Q258*Q196+R258*R196+S258*S196+T258*T196+U258*U196+V258*V196+W258*W196+X258*X196+Y258*Y196+Z258*Z196+AA258*AA196+AB258*AB196+AC258*AC196+AD258*AD196+AE258*AE196+AF258*AF196+AG258*AG196+AH258*AH196+AI258*AI196+AJ258*AJ196+AK258*AK196+AL258*AL196+AM258*AM196+AN258*AN196+AO258*AO196+AP258*AP196+AQ258*AQ196+AR258*AR196+AS258*AS196+AT258*AT196+AU258*AU196+AV258*AV196+AW258*AW196+AX258*AX196+AY258*AY196+AZ258*AZ196+BA258*BA196+BB258*BB196+BC258*BC196+BD258*BD196+BE258*BE196+BF258*BF196+BG258*BG196+BH258*BH196+BI258*BI196+BJ258*BJ196+BK258*BK196+BL258*BL196+BM258*BM196+BN258*BN196+BO258*BO196+BP258*BP196+BQ258*BQ196+BR258*BR196+BS258*BS196+BT258*BT196+BU258*BU196+BV258*BV196+BW258*BW196+BX258*BX196+BY258*BY196+BZ258*BZ196+CA258*CA196+CB258*CB196+CC258*CC196+CD258*CD196+CE258*CE196+CF258*CF196+CG258*CG196+CH258*CH196+CI258*CI196+CJ258*CJ196+CK258*CK196+CL258*CL196+CM258*CM196+CN258*CN196</f>
        <v>0</v>
      </c>
    </row>
    <row r="197" spans="2:105" ht="18" x14ac:dyDescent="0.25">
      <c r="B197" s="1089">
        <v>64</v>
      </c>
      <c r="C197" s="1079" t="s">
        <v>2386</v>
      </c>
      <c r="D197" s="837" t="s">
        <v>3563</v>
      </c>
      <c r="E197" s="2691">
        <f>0</f>
        <v>0</v>
      </c>
      <c r="F197" s="2691">
        <f>0</f>
        <v>0</v>
      </c>
      <c r="G197" s="2691">
        <f>0</f>
        <v>0</v>
      </c>
      <c r="H197" s="2691">
        <f>0</f>
        <v>0</v>
      </c>
      <c r="I197" s="2691">
        <f>0</f>
        <v>0</v>
      </c>
      <c r="J197" s="2691">
        <f>0</f>
        <v>0</v>
      </c>
      <c r="K197" s="2693">
        <f>0</f>
        <v>0</v>
      </c>
      <c r="L197" s="2691">
        <f>0</f>
        <v>0</v>
      </c>
      <c r="M197" s="2691">
        <f>-1</f>
        <v>-1</v>
      </c>
      <c r="N197" s="2691">
        <f>1</f>
        <v>1</v>
      </c>
      <c r="O197" s="2691">
        <f>0</f>
        <v>0</v>
      </c>
      <c r="P197" s="2691">
        <f>0</f>
        <v>0</v>
      </c>
      <c r="Q197" s="2691">
        <f>0</f>
        <v>0</v>
      </c>
      <c r="R197" s="2691">
        <f>0</f>
        <v>0</v>
      </c>
      <c r="S197" s="2691">
        <f>0</f>
        <v>0</v>
      </c>
      <c r="T197" s="2691">
        <f>0</f>
        <v>0</v>
      </c>
      <c r="U197" s="2691">
        <f>0</f>
        <v>0</v>
      </c>
      <c r="V197" s="2691">
        <f>0</f>
        <v>0</v>
      </c>
      <c r="W197" s="2691">
        <f>0</f>
        <v>0</v>
      </c>
      <c r="X197" s="2691">
        <f>0</f>
        <v>0</v>
      </c>
      <c r="Y197" s="2691">
        <f>0</f>
        <v>0</v>
      </c>
      <c r="Z197" s="2691">
        <f>0</f>
        <v>0</v>
      </c>
      <c r="AA197" s="2691">
        <f>0</f>
        <v>0</v>
      </c>
      <c r="AB197" s="2691">
        <f>0</f>
        <v>0</v>
      </c>
      <c r="AC197" s="2693">
        <f>0</f>
        <v>0</v>
      </c>
      <c r="AD197" s="2691">
        <f>0</f>
        <v>0</v>
      </c>
      <c r="AE197" s="2691">
        <f>0</f>
        <v>0</v>
      </c>
      <c r="AF197" s="2691">
        <f>0</f>
        <v>0</v>
      </c>
      <c r="AG197" s="2691">
        <f>0</f>
        <v>0</v>
      </c>
      <c r="AH197" s="2691">
        <f>0</f>
        <v>0</v>
      </c>
      <c r="AI197" s="2691">
        <f>0</f>
        <v>0</v>
      </c>
      <c r="AJ197" s="2693">
        <f>0</f>
        <v>0</v>
      </c>
      <c r="AK197" s="2691">
        <f>i_N_CU</f>
        <v>0.01</v>
      </c>
      <c r="AL197" s="2691">
        <f>0</f>
        <v>0</v>
      </c>
      <c r="AM197" s="2691">
        <f>0</f>
        <v>0</v>
      </c>
      <c r="AN197" s="2691">
        <f>0</f>
        <v>0</v>
      </c>
      <c r="AO197" s="2691">
        <f>0</f>
        <v>0</v>
      </c>
      <c r="AP197" s="2693">
        <f>0</f>
        <v>0</v>
      </c>
      <c r="AQ197" s="2691">
        <f>i_P_CU</f>
        <v>2E-3</v>
      </c>
      <c r="AR197" s="2691">
        <f>0</f>
        <v>0</v>
      </c>
      <c r="AS197" s="2691">
        <f>0</f>
        <v>0</v>
      </c>
      <c r="AT197" s="2691">
        <f>0</f>
        <v>0</v>
      </c>
      <c r="AU197" s="2691">
        <f>0</f>
        <v>0</v>
      </c>
      <c r="AV197" s="2691">
        <f>0</f>
        <v>0</v>
      </c>
      <c r="AW197" s="2691">
        <f>0</f>
        <v>0</v>
      </c>
      <c r="AX197" s="2691">
        <f>0</f>
        <v>0</v>
      </c>
      <c r="AY197" s="2691">
        <f>0</f>
        <v>0</v>
      </c>
      <c r="AZ197" s="2691">
        <f>0</f>
        <v>0</v>
      </c>
      <c r="BA197" s="2691">
        <f>0</f>
        <v>0</v>
      </c>
      <c r="BB197" s="2691">
        <f>0</f>
        <v>0</v>
      </c>
      <c r="BC197" s="2691">
        <f>0</f>
        <v>0</v>
      </c>
      <c r="BD197" s="2691">
        <f>0</f>
        <v>0</v>
      </c>
      <c r="BE197" s="2691">
        <f>0</f>
        <v>0</v>
      </c>
      <c r="BF197" s="2691">
        <f>0</f>
        <v>0</v>
      </c>
      <c r="BG197" s="2691">
        <f>0</f>
        <v>0</v>
      </c>
      <c r="BH197" s="2691">
        <f>0</f>
        <v>0</v>
      </c>
      <c r="BI197" s="2691">
        <f>0</f>
        <v>0</v>
      </c>
      <c r="BJ197" s="2698">
        <f>0</f>
        <v>0</v>
      </c>
      <c r="BK197" s="2698">
        <f>0</f>
        <v>0</v>
      </c>
      <c r="BL197" s="2698">
        <f>0</f>
        <v>0</v>
      </c>
      <c r="BM197" s="2698">
        <f>0</f>
        <v>0</v>
      </c>
      <c r="BN197" s="2698">
        <f>0</f>
        <v>0</v>
      </c>
      <c r="BO197" s="2698">
        <f>0</f>
        <v>0</v>
      </c>
      <c r="BP197" s="2698">
        <f>0</f>
        <v>0</v>
      </c>
      <c r="BQ197" s="2691">
        <f>0</f>
        <v>0</v>
      </c>
      <c r="BR197" s="2691">
        <f>0</f>
        <v>0</v>
      </c>
      <c r="BS197" s="2698">
        <f>0</f>
        <v>0</v>
      </c>
      <c r="BT197" s="2691">
        <f>0</f>
        <v>0</v>
      </c>
      <c r="BU197" s="2691">
        <f>0</f>
        <v>0</v>
      </c>
      <c r="BV197" s="2693">
        <f>0</f>
        <v>0</v>
      </c>
      <c r="BW197" s="2693">
        <f>0</f>
        <v>0</v>
      </c>
      <c r="BX197" s="2693">
        <f>0</f>
        <v>0</v>
      </c>
      <c r="BY197" s="2693">
        <f>0</f>
        <v>0</v>
      </c>
      <c r="BZ197" s="2691">
        <f>0</f>
        <v>0</v>
      </c>
      <c r="CA197" s="2691">
        <f>0</f>
        <v>0</v>
      </c>
      <c r="CB197" s="2807">
        <f>0</f>
        <v>0</v>
      </c>
      <c r="CC197" s="2691">
        <f>0</f>
        <v>0</v>
      </c>
      <c r="CD197" s="2691">
        <f>0</f>
        <v>0</v>
      </c>
      <c r="CE197" s="2691">
        <f>0</f>
        <v>0</v>
      </c>
      <c r="CF197" s="2691">
        <f>0</f>
        <v>0</v>
      </c>
      <c r="CG197" s="2691">
        <f>0</f>
        <v>0</v>
      </c>
      <c r="CH197" s="2691">
        <f>0</f>
        <v>0</v>
      </c>
      <c r="CI197" s="2691">
        <f>0</f>
        <v>0</v>
      </c>
      <c r="CJ197" s="2691">
        <f>0</f>
        <v>0</v>
      </c>
      <c r="CK197" s="2691">
        <f>0</f>
        <v>0</v>
      </c>
      <c r="CL197" s="2691">
        <f>0</f>
        <v>0</v>
      </c>
      <c r="CM197" s="2691">
        <f>0</f>
        <v>0</v>
      </c>
      <c r="CN197" s="2691">
        <f>0</f>
        <v>0</v>
      </c>
      <c r="CO197" s="2838">
        <f>r_ateFLOC_CU_polymer</f>
        <v>0</v>
      </c>
      <c r="CQ197" s="2650">
        <f>E248*E197+F248*F197+G248*G197+H248*H197+I248*I197+J248*J197+K248*K197+L248*L197+M248*M197+N248*N197+O248*O197+P248*P197+Q248*Q197+R248*R197+S248*S197+T248*T197+U248*U197+V248*V197+W248*W197+X248*X197+Y248*Y197+Z248*Z197+AA248*AA197+AB248*AB197+AC248*AC197+AD248*AD197+AE248*AE197+AF248*AF197+AG248*AG197+AH248*AH197+AI248*AI197+AJ248*AJ197+AK248*AK197+AL248*AL197+AM248*AM197+AN248*AN197+AO248*AO197+AP248*AP197+AQ248*AQ197+AR248*AR197+AS248*AS197+AT248*AT197+AU248*AU197+AV248*AV197+AW248*AW197+AX248*AX197+AY248*AY197+AZ248*AZ197+BA248*BA197+BB248*BB197+BC248*BC197+BD248*BD197+BE248*BE197+BF248*BF197+BG248*BG197+BH248*BH197+BI248*BI197+BJ248*BJ197+BK248*BK197+BL248*BL197+BM248*BM197+BN248*BN197+BO248*BO197+BP248*BP197+BQ248*BQ197+BR248*BR197+BS248*BS197+BT248*BT197+BU248*BU197+BV248*BV197+BW248*BW197+BX248*BX197+BY248*BY197+BZ248*BZ197+CA248*CA197+CB248*CB197+CC248*CC197+CD248*CD197+CE248*CE197+CF248*CF197+CG248*CG197+CH248*CH197+CI248*CI197+CJ248*CJ197+CK248*CK197+CL248*CL197+CM248*CM197+CN248*CN197</f>
        <v>0</v>
      </c>
      <c r="CR197" s="2650">
        <f>E249*E197+F249*F197+G249*G197+H249*H197+I249*I197+J249*J197+K249*K197+L249*L197+M249*M197+N249*N197+O249*O197+P249*P197+Q249*Q197+R249*R197+S249*S197+T249*T197+U249*U197+V249*V197+W249*W197+X249*X197+Y249*Y197+Z249*Z197+AA249*AA197+AB249*AB197+AC249*AC197+AD249*AD197+AE249*AE197+AF249*AF197+AG249*AG197+AH249*AH197+AI249*AI197+AJ249*AJ197+AK249*AK197+AL249*AL197+AM249*AM197+AN249*AN197+AO249*AO197+AP249*AP197+AQ249*AQ197+AR249*AR197+AS249*AS197+AT249*AT197+AU249*AU197+AV249*AV197+AW249*AW197+AX249*AX197+AY249*AY197+AZ249*AZ197+BA249*BA197+BB249*BB197+BC249*BC197+BD249*BD197+BE249*BE197+BF249*BF197+BG249*BG197+BH249*BH197+BI249*BI197+BJ249*BJ197+BK249*BK197+BL249*BL197+BM249*BM197+BN249*BN197+BO249*BO197+BP249*BP197+BQ249*BQ197+BR249*BR197+BS249*BS197+BT249*BT197+BU249*BU197+BV249*BV197+BW249*BW197+BX249*BX197+BY249*BY197+BZ249*BZ197+CA249*CA197+CB249*CB197+CC249*CC197+CD249*CD197+CE249*CE197+CF249*CF197+CG249*CG197+CH249*CH197+CI249*CI197+CJ249*CJ197+CK249*CK197+CL249*CL197+CM249*CM197+CN249*CN197</f>
        <v>0</v>
      </c>
      <c r="CS197" s="2651">
        <f>E250*E197+F250*F197+G250*G197+H250*H197+I250*I197+J250*J197+K250*K197+L250*L197+M250*M197+N250*N197+O250*O197+P250*P197+Q250*Q197+R250*R197+S250*S197+T250*T197+U250*U197+V250*V197+W250*W197+X250*X197+Y250*Y197+Z250*Z197+AA250*AA197+AB250*AB197+AC250*AC197+AD250*AD197+AE250*AE197+AF250*AF197+AG250*AG197+AH250*AH197+AI250*AI197+AJ250*AJ197+AK250*AK197+AL250*AL197+AM250*AM197+AN250*AN197+AO250*AO197+AP250*AP197+AQ250*AQ197+AR250*AR197+AS250*AS197+AT250*AT197+AU250*AU197+AV250*AV197+AW250*AW197+AX250*AX197+AY250*AY197+AZ250*AZ197+BA250*BA197+BB250*BB197+BC250*BC197+BD250*BD197+BE250*BE197+BF250*BF197+BG250*BG197+BH250*BH197+BI250*BI197+BJ250*BJ197+BK250*BK197+BL250*BL197+BM250*BM197+BN250*BN197+BO250*BO197+BP250*BP197+BQ250*BQ197+BR250*BR197+BS250*BS197+BT250*BT197+BU250*BU197+BV250*BV197+BW250*BW197+BX250*BX197+BY250*BY197+BZ250*BZ197+CA250*CA197+CB250*CB197+CC250*CC197+CD250*CD197+CE250*CE197+CF250*CF197+CG250*CG197+CH250*CH197+CI250*CI197+CJ250*CJ197+CK250*CK197+CL250*CL197+CM250*CM197+CN250*CN197</f>
        <v>0</v>
      </c>
      <c r="CT197" s="2652">
        <f>E251*E197+F251*F197+G251*G197+H251*H197+I251*I197+J251*J197+K251*K197+L251*L197+M251*M197+N251*N197+O251*O197+P251*P197+Q251*Q197+R251*R197+S251*S197+T251*T197+U251*U197+V251*V197+W251*W197+X251*X197+Y251*Y197+Z251*Z197+AA251*AA197+AB251*AB197+AC251*AC197+AD251*AD197+AE251*AE197+AF251*AF197+AG251*AG197+AH251*AH197+AI251*AI197+AJ251*AJ197+AK251*AK197+AL251*AL197+AM251*AM197+AN251*AN197+AO251*AO197+AP251*AP197+AQ251*AQ197+AR251*AR197+AS251*AS197+AT251*AT197+AU251*AU197+AV251*AV197+AW251*AW197+AX251*AX197+AY251*AY197+AZ251*AZ197+BA251*BA197+BB251*BB197+BC251*BC197+BD251*BD197+BE251*BE197+BF251*BF197+BG251*BG197+BH251*BH197+BI251*BI197+BJ251*BJ197+BK251*BK197+BL251*BL197+BM251*BM197+BN251*BN197+BO251*BO197+BP251*BP197+BQ251*BQ197+BR251*BR197+BS251*BS197+BT251*BT197+BU251*BU197+BV251*BV197+BW251*BW197+BX251*BX197+BY251*BY197+BZ251*BZ197+CA251*CA197+CB251*CB197+CC251*CC197+CD251*CD197+CE251*CE197+CF251*CF197+CG251*CG197+CH251*CH197+CI251*CI197+CJ251*CJ197+CK251*CK197+CL251*CL197+CM251*CM197+CN251*CN197</f>
        <v>0</v>
      </c>
      <c r="CU197" s="2652">
        <f>E252*E197+F252*F197+G252*G197+H252*H197+I252*I197+J252*J197+K252*K197+L252*L197+M252*M197+N252*N197+O252*O197+P252*P197+Q252*Q197+R252*R197+S252*S197+T252*T197+U252*U197+V252*V197+W252*W197+X252*X197+Y252*Y197+Z252*Z197+AA252*AA197+AB252*AB197+AC252*AC197+AD252*AD197+AE252*AE197+AF252*AF197+AG252*AG197+AH252*AH197+AI252*AI197+AJ252*AJ197+AK252*AK197+AL252*AL197+AM252*AM197+AN252*AN197+AO252*AO197+AP252*AP197+AQ252*AQ197+AR252*AR197+AS252*AS197+AT252*AT197+AU252*AU197+AV252*AV197+AW252*AW197+AX252*AX197+AY252*AY197+AZ252*AZ197+BA252*BA197+BB252*BB197+BC252*BC197+BD252*BD197+BE252*BE197+BF252*BF197+BG252*BG197+BH252*BH197+BI252*BI197+BJ252*BJ197+BK252*BK197+BL252*BL197+BM252*BM197+BN252*BN197+BO252*BO197+BP252*BP197+BQ252*BQ197+BR252*BR197+BS252*BS197+BT252*BT197+BU252*BU197+BV252*BV197+BW252*BW197+BX252*BX197+BY252*BY197+BZ252*BZ197+CA252*CA197+CB252*CB197+CC252*CC197+CD252*CD197+CE252*CE197+CF252*CF197+CG252*CG197+CH252*CH197+CI252*CI197+CJ252*CJ197+CK252*CK197+CL252*CL197+CM252*CM197+CN252*CN197</f>
        <v>0</v>
      </c>
      <c r="CV197" s="2652">
        <f>E253*E197+F253*F197+G253*G197+H253*H197+I253*I197+J253*J197+K253*K197+L253*L197+M253*M197+N253*N197+O253*O197+P253*P197+Q253*Q197+R253*R197+S253*S197+T253*T197+U253*U197+V253*V197+W253*W197+X253*X197+Y253*Y197+Z253*Z197+AA253*AA197+AB253*AB197+AC253*AC197+AD253*AD197+AE253*AE197+AF253*AF197+AG253*AG197+AH253*AH197+AI253*AI197+AJ253*AJ197+AK253*AK197+AL253*AL197+AM253*AM197+AN253*AN197+AO253*AO197+AP253*AP197+AQ253*AQ197+AR253*AR197+AS253*AS197+AT253*AT197+AU253*AU197+AV253*AV197+AW253*AW197+AX253*AX197+AY253*AY197+AZ253*AZ197+BA253*BA197+BB253*BB197+BC253*BC197+BD253*BD197+BE253*BE197+BF253*BF197+BG253*BG197+BH253*BH197+BI253*BI197+BJ253*BJ197+BK253*BK197+BL253*BL197+BM253*BM197+BN253*BN197+BO253*BO197+BP253*BP197+BQ253*BQ197+BR253*BR197+BS253*BS197+BT253*BT197+BU253*BU197+BV253*BV197+BW253*BW197+BX253*BX197+BY253*BY197+BZ253*BZ197+CA253*CA197+CB253*CB197+CC253*CC197+CD253*CD197+CE253*CE197+CF253*CF197+CG253*CG197+CH253*CH197+CI253*CI197+CJ253*CJ197+CK253*CK197+CL253*CL197+CM253*CM197+CN253*CN197</f>
        <v>0</v>
      </c>
      <c r="CW197" s="2652">
        <f>E254*E197+F254*F197+G254*G197+H254*H197+I254*I197+J254*J197+K254*K197+L254*L197+M254*M197+N254*N197+O254*O197+P254*P197+Q254*Q197+R254*R197+S254*S197+T254*T197+U254*U197+V254*V197+W254*W197+X254*X197+Y254*Y197+Z254*Z197+AA254*AA197+AB254*AB197+AC254*AC197+AD254*AD197+AE254*AE197+AF254*AF197+AG254*AG197+AH254*AH197+AI254*AI197+AJ254*AJ197+AK254*AK197+AL254*AL197+AM254*AM197+AN254*AN197+AO254*AO197+AP254*AP197+AQ254*AQ197+AR254*AR197+AS254*AS197+AT254*AT197+AU254*AU197+AV254*AV197+AW254*AW197+AX254*AX197+AY254*AY197+AZ254*AZ197+BA254*BA197+BB254*BB197+BC254*BC197+BD254*BD197+BE254*BE197+BF254*BF197+BG254*BG197+BH254*BH197+BI254*BI197+BJ254*BJ197+BK254*BK197+BL254*BL197+BM254*BM197+BN254*BN197+BO254*BO197+BP254*BP197+BQ254*BQ197+BR254*BR197+BS254*BS197+BT254*BT197+BU254*BU197+BV254*BV197+BW254*BW197+BX254*BX197+BY254*BY197+BZ254*BZ197+CA254*CA197+CB254*CB197+CC254*CC197+CD254*CD197+CE254*CE197+CF254*CF197+CG254*CG197+CH254*CH197+CI254*CI197+CJ254*CJ197+CK254*CK197+CL254*CL197+CM254*CM197+CN254*CN197</f>
        <v>0</v>
      </c>
      <c r="CX197" s="2652">
        <f>E255*E197+F255*F197+G255*G197+H255*H197+I255*I197+J255*J197+K255*K197+L255*L197+M255*M197+N255*N197+O255*O197+P255*P197+Q255*Q197+R255*R197+S255*S197+T255*T197+U255*U197+V255*V197+W255*W197+X255*X197+Y255*Y197+Z255*Z197+AA255*AA197+AB255*AB197+AC255*AC197+AD255*AD197+AE255*AE197+AF255*AF197+AG255*AG197+AH255*AH197+AI255*AI197+AJ255*AJ197+AK255*AK197+AL255*AL197+AM255*AM197+AN255*AN197+AO255*AO197+AP255*AP197+AQ255*AQ197+AR255*AR197+AS255*AS197+AT255*AT197+AU255*AU197+AV255*AV197+AW255*AW197+AX255*AX197+AY255*AY197+AZ255*AZ197+BA255*BA197+BB255*BB197+BC255*BC197+BD255*BD197+BE255*BE197+BF255*BF197+BG255*BG197+BH255*BH197+BI255*BI197+BJ255*BJ197+BK255*BK197+BL255*BL197+BM255*BM197+BN255*BN197+BO255*BO197+BP255*BP197+BQ255*BQ197+BR255*BR197+BS255*BS197+BT255*BT197+BU255*BU197+BV255*BV197+BW255*BW197+BX255*BX197+BY255*BY197+BZ255*BZ197+CA255*CA197+CB255*CB197+CC255*CC197+CD255*CD197+CE255*CE197+CF255*CF197+CG255*CG197+CH255*CH197+CI255*CI197+CJ255*CJ197+CK255*CK197+CL255*CL197+CM255*CM197+CN255*CN197</f>
        <v>0</v>
      </c>
      <c r="CY197" s="2652">
        <f>E256*E197+F256*F197+G256*G197+H256*H197+I256*I197+J256*J197+K256*K197+L256*L197+M256*M197+N256*N197+O256*O197+P256*P197+Q256*Q197+R256*R197+S256*S197+T256*T197+U256*U197+V256*V197+W256*W197+X256*X197+Y256*Y197+Z256*Z197+AA256*AA197+AB256*AB197+AC256*AC197+AD256*AD197+AE256*AE197+AF256*AF197+AG256*AG197+AH256*AH197+AI256*AI197+AJ256*AJ197+AK256*AK197+AL256*AL197+AM256*AM197+AN256*AN197+AO256*AO197+AP256*AP197+AQ256*AQ197+AR256*AR197+AS256*AS197+AT256*AT197+AU256*AU197+AV256*AV197+AW256*AW197+AX256*AX197+AY256*AY197+AZ256*AZ197+BA256*BA197+BB256*BB197+BC256*BC197+BD256*BD197+BE256*BE197+BF256*BF197+BG256*BG197+BH256*BH197+BI256*BI197+BJ256*BJ197+BK256*BK197+BL256*BL197+BM256*BM197+BN256*BN197+BO256*BO197+BP256*BP197+BQ256*BQ197+BR256*BR197+BS256*BS197+BT256*BT197+BU256*BU197+BV256*BV197+BW256*BW197+BX256*BX197+BY256*BY197+BZ256*BZ197+CA256*CA197+CB256*CB197+CC256*CC197+CD256*CD197+CE256*CE197+CF256*CF197+CG256*CG197+CH256*CH197+CI256*CI197+CJ256*CJ197+CK256*CK197+CL256*CL197+CM256*CM197+CN256*CN197</f>
        <v>0</v>
      </c>
      <c r="CZ197" s="2652">
        <f>E257*E197+F257*F197+G257*G197+H257*H197+I257*I197+J257*J197+K257*K197+L257*L197+M257*M197+N257*N197+O257*O197+P257*P197+Q257*Q197+R257*R197+S257*S197+T257*T197+U257*U197+V257*V197+W257*W197+X257*X197+Y257*Y197+Z257*Z197+AA257*AA197+AB257*AB197+AC257*AC197+AD257*AD197+AE257*AE197+AF257*AF197+AG257*AG197+AH257*AH197+AI257*AI197+AJ257*AJ197+AK257*AK197+AL257*AL197+AM257*AM197+AN257*AN197+AO257*AO197+AP257*AP197+AQ257*AQ197+AR257*AR197+AS257*AS197+AT257*AT197+AU257*AU197+AV257*AV197+AW257*AW197+AX257*AX197+AY257*AY197+AZ257*AZ197+BA257*BA197+BB257*BB197+BC257*BC197+BD257*BD197+BE257*BE197+BF257*BF197+BG257*BG197+BH257*BH197+BI257*BI197+BJ257*BJ197+BK257*BK197+BL257*BL197+BM257*BM197+BN257*BN197+BO257*BO197+BP257*BP197+BQ257*BQ197+BR257*BR197+BS257*BS197+BT257*BT197+BU257*BU197+BV257*BV197+BW257*BW197+BX257*BX197+BY257*BY197+BZ257*BZ197+CA257*CA197+CB257*CB197+CC257*CC197+CD257*CD197+CE257*CE197+CF257*CF197+CG257*CG197+CH257*CH197+CI257*CI197+CJ257*CJ197+CK257*CK197+CL257*CL197+CM257*CM197+CN257*CN197</f>
        <v>0</v>
      </c>
      <c r="DA197" s="2652">
        <f>E258*E197+F258*F197+G258*G197+H258*H197+I258*I197+J258*J197+K258*K197+L258*L197+M258*M197+N258*N197+O258*O197+P258*P197+Q258*Q197+R258*R197+S258*S197+T258*T197+U258*U197+V258*V197+W258*W197+X258*X197+Y258*Y197+Z258*Z197+AA258*AA197+AB258*AB197+AC258*AC197+AD258*AD197+AE258*AE197+AF258*AF197+AG258*AG197+AH258*AH197+AI258*AI197+AJ258*AJ197+AK258*AK197+AL258*AL197+AM258*AM197+AN258*AN197+AO258*AO197+AP258*AP197+AQ258*AQ197+AR258*AR197+AS258*AS197+AT258*AT197+AU258*AU197+AV258*AV197+AW258*AW197+AX258*AX197+AY258*AY197+AZ258*AZ197+BA258*BA197+BB258*BB197+BC258*BC197+BD258*BD197+BE258*BE197+BF258*BF197+BG258*BG197+BH258*BH197+BI258*BI197+BJ258*BJ197+BK258*BK197+BL258*BL197+BM258*BM197+BN258*BN197+BO258*BO197+BP258*BP197+BQ258*BQ197+BR258*BR197+BS258*BS197+BT258*BT197+BU258*BU197+BV258*BV197+BW258*BW197+BX258*BX197+BY258*BY197+BZ258*BZ197+CA258*CA197+CB258*CB197+CC258*CC197+CD258*CD197+CE258*CE197+CF258*CF197+CG258*CG197+CH258*CH197+CI258*CI197+CJ258*CJ197+CK258*CK197+CL258*CL197+CM258*CM197+CN258*CN197</f>
        <v>0</v>
      </c>
    </row>
    <row r="198" spans="2:105" ht="18" x14ac:dyDescent="0.35">
      <c r="B198" s="1089">
        <v>65</v>
      </c>
      <c r="C198" s="1079" t="s">
        <v>2387</v>
      </c>
      <c r="D198" s="837" t="s">
        <v>5366</v>
      </c>
      <c r="E198" s="2691">
        <f>0</f>
        <v>0</v>
      </c>
      <c r="F198" s="2691">
        <f>0</f>
        <v>0</v>
      </c>
      <c r="G198" s="2691">
        <f>1</f>
        <v>1</v>
      </c>
      <c r="H198" s="2691">
        <f>0</f>
        <v>0</v>
      </c>
      <c r="I198" s="2691">
        <f>0</f>
        <v>0</v>
      </c>
      <c r="J198" s="2691">
        <f>-1</f>
        <v>-1</v>
      </c>
      <c r="K198" s="2693">
        <f>0</f>
        <v>0</v>
      </c>
      <c r="L198" s="2691">
        <f>0</f>
        <v>0</v>
      </c>
      <c r="M198" s="2691">
        <f>0</f>
        <v>0</v>
      </c>
      <c r="N198" s="2691">
        <f>0</f>
        <v>0</v>
      </c>
      <c r="O198" s="2691">
        <f>0</f>
        <v>0</v>
      </c>
      <c r="P198" s="2691">
        <f>0</f>
        <v>0</v>
      </c>
      <c r="Q198" s="2691">
        <f>0</f>
        <v>0</v>
      </c>
      <c r="R198" s="2691">
        <f>0</f>
        <v>0</v>
      </c>
      <c r="S198" s="2691">
        <f>0</f>
        <v>0</v>
      </c>
      <c r="T198" s="2691">
        <f>0</f>
        <v>0</v>
      </c>
      <c r="U198" s="2691">
        <f>0</f>
        <v>0</v>
      </c>
      <c r="V198" s="2691">
        <f>0</f>
        <v>0</v>
      </c>
      <c r="W198" s="2691">
        <f>0</f>
        <v>0</v>
      </c>
      <c r="X198" s="2691">
        <f>0</f>
        <v>0</v>
      </c>
      <c r="Y198" s="2691">
        <f>0</f>
        <v>0</v>
      </c>
      <c r="Z198" s="2691">
        <f>0</f>
        <v>0</v>
      </c>
      <c r="AA198" s="2691">
        <f>0</f>
        <v>0</v>
      </c>
      <c r="AB198" s="2691">
        <f>0</f>
        <v>0</v>
      </c>
      <c r="AC198" s="2693">
        <f>0</f>
        <v>0</v>
      </c>
      <c r="AD198" s="2691">
        <f>0</f>
        <v>0</v>
      </c>
      <c r="AE198" s="2691">
        <f>0</f>
        <v>0</v>
      </c>
      <c r="AF198" s="2691">
        <f>0</f>
        <v>0</v>
      </c>
      <c r="AG198" s="2691">
        <f>0</f>
        <v>0</v>
      </c>
      <c r="AH198" s="2694">
        <f>X_N_B/X_B</f>
        <v>3.5714285714285712E-2</v>
      </c>
      <c r="AI198" s="2694">
        <f>-X_N_B/X_B</f>
        <v>-3.5714285714285712E-2</v>
      </c>
      <c r="AJ198" s="2752">
        <f>0</f>
        <v>0</v>
      </c>
      <c r="AK198" s="2691">
        <f>0</f>
        <v>0</v>
      </c>
      <c r="AL198" s="2691">
        <f>0</f>
        <v>0</v>
      </c>
      <c r="AM198" s="2691">
        <f>0</f>
        <v>0</v>
      </c>
      <c r="AN198" s="2694">
        <f>X_P_B/X_B</f>
        <v>7.1428571428571435E-3</v>
      </c>
      <c r="AO198" s="2694">
        <f>-X_P_B/X_B</f>
        <v>-7.1428571428571435E-3</v>
      </c>
      <c r="AP198" s="2752">
        <f>0</f>
        <v>0</v>
      </c>
      <c r="AQ198" s="2691">
        <f>0</f>
        <v>0</v>
      </c>
      <c r="AR198" s="2691">
        <f>0</f>
        <v>0</v>
      </c>
      <c r="AS198" s="2691">
        <f>0</f>
        <v>0</v>
      </c>
      <c r="AT198" s="2691">
        <f>0</f>
        <v>0</v>
      </c>
      <c r="AU198" s="2691">
        <f>0</f>
        <v>0</v>
      </c>
      <c r="AV198" s="2691">
        <f>0</f>
        <v>0</v>
      </c>
      <c r="AW198" s="2691">
        <f>0</f>
        <v>0</v>
      </c>
      <c r="AX198" s="2691">
        <f>0</f>
        <v>0</v>
      </c>
      <c r="AY198" s="2691">
        <f>0</f>
        <v>0</v>
      </c>
      <c r="AZ198" s="2691">
        <f>0</f>
        <v>0</v>
      </c>
      <c r="BA198" s="2691">
        <f>0</f>
        <v>0</v>
      </c>
      <c r="BB198" s="2691">
        <f>0</f>
        <v>0</v>
      </c>
      <c r="BC198" s="2691">
        <f>0</f>
        <v>0</v>
      </c>
      <c r="BD198" s="2691">
        <f>0</f>
        <v>0</v>
      </c>
      <c r="BE198" s="2691">
        <f>0</f>
        <v>0</v>
      </c>
      <c r="BF198" s="2691">
        <f>0</f>
        <v>0</v>
      </c>
      <c r="BG198" s="2691">
        <f>0</f>
        <v>0</v>
      </c>
      <c r="BH198" s="2691">
        <f>0</f>
        <v>0</v>
      </c>
      <c r="BI198" s="2691">
        <f>0</f>
        <v>0</v>
      </c>
      <c r="BJ198" s="2698">
        <f>0</f>
        <v>0</v>
      </c>
      <c r="BK198" s="2698">
        <f>0</f>
        <v>0</v>
      </c>
      <c r="BL198" s="2698">
        <f>0</f>
        <v>0</v>
      </c>
      <c r="BM198" s="2698">
        <f>0</f>
        <v>0</v>
      </c>
      <c r="BN198" s="2698">
        <f>0</f>
        <v>0</v>
      </c>
      <c r="BO198" s="2698">
        <f>0</f>
        <v>0</v>
      </c>
      <c r="BP198" s="2698">
        <f>0</f>
        <v>0</v>
      </c>
      <c r="BQ198" s="2691">
        <f>0</f>
        <v>0</v>
      </c>
      <c r="BR198" s="2691">
        <f>0</f>
        <v>0</v>
      </c>
      <c r="BS198" s="2698">
        <f>0</f>
        <v>0</v>
      </c>
      <c r="BT198" s="2691">
        <f>0</f>
        <v>0</v>
      </c>
      <c r="BU198" s="2691">
        <f>0</f>
        <v>0</v>
      </c>
      <c r="BV198" s="2693">
        <f>0</f>
        <v>0</v>
      </c>
      <c r="BW198" s="2693">
        <f>0</f>
        <v>0</v>
      </c>
      <c r="BX198" s="2693">
        <f>0</f>
        <v>0</v>
      </c>
      <c r="BY198" s="2693">
        <f>0</f>
        <v>0</v>
      </c>
      <c r="BZ198" s="2691">
        <f>0</f>
        <v>0</v>
      </c>
      <c r="CA198" s="2691">
        <f>0</f>
        <v>0</v>
      </c>
      <c r="CB198" s="2807">
        <f>0</f>
        <v>0</v>
      </c>
      <c r="CC198" s="2691">
        <f>0</f>
        <v>0</v>
      </c>
      <c r="CD198" s="2691">
        <f>0</f>
        <v>0</v>
      </c>
      <c r="CE198" s="2691">
        <f>0</f>
        <v>0</v>
      </c>
      <c r="CF198" s="2691">
        <f>0</f>
        <v>0</v>
      </c>
      <c r="CG198" s="2691">
        <f>0</f>
        <v>0</v>
      </c>
      <c r="CH198" s="2691">
        <f>0</f>
        <v>0</v>
      </c>
      <c r="CI198" s="2691">
        <f>0</f>
        <v>0</v>
      </c>
      <c r="CJ198" s="2691">
        <f>0</f>
        <v>0</v>
      </c>
      <c r="CK198" s="2691">
        <f>0</f>
        <v>0</v>
      </c>
      <c r="CL198" s="2691">
        <f>0</f>
        <v>0</v>
      </c>
      <c r="CM198" s="2691">
        <f>0</f>
        <v>0</v>
      </c>
      <c r="CN198" s="2691">
        <f>0</f>
        <v>0</v>
      </c>
      <c r="CO198" s="2838">
        <f>q_HYD_XB_T*X_HET*(L_ogsatXHET_HYD_lim*M_RsatXB_XHET_KHYD+L_oginhXHET_HYD_lim*M_satXB_KXB_HYD)*(M_satSO2_KO2_OHO+η_HYD_anox*(M_satSNO2_KNO2_OHO+M_satSNO3_KNO3_OHO*M_inhSNO2_KNO2_OHO)*M_inhSO2_KO2_OHO+η_HYD_ana*M_inhSNO3_KNO3_OHO*M_inhSNO2_KNO2_OHO*M_inhSO2_KO2_OHO)</f>
        <v>632.48335473698933</v>
      </c>
      <c r="CQ198" s="2650">
        <f>E248*E198+F248*F198+G248*G198+H248*H198+I248*I198+J248*J198+K248*K198+L248*L198+M248*M198+N248*N198+O248*O198+P248*P198+Q248*Q198+R248*R198+S248*S198+T248*T198+U248*U198+V248*V198+W248*W198+X248*X198+Y248*Y198+Z248*Z198+AA248*AA198+AB248*AB198+AC248*AC198+AD248*AD198+AE248*AE198+AF248*AF198+AG248*AG198+AH248*AH198+AI248*AI198+AJ248*AJ198+AK248*AK198+AL248*AL198+AM248*AM198+AN248*AN198+AO248*AO198+AP248*AP198+AQ248*AQ198+AR248*AR198+AS248*AS198+AT248*AT198+AU248*AU198+AV248*AV198+AW248*AW198+AX248*AX198+AY248*AY198+AZ248*AZ198+BA248*BA198+BB248*BB198+BC248*BC198+BD248*BD198+BE248*BE198+BF248*BF198+BG248*BG198+BH248*BH198+BI248*BI198+BJ248*BJ198+BK248*BK198+BL248*BL198+BM248*BM198+BN248*BN198+BO248*BO198+BP248*BP198+BQ248*BQ198+BR248*BR198+BS248*BS198+BT248*BT198+BU248*BU198+BV248*BV198+BW248*BW198+BX248*BX198+BY248*BY198+BZ248*BZ198+CA248*CA198+CB248*CB198+CC248*CC198+CD248*CD198+CE248*CE198+CF248*CF198+CG248*CG198+CH248*CH198+CI248*CI198+CJ248*CJ198+CK248*CK198+CL248*CL198+CM248*CM198+CN248*CN198</f>
        <v>0</v>
      </c>
      <c r="CR198" s="2650">
        <f>E249*E198+F249*F198+G249*G198+H249*H198+I249*I198+J249*J198+K249*K198+L249*L198+M249*M198+N249*N198+O249*O198+P249*P198+Q249*Q198+R249*R198+S249*S198+T249*T198+U249*U198+V249*V198+W249*W198+X249*X198+Y249*Y198+Z249*Z198+AA249*AA198+AB249*AB198+AC249*AC198+AD249*AD198+AE249*AE198+AF249*AF198+AG249*AG198+AH249*AH198+AI249*AI198+AJ249*AJ198+AK249*AK198+AL249*AL198+AM249*AM198+AN249*AN198+AO249*AO198+AP249*AP198+AQ249*AQ198+AR249*AR198+AS249*AS198+AT249*AT198+AU249*AU198+AV249*AV198+AW249*AW198+AX249*AX198+AY249*AY198+AZ249*AZ198+BA249*BA198+BB249*BB198+BC249*BC198+BD249*BD198+BE249*BE198+BF249*BF198+BG249*BG198+BH249*BH198+BI249*BI198+BJ249*BJ198+BK249*BK198+BL249*BL198+BM249*BM198+BN249*BN198+BO249*BO198+BP249*BP198+BQ249*BQ198+BR249*BR198+BS249*BS198+BT249*BT198+BU249*BU198+BV249*BV198+BW249*BW198+BX249*BX198+BY249*BY198+BZ249*BZ198+CA249*CA198+CB249*CB198+CC249*CC198+CD249*CD198+CE249*CE198+CF249*CF198+CG249*CG198+CH249*CH198+CI249*CI198+CJ249*CJ198+CK249*CK198+CL249*CL198+CM249*CM198+CN249*CN198</f>
        <v>0</v>
      </c>
      <c r="CS198" s="2651">
        <f>E250*E198+F250*F198+G250*G198+H250*H198+I250*I198+J250*J198+K250*K198+L250*L198+M250*M198+N250*N198+O250*O198+P250*P198+Q250*Q198+R250*R198+S250*S198+T250*T198+U250*U198+V250*V198+W250*W198+X250*X198+Y250*Y198+Z250*Z198+AA250*AA198+AB250*AB198+AC250*AC198+AD250*AD198+AE250*AE198+AF250*AF198+AG250*AG198+AH250*AH198+AI250*AI198+AJ250*AJ198+AK250*AK198+AL250*AL198+AM250*AM198+AN250*AN198+AO250*AO198+AP250*AP198+AQ250*AQ198+AR250*AR198+AS250*AS198+AT250*AT198+AU250*AU198+AV250*AV198+AW250*AW198+AX250*AX198+AY250*AY198+AZ250*AZ198+BA250*BA198+BB250*BB198+BC250*BC198+BD250*BD198+BE250*BE198+BF250*BF198+BG250*BG198+BH250*BH198+BI250*BI198+BJ250*BJ198+BK250*BK198+BL250*BL198+BM250*BM198+BN250*BN198+BO250*BO198+BP250*BP198+BQ250*BQ198+BR250*BR198+BS250*BS198+BT250*BT198+BU250*BU198+BV250*BV198+BW250*BW198+BX250*BX198+BY250*BY198+BZ250*BZ198+CA250*CA198+CB250*CB198+CC250*CC198+CD250*CD198+CE250*CE198+CF250*CF198+CG250*CG198+CH250*CH198+CI250*CI198+CJ250*CJ198+CK250*CK198+CL250*CL198+CM250*CM198+CN250*CN198</f>
        <v>0</v>
      </c>
      <c r="CT198" s="2652">
        <f>E251*E198+F251*F198+G251*G198+H251*H198+I251*I198+J251*J198+K251*K198+L251*L198+M251*M198+N251*N198+O251*O198+P251*P198+Q251*Q198+R251*R198+S251*S198+T251*T198+U251*U198+V251*V198+W251*W198+X251*X198+Y251*Y198+Z251*Z198+AA251*AA198+AB251*AB198+AC251*AC198+AD251*AD198+AE251*AE198+AF251*AF198+AG251*AG198+AH251*AH198+AI251*AI198+AJ251*AJ198+AK251*AK198+AL251*AL198+AM251*AM198+AN251*AN198+AO251*AO198+AP251*AP198+AQ251*AQ198+AR251*AR198+AS251*AS198+AT251*AT198+AU251*AU198+AV251*AV198+AW251*AW198+AX251*AX198+AY251*AY198+AZ251*AZ198+BA251*BA198+BB251*BB198+BC251*BC198+BD251*BD198+BE251*BE198+BF251*BF198+BG251*BG198+BH251*BH198+BI251*BI198+BJ251*BJ198+BK251*BK198+BL251*BL198+BM251*BM198+BN251*BN198+BO251*BO198+BP251*BP198+BQ251*BQ198+BR251*BR198+BS251*BS198+BT251*BT198+BU251*BU198+BV251*BV198+BW251*BW198+BX251*BX198+BY251*BY198+BZ251*BZ198+CA251*CA198+CB251*CB198+CC251*CC198+CD251*CD198+CE251*CE198+CF251*CF198+CG251*CG198+CH251*CH198+CI251*CI198+CJ251*CJ198+CK251*CK198+CL251*CL198+CM251*CM198+CN251*CN198</f>
        <v>0</v>
      </c>
      <c r="CU198" s="2652">
        <f>E252*E198+F252*F198+G252*G198+H252*H198+I252*I198+J252*J198+K252*K198+L252*L198+M252*M198+N252*N198+O252*O198+P252*P198+Q252*Q198+R252*R198+S252*S198+T252*T198+U252*U198+V252*V198+W252*W198+X252*X198+Y252*Y198+Z252*Z198+AA252*AA198+AB252*AB198+AC252*AC198+AD252*AD198+AE252*AE198+AF252*AF198+AG252*AG198+AH252*AH198+AI252*AI198+AJ252*AJ198+AK252*AK198+AL252*AL198+AM252*AM198+AN252*AN198+AO252*AO198+AP252*AP198+AQ252*AQ198+AR252*AR198+AS252*AS198+AT252*AT198+AU252*AU198+AV252*AV198+AW252*AW198+AX252*AX198+AY252*AY198+AZ252*AZ198+BA252*BA198+BB252*BB198+BC252*BC198+BD252*BD198+BE252*BE198+BF252*BF198+BG252*BG198+BH252*BH198+BI252*BI198+BJ252*BJ198+BK252*BK198+BL252*BL198+BM252*BM198+BN252*BN198+BO252*BO198+BP252*BP198+BQ252*BQ198+BR252*BR198+BS252*BS198+BT252*BT198+BU252*BU198+BV252*BV198+BW252*BW198+BX252*BX198+BY252*BY198+BZ252*BZ198+CA252*CA198+CB252*CB198+CC252*CC198+CD252*CD198+CE252*CE198+CF252*CF198+CG252*CG198+CH252*CH198+CI252*CI198+CJ252*CJ198+CK252*CK198+CL252*CL198+CM252*CM198+CN252*CN198</f>
        <v>0</v>
      </c>
      <c r="CV198" s="2652">
        <f>E253*E198+F253*F198+G253*G198+H253*H198+I253*I198+J253*J198+K253*K198+L253*L198+M253*M198+N253*N198+O253*O198+P253*P198+Q253*Q198+R253*R198+S253*S198+T253*T198+U253*U198+V253*V198+W253*W198+X253*X198+Y253*Y198+Z253*Z198+AA253*AA198+AB253*AB198+AC253*AC198+AD253*AD198+AE253*AE198+AF253*AF198+AG253*AG198+AH253*AH198+AI253*AI198+AJ253*AJ198+AK253*AK198+AL253*AL198+AM253*AM198+AN253*AN198+AO253*AO198+AP253*AP198+AQ253*AQ198+AR253*AR198+AS253*AS198+AT253*AT198+AU253*AU198+AV253*AV198+AW253*AW198+AX253*AX198+AY253*AY198+AZ253*AZ198+BA253*BA198+BB253*BB198+BC253*BC198+BD253*BD198+BE253*BE198+BF253*BF198+BG253*BG198+BH253*BH198+BI253*BI198+BJ253*BJ198+BK253*BK198+BL253*BL198+BM253*BM198+BN253*BN198+BO253*BO198+BP253*BP198+BQ253*BQ198+BR253*BR198+BS253*BS198+BT253*BT198+BU253*BU198+BV253*BV198+BW253*BW198+BX253*BX198+BY253*BY198+BZ253*BZ198+CA253*CA198+CB253*CB198+CC253*CC198+CD253*CD198+CE253*CE198+CF253*CF198+CG253*CG198+CH253*CH198+CI253*CI198+CJ253*CJ198+CK253*CK198+CL253*CL198+CM253*CM198+CN253*CN198</f>
        <v>0</v>
      </c>
      <c r="CW198" s="2652">
        <f>E254*E198+F254*F198+G254*G198+H254*H198+I254*I198+J254*J198+K254*K198+L254*L198+M254*M198+N254*N198+O254*O198+P254*P198+Q254*Q198+R254*R198+S254*S198+T254*T198+U254*U198+V254*V198+W254*W198+X254*X198+Y254*Y198+Z254*Z198+AA254*AA198+AB254*AB198+AC254*AC198+AD254*AD198+AE254*AE198+AF254*AF198+AG254*AG198+AH254*AH198+AI254*AI198+AJ254*AJ198+AK254*AK198+AL254*AL198+AM254*AM198+AN254*AN198+AO254*AO198+AP254*AP198+AQ254*AQ198+AR254*AR198+AS254*AS198+AT254*AT198+AU254*AU198+AV254*AV198+AW254*AW198+AX254*AX198+AY254*AY198+AZ254*AZ198+BA254*BA198+BB254*BB198+BC254*BC198+BD254*BD198+BE254*BE198+BF254*BF198+BG254*BG198+BH254*BH198+BI254*BI198+BJ254*BJ198+BK254*BK198+BL254*BL198+BM254*BM198+BN254*BN198+BO254*BO198+BP254*BP198+BQ254*BQ198+BR254*BR198+BS254*BS198+BT254*BT198+BU254*BU198+BV254*BV198+BW254*BW198+BX254*BX198+BY254*BY198+BZ254*BZ198+CA254*CA198+CB254*CB198+CC254*CC198+CD254*CD198+CE254*CE198+CF254*CF198+CG254*CG198+CH254*CH198+CI254*CI198+CJ254*CJ198+CK254*CK198+CL254*CL198+CM254*CM198+CN254*CN198</f>
        <v>0</v>
      </c>
      <c r="CX198" s="2652">
        <f>E255*E198+F255*F198+G255*G198+H255*H198+I255*I198+J255*J198+K255*K198+L255*L198+M255*M198+N255*N198+O255*O198+P255*P198+Q255*Q198+R255*R198+S255*S198+T255*T198+U255*U198+V255*V198+W255*W198+X255*X198+Y255*Y198+Z255*Z198+AA255*AA198+AB255*AB198+AC255*AC198+AD255*AD198+AE255*AE198+AF255*AF198+AG255*AG198+AH255*AH198+AI255*AI198+AJ255*AJ198+AK255*AK198+AL255*AL198+AM255*AM198+AN255*AN198+AO255*AO198+AP255*AP198+AQ255*AQ198+AR255*AR198+AS255*AS198+AT255*AT198+AU255*AU198+AV255*AV198+AW255*AW198+AX255*AX198+AY255*AY198+AZ255*AZ198+BA255*BA198+BB255*BB198+BC255*BC198+BD255*BD198+BE255*BE198+BF255*BF198+BG255*BG198+BH255*BH198+BI255*BI198+BJ255*BJ198+BK255*BK198+BL255*BL198+BM255*BM198+BN255*BN198+BO255*BO198+BP255*BP198+BQ255*BQ198+BR255*BR198+BS255*BS198+BT255*BT198+BU255*BU198+BV255*BV198+BW255*BW198+BX255*BX198+BY255*BY198+BZ255*BZ198+CA255*CA198+CB255*CB198+CC255*CC198+CD255*CD198+CE255*CE198+CF255*CF198+CG255*CG198+CH255*CH198+CI255*CI198+CJ255*CJ198+CK255*CK198+CL255*CL198+CM255*CM198+CN255*CN198</f>
        <v>0</v>
      </c>
      <c r="CY198" s="2652">
        <f>E256*E198+F256*F198+G256*G198+H256*H198+I256*I198+J256*J198+K256*K198+L256*L198+M256*M198+N256*N198+O256*O198+P256*P198+Q256*Q198+R256*R198+S256*S198+T256*T198+U256*U198+V256*V198+W256*W198+X256*X198+Y256*Y198+Z256*Z198+AA256*AA198+AB256*AB198+AC256*AC198+AD256*AD198+AE256*AE198+AF256*AF198+AG256*AG198+AH256*AH198+AI256*AI198+AJ256*AJ198+AK256*AK198+AL256*AL198+AM256*AM198+AN256*AN198+AO256*AO198+AP256*AP198+AQ256*AQ198+AR256*AR198+AS256*AS198+AT256*AT198+AU256*AU198+AV256*AV198+AW256*AW198+AX256*AX198+AY256*AY198+AZ256*AZ198+BA256*BA198+BB256*BB198+BC256*BC198+BD256*BD198+BE256*BE198+BF256*BF198+BG256*BG198+BH256*BH198+BI256*BI198+BJ256*BJ198+BK256*BK198+BL256*BL198+BM256*BM198+BN256*BN198+BO256*BO198+BP256*BP198+BQ256*BQ198+BR256*BR198+BS256*BS198+BT256*BT198+BU256*BU198+BV256*BV198+BW256*BW198+BX256*BX198+BY256*BY198+BZ256*BZ198+CA256*CA198+CB256*CB198+CC256*CC198+CD256*CD198+CE256*CE198+CF256*CF198+CG256*CG198+CH256*CH198+CI256*CI198+CJ256*CJ198+CK256*CK198+CL256*CL198+CM256*CM198+CN256*CN198</f>
        <v>0</v>
      </c>
      <c r="CZ198" s="2652">
        <f>E257*E198+F257*F198+G257*G198+H257*H198+I257*I198+J257*J198+K257*K198+L257*L198+M257*M198+N257*N198+O257*O198+P257*P198+Q257*Q198+R257*R198+S257*S198+T257*T198+U257*U198+V257*V198+W257*W198+X257*X198+Y257*Y198+Z257*Z198+AA257*AA198+AB257*AB198+AC257*AC198+AD257*AD198+AE257*AE198+AF257*AF198+AG257*AG198+AH257*AH198+AI257*AI198+AJ257*AJ198+AK257*AK198+AL257*AL198+AM257*AM198+AN257*AN198+AO257*AO198+AP257*AP198+AQ257*AQ198+AR257*AR198+AS257*AS198+AT257*AT198+AU257*AU198+AV257*AV198+AW257*AW198+AX257*AX198+AY257*AY198+AZ257*AZ198+BA257*BA198+BB257*BB198+BC257*BC198+BD257*BD198+BE257*BE198+BF257*BF198+BG257*BG198+BH257*BH198+BI257*BI198+BJ257*BJ198+BK257*BK198+BL257*BL198+BM257*BM198+BN257*BN198+BO257*BO198+BP257*BP198+BQ257*BQ198+BR257*BR198+BS257*BS198+BT257*BT198+BU257*BU198+BV257*BV198+BW257*BW198+BX257*BX198+BY257*BY198+BZ257*BZ198+CA257*CA198+CB257*CB198+CC257*CC198+CD257*CD198+CE257*CE198+CF257*CF198+CG257*CG198+CH257*CH198+CI257*CI198+CJ257*CJ198+CK257*CK198+CL257*CL198+CM257*CM198+CN257*CN198</f>
        <v>0</v>
      </c>
      <c r="DA198" s="2652">
        <f>E258*E198+F258*F198+G258*G198+H258*H198+I258*I198+J258*J198+K258*K198+L258*L198+M258*M198+N258*N198+O258*O198+P258*P198+Q258*Q198+R258*R198+S258*S198+T258*T198+U258*U198+V258*V198+W258*W198+X258*X198+Y258*Y198+Z258*Z198+AA258*AA198+AB258*AB198+AC258*AC198+AD258*AD198+AE258*AE198+AF258*AF198+AG258*AG198+AH258*AH198+AI258*AI198+AJ258*AJ198+AK258*AK198+AL258*AL198+AM258*AM198+AN258*AN198+AO258*AO198+AP258*AP198+AQ258*AQ198+AR258*AR198+AS258*AS198+AT258*AT198+AU258*AU198+AV258*AV198+AW258*AW198+AX258*AX198+AY258*AY198+AZ258*AZ198+BA258*BA198+BB258*BB198+BC258*BC198+BD258*BD198+BE258*BE198+BF258*BF198+BG258*BG198+BH258*BH198+BI258*BI198+BJ258*BJ198+BK258*BK198+BL258*BL198+BM258*BM198+BN258*BN198+BO258*BO198+BP258*BP198+BQ258*BQ198+BR258*BR198+BS258*BS198+BT258*BT198+BU258*BU198+BV258*BV198+BW258*BW198+BX258*BX198+BY258*BY198+BZ258*BZ198+CA258*CA198+CB258*CB198+CC258*CC198+CD258*CD198+CE258*CE198+CF258*CF198+CG258*CG198+CH258*CH198+CI258*CI198+CJ258*CJ198+CK258*CK198+CL258*CL198+CM258*CM198+CN258*CN198</f>
        <v>0</v>
      </c>
    </row>
    <row r="199" spans="2:105" ht="18" x14ac:dyDescent="0.25">
      <c r="B199" s="2607">
        <v>66</v>
      </c>
      <c r="C199" s="2608" t="s">
        <v>2388</v>
      </c>
      <c r="D199" s="2173" t="s">
        <v>5367</v>
      </c>
      <c r="E199" s="2692">
        <f>0</f>
        <v>0</v>
      </c>
      <c r="F199" s="2693">
        <f>0</f>
        <v>0</v>
      </c>
      <c r="G199" s="2693">
        <f>1</f>
        <v>1</v>
      </c>
      <c r="H199" s="2693">
        <f>0</f>
        <v>0</v>
      </c>
      <c r="I199" s="2693">
        <f>0</f>
        <v>0</v>
      </c>
      <c r="J199" s="2693">
        <f>0</f>
        <v>0</v>
      </c>
      <c r="K199" s="2693">
        <f>-1</f>
        <v>-1</v>
      </c>
      <c r="L199" s="2693">
        <f>0</f>
        <v>0</v>
      </c>
      <c r="M199" s="2693">
        <f>0</f>
        <v>0</v>
      </c>
      <c r="N199" s="2693">
        <f>0</f>
        <v>0</v>
      </c>
      <c r="O199" s="2693">
        <f>0</f>
        <v>0</v>
      </c>
      <c r="P199" s="2693">
        <f>0</f>
        <v>0</v>
      </c>
      <c r="Q199" s="2693">
        <f>0</f>
        <v>0</v>
      </c>
      <c r="R199" s="2693">
        <f>0</f>
        <v>0</v>
      </c>
      <c r="S199" s="2693">
        <f>0</f>
        <v>0</v>
      </c>
      <c r="T199" s="2693">
        <f>0</f>
        <v>0</v>
      </c>
      <c r="U199" s="2693">
        <f>0</f>
        <v>0</v>
      </c>
      <c r="V199" s="2693">
        <f>0</f>
        <v>0</v>
      </c>
      <c r="W199" s="2693">
        <f>0</f>
        <v>0</v>
      </c>
      <c r="X199" s="2693">
        <f>0</f>
        <v>0</v>
      </c>
      <c r="Y199" s="2693">
        <f>0</f>
        <v>0</v>
      </c>
      <c r="Z199" s="2693">
        <f>0</f>
        <v>0</v>
      </c>
      <c r="AA199" s="2693">
        <f>0</f>
        <v>0</v>
      </c>
      <c r="AB199" s="2693">
        <f>0</f>
        <v>0</v>
      </c>
      <c r="AC199" s="2693">
        <f>0</f>
        <v>0</v>
      </c>
      <c r="AD199" s="2693">
        <f>0</f>
        <v>0</v>
      </c>
      <c r="AE199" s="2693">
        <f>0</f>
        <v>0</v>
      </c>
      <c r="AF199" s="2693">
        <f>0</f>
        <v>0</v>
      </c>
      <c r="AG199" s="2693">
        <f>0</f>
        <v>0</v>
      </c>
      <c r="AH199" s="2752">
        <f>X_N_Be/X_B_e</f>
        <v>7.6923076923076927E-2</v>
      </c>
      <c r="AI199" s="2752">
        <f>0</f>
        <v>0</v>
      </c>
      <c r="AJ199" s="2752">
        <f>-X_N_Be/X_B_e</f>
        <v>-7.6923076923076927E-2</v>
      </c>
      <c r="AK199" s="2693">
        <f>0</f>
        <v>0</v>
      </c>
      <c r="AL199" s="2693">
        <f>0</f>
        <v>0</v>
      </c>
      <c r="AM199" s="2693">
        <f>0</f>
        <v>0</v>
      </c>
      <c r="AN199" s="2752">
        <f>X_P_Be/X_B_e</f>
        <v>1.5384615384615385E-2</v>
      </c>
      <c r="AO199" s="2752">
        <f>0</f>
        <v>0</v>
      </c>
      <c r="AP199" s="2752">
        <f>-X_P_Be/X_B_e</f>
        <v>-1.5384615384615385E-2</v>
      </c>
      <c r="AQ199" s="2693">
        <f>0</f>
        <v>0</v>
      </c>
      <c r="AR199" s="2693">
        <f>0</f>
        <v>0</v>
      </c>
      <c r="AS199" s="2693">
        <f>0</f>
        <v>0</v>
      </c>
      <c r="AT199" s="2693">
        <f>0</f>
        <v>0</v>
      </c>
      <c r="AU199" s="2693">
        <f>i_CIT_XBe-i_CIT_SB_poly</f>
        <v>0</v>
      </c>
      <c r="AV199" s="2693">
        <f>-i_INORG</f>
        <v>-0.11</v>
      </c>
      <c r="AW199" s="2693">
        <f>i_INORG*(1-i_Ca_INORG*(A_MCa+2*A_MCl)/A_MCa-i_Mg_INORG*(A_MMg+2*A_MCl)/A_MMg)*f_Na</f>
        <v>2.8804303582798466E-2</v>
      </c>
      <c r="AX199" s="2693">
        <f>i_INORG*(i_Ca_INORG*(2*A_MCl)/A_MCa+i_Mg_INORG*(2*A_MCl)/A_MMg)+i_INORG*(1-i_Ca_INORG*(A_MCa+2*A_MCl)/A_MCa-i_Mg_INORG*(A_MMg+2*A_MCl)/A_MMg)*(1-f_Na)</f>
        <v>7.0195696417201539E-2</v>
      </c>
      <c r="AY199" s="2693">
        <f>i_INORG*i_Ca_INORG</f>
        <v>5.5000000000000005E-3</v>
      </c>
      <c r="AZ199" s="2693">
        <f>i_INORG*i_Mg_INORG</f>
        <v>5.5000000000000005E-3</v>
      </c>
      <c r="BA199" s="2693">
        <f>0</f>
        <v>0</v>
      </c>
      <c r="BB199" s="2693">
        <f>0</f>
        <v>0</v>
      </c>
      <c r="BC199" s="2693">
        <f>0</f>
        <v>0</v>
      </c>
      <c r="BD199" s="2693">
        <f>0</f>
        <v>0</v>
      </c>
      <c r="BE199" s="2693">
        <f>0</f>
        <v>0</v>
      </c>
      <c r="BF199" s="2693">
        <f>0</f>
        <v>0</v>
      </c>
      <c r="BG199" s="2693">
        <f>0</f>
        <v>0</v>
      </c>
      <c r="BH199" s="2693">
        <f>0</f>
        <v>0</v>
      </c>
      <c r="BI199" s="2693">
        <f>0</f>
        <v>0</v>
      </c>
      <c r="BJ199" s="2693">
        <f>0</f>
        <v>0</v>
      </c>
      <c r="BK199" s="2693">
        <f>0</f>
        <v>0</v>
      </c>
      <c r="BL199" s="2693">
        <f>0</f>
        <v>0</v>
      </c>
      <c r="BM199" s="2693">
        <f>0</f>
        <v>0</v>
      </c>
      <c r="BN199" s="2693">
        <f>0</f>
        <v>0</v>
      </c>
      <c r="BO199" s="2693">
        <f>0</f>
        <v>0</v>
      </c>
      <c r="BP199" s="2693">
        <f>0</f>
        <v>0</v>
      </c>
      <c r="BQ199" s="2693">
        <f>0</f>
        <v>0</v>
      </c>
      <c r="BR199" s="2693">
        <f>0</f>
        <v>0</v>
      </c>
      <c r="BS199" s="2693">
        <f>0</f>
        <v>0</v>
      </c>
      <c r="BT199" s="2693">
        <f>0</f>
        <v>0</v>
      </c>
      <c r="BU199" s="2693">
        <f>0</f>
        <v>0</v>
      </c>
      <c r="BV199" s="2693">
        <f>0</f>
        <v>0</v>
      </c>
      <c r="BW199" s="2693">
        <f>0</f>
        <v>0</v>
      </c>
      <c r="BX199" s="2693">
        <f>0</f>
        <v>0</v>
      </c>
      <c r="BY199" s="2693">
        <f>0</f>
        <v>0</v>
      </c>
      <c r="BZ199" s="2693">
        <f>0</f>
        <v>0</v>
      </c>
      <c r="CA199" s="2693">
        <f>0</f>
        <v>0</v>
      </c>
      <c r="CB199" s="2693">
        <f>0</f>
        <v>0</v>
      </c>
      <c r="CC199" s="2693">
        <f>0</f>
        <v>0</v>
      </c>
      <c r="CD199" s="2693">
        <f>0</f>
        <v>0</v>
      </c>
      <c r="CE199" s="2693">
        <f>0</f>
        <v>0</v>
      </c>
      <c r="CF199" s="2693">
        <f>0</f>
        <v>0</v>
      </c>
      <c r="CG199" s="2693">
        <f>0</f>
        <v>0</v>
      </c>
      <c r="CH199" s="2693">
        <f>0</f>
        <v>0</v>
      </c>
      <c r="CI199" s="2693">
        <f>0</f>
        <v>0</v>
      </c>
      <c r="CJ199" s="2693">
        <f>0</f>
        <v>0</v>
      </c>
      <c r="CK199" s="2693">
        <f>0</f>
        <v>0</v>
      </c>
      <c r="CL199" s="2693">
        <f>0</f>
        <v>0</v>
      </c>
      <c r="CM199" s="2693">
        <f>0</f>
        <v>0</v>
      </c>
      <c r="CN199" s="2693">
        <f>0</f>
        <v>0</v>
      </c>
      <c r="CO199" s="2837">
        <f>q_HYD_XBe_T*X_HET*(L_ogsatXHET_HYD_lim*M_RsatXBe_XHET_KHYD+L_oginhXHET_HYD_lim*M_satXBe_KXBe_HYD)*(M_satSO2_KO2_OHO+η_HYD_anox*(M_satSNO2_KNO2_OHO+M_satSNO3_KNO3_OHO*M_inhSNO2_KNO2_OHO)*M_inhSO2_KO2_OHO+η_HYD_ana*M_inhSNO3_KNO3_OHO*M_inhSNO2_KNO2_OHO*M_inhSO2_KO2_OHO)</f>
        <v>544.80418226540723</v>
      </c>
      <c r="CQ199" s="2650">
        <f>E248*E199+F248*F199+G248*G199+H248*H199+I248*I199+J248*J199+K248*K199+L248*L199+M248*M199+N248*N199+O248*O199+P248*P199+Q248*Q199+R248*R199+S248*S199+T248*T199+U248*U199+V248*V199+W248*W199+X248*X199+Y248*Y199+Z248*Z199+AA248*AA199+AB248*AB199+AC248*AC199+AD248*AD199+AE248*AE199+AF248*AF199+AG248*AG199+AH248*AH199+AI248*AI199+AJ248*AJ199+AK248*AK199+AL248*AL199+AM248*AM199+AN248*AN199+AO248*AO199+AP248*AP199+AQ248*AQ199+AR248*AR199+AS248*AS199+AT248*AT199+AU248*AU199+AV248*AV199+AW248*AW199+AX248*AX199+AY248*AY199+AZ248*AZ199+BA248*BA199+BB248*BB199+BC248*BC199+BD248*BD199+BE248*BE199+BF248*BF199+BG248*BG199+BH248*BH199+BI248*BI199+BJ248*BJ199+BK248*BK199+BL248*BL199+BM248*BM199+BN248*BN199+BO248*BO199+BP248*BP199+BQ248*BQ199+BR248*BR199+BS248*BS199+BT248*BT199+BU248*BU199+BV248*BV199+BW248*BW199+BX248*BX199+BY248*BY199+BZ248*BZ199+CA248*CA199+CB248*CB199+CC248*CC199+CD248*CD199+CE248*CE199+CF248*CF199+CG248*CG199+CH248*CH199+CI248*CI199+CJ248*CJ199+CK248*CK199+CL248*CL199+CM248*CM199+CN248*CN199</f>
        <v>0</v>
      </c>
      <c r="CR199" s="2650">
        <f>E249*E199+F249*F199+G249*G199+H249*H199+I249*I199+J249*J199+K249*K199+L249*L199+M249*M199+N249*N199+O249*O199+P249*P199+Q249*Q199+R249*R199+S249*S199+T249*T199+U249*U199+V249*V199+W249*W199+X249*X199+Y249*Y199+Z249*Z199+AA249*AA199+AB249*AB199+AC249*AC199+AD249*AD199+AE249*AE199+AF249*AF199+AG249*AG199+AH249*AH199+AI249*AI199+AJ249*AJ199+AK249*AK199+AL249*AL199+AM249*AM199+AN249*AN199+AO249*AO199+AP249*AP199+AQ249*AQ199+AR249*AR199+AS249*AS199+AT249*AT199+AU249*AU199+AV249*AV199+AW249*AW199+AX249*AX199+AY249*AY199+AZ249*AZ199+BA249*BA199+BB249*BB199+BC249*BC199+BD249*BD199+BE249*BE199+BF249*BF199+BG249*BG199+BH249*BH199+BI249*BI199+BJ249*BJ199+BK249*BK199+BL249*BL199+BM249*BM199+BN249*BN199+BO249*BO199+BP249*BP199+BQ249*BQ199+BR249*BR199+BS249*BS199+BT249*BT199+BU249*BU199+BV249*BV199+BW249*BW199+BX249*BX199+BY249*BY199+BZ249*BZ199+CA249*CA199+CB249*CB199+CC249*CC199+CD249*CD199+CE249*CE199+CF249*CF199+CG249*CG199+CH249*CH199+CI249*CI199+CJ249*CJ199+CK249*CK199+CL249*CL199+CM249*CM199+CN249*CN199</f>
        <v>0</v>
      </c>
      <c r="CS199" s="2651">
        <f>E250*E199+F250*F199+G250*G199+H250*H199+I250*I199+J250*J199+K250*K199+L250*L199+M250*M199+N250*N199+O250*O199+P250*P199+Q250*Q199+R250*R199+S250*S199+T250*T199+U250*U199+V250*V199+W250*W199+X250*X199+Y250*Y199+Z250*Z199+AA250*AA199+AB250*AB199+AC250*AC199+AD250*AD199+AE250*AE199+AF250*AF199+AG250*AG199+AH250*AH199+AI250*AI199+AJ250*AJ199+AK250*AK199+AL250*AL199+AM250*AM199+AN250*AN199+AO250*AO199+AP250*AP199+AQ250*AQ199+AR250*AR199+AS250*AS199+AT250*AT199+AU250*AU199+AV250*AV199+AW250*AW199+AX250*AX199+AY250*AY199+AZ250*AZ199+BA250*BA199+BB250*BB199+BC250*BC199+BD250*BD199+BE250*BE199+BF250*BF199+BG250*BG199+BH250*BH199+BI250*BI199+BJ250*BJ199+BK250*BK199+BL250*BL199+BM250*BM199+BN250*BN199+BO250*BO199+BP250*BP199+BQ250*BQ199+BR250*BR199+BS250*BS199+BT250*BT199+BU250*BU199+BV250*BV199+BW250*BW199+BX250*BX199+BY250*BY199+BZ250*BZ199+CA250*CA199+CB250*CB199+CC250*CC199+CD250*CD199+CE250*CE199+CF250*CF199+CG250*CG199+CH250*CH199+CI250*CI199+CJ250*CJ199+CK250*CK199+CL250*CL199+CM250*CM199+CN250*CN199</f>
        <v>0</v>
      </c>
      <c r="CT199" s="2652">
        <f>E251*E199+F251*F199+G251*G199+H251*H199+I251*I199+J251*J199+K251*K199+L251*L199+M251*M199+N251*N199+O251*O199+P251*P199+Q251*Q199+R251*R199+S251*S199+T251*T199+U251*U199+V251*V199+W251*W199+X251*X199+Y251*Y199+Z251*Z199+AA251*AA199+AB251*AB199+AC251*AC199+AD251*AD199+AE251*AE199+AF251*AF199+AG251*AG199+AH251*AH199+AI251*AI199+AJ251*AJ199+AK251*AK199+AL251*AL199+AM251*AM199+AN251*AN199+AO251*AO199+AP251*AP199+AQ251*AQ199+AR251*AR199+AS251*AS199+AT251*AT199+AU251*AU199+AV251*AV199+AW251*AW199+AX251*AX199+AY251*AY199+AZ251*AZ199+BA251*BA199+BB251*BB199+BC251*BC199+BD251*BD199+BE251*BE199+BF251*BF199+BG251*BG199+BH251*BH199+BI251*BI199+BJ251*BJ199+BK251*BK199+BL251*BL199+BM251*BM199+BN251*BN199+BO251*BO199+BP251*BP199+BQ251*BQ199+BR251*BR199+BS251*BS199+BT251*BT199+BU251*BU199+BV251*BV199+BW251*BW199+BX251*BX199+BY251*BY199+BZ251*BZ199+CA251*CA199+CB251*CB199+CC251*CC199+CD251*CD199+CE251*CE199+CF251*CF199+CG251*CG199+CH251*CH199+CI251*CI199+CJ251*CJ199+CK251*CK199+CL251*CL199+CM251*CM199+CN251*CN199</f>
        <v>0</v>
      </c>
      <c r="CU199" s="2652">
        <f>E252*E199+F252*F199+G252*G199+H252*H199+I252*I199+J252*J199+K252*K199+L252*L199+M252*M199+N252*N199+O252*O199+P252*P199+Q252*Q199+R252*R199+S252*S199+T252*T199+U252*U199+V252*V199+W252*W199+X252*X199+Y252*Y199+Z252*Z199+AA252*AA199+AB252*AB199+AC252*AC199+AD252*AD199+AE252*AE199+AF252*AF199+AG252*AG199+AH252*AH199+AI252*AI199+AJ252*AJ199+AK252*AK199+AL252*AL199+AM252*AM199+AN252*AN199+AO252*AO199+AP252*AP199+AQ252*AQ199+AR252*AR199+AS252*AS199+AT252*AT199+AU252*AU199+AV252*AV199+AW252*AW199+AX252*AX199+AY252*AY199+AZ252*AZ199+BA252*BA199+BB252*BB199+BC252*BC199+BD252*BD199+BE252*BE199+BF252*BF199+BG252*BG199+BH252*BH199+BI252*BI199+BJ252*BJ199+BK252*BK199+BL252*BL199+BM252*BM199+BN252*BN199+BO252*BO199+BP252*BP199+BQ252*BQ199+BR252*BR199+BS252*BS199+BT252*BT199+BU252*BU199+BV252*BV199+BW252*BW199+BX252*BX199+BY252*BY199+BZ252*BZ199+CA252*CA199+CB252*CB199+CC252*CC199+CD252*CD199+CE252*CE199+CF252*CF199+CG252*CG199+CH252*CH199+CI252*CI199+CJ252*CJ199+CK252*CK199+CL252*CL199+CM252*CM199+CN252*CN199</f>
        <v>0</v>
      </c>
      <c r="CV199" s="2652">
        <f>E253*E199+F253*F199+G253*G199+H253*H199+I253*I199+J253*J199+K253*K199+L253*L199+M253*M199+N253*N199+O253*O199+P253*P199+Q253*Q199+R253*R199+S253*S199+T253*T199+U253*U199+V253*V199+W253*W199+X253*X199+Y253*Y199+Z253*Z199+AA253*AA199+AB253*AB199+AC253*AC199+AD253*AD199+AE253*AE199+AF253*AF199+AG253*AG199+AH253*AH199+AI253*AI199+AJ253*AJ199+AK253*AK199+AL253*AL199+AM253*AM199+AN253*AN199+AO253*AO199+AP253*AP199+AQ253*AQ199+AR253*AR199+AS253*AS199+AT253*AT199+AU253*AU199+AV253*AV199+AW253*AW199+AX253*AX199+AY253*AY199+AZ253*AZ199+BA253*BA199+BB253*BB199+BC253*BC199+BD253*BD199+BE253*BE199+BF253*BF199+BG253*BG199+BH253*BH199+BI253*BI199+BJ253*BJ199+BK253*BK199+BL253*BL199+BM253*BM199+BN253*BN199+BO253*BO199+BP253*BP199+BQ253*BQ199+BR253*BR199+BS253*BS199+BT253*BT199+BU253*BU199+BV253*BV199+BW253*BW199+BX253*BX199+BY253*BY199+BZ253*BZ199+CA253*CA199+CB253*CB199+CC253*CC199+CD253*CD199+CE253*CE199+CF253*CF199+CG253*CG199+CH253*CH199+CI253*CI199+CJ253*CJ199+CK253*CK199+CL253*CL199+CM253*CM199+CN253*CN199</f>
        <v>0</v>
      </c>
      <c r="CW199" s="2652">
        <f>E254*E199+F254*F199+G254*G199+H254*H199+I254*I199+J254*J199+K254*K199+L254*L199+M254*M199+N254*N199+O254*O199+P254*P199+Q254*Q199+R254*R199+S254*S199+T254*T199+U254*U199+V254*V199+W254*W199+X254*X199+Y254*Y199+Z254*Z199+AA254*AA199+AB254*AB199+AC254*AC199+AD254*AD199+AE254*AE199+AF254*AF199+AG254*AG199+AH254*AH199+AI254*AI199+AJ254*AJ199+AK254*AK199+AL254*AL199+AM254*AM199+AN254*AN199+AO254*AO199+AP254*AP199+AQ254*AQ199+AR254*AR199+AS254*AS199+AT254*AT199+AU254*AU199+AV254*AV199+AW254*AW199+AX254*AX199+AY254*AY199+AZ254*AZ199+BA254*BA199+BB254*BB199+BC254*BC199+BD254*BD199+BE254*BE199+BF254*BF199+BG254*BG199+BH254*BH199+BI254*BI199+BJ254*BJ199+BK254*BK199+BL254*BL199+BM254*BM199+BN254*BN199+BO254*BO199+BP254*BP199+BQ254*BQ199+BR254*BR199+BS254*BS199+BT254*BT199+BU254*BU199+BV254*BV199+BW254*BW199+BX254*BX199+BY254*BY199+BZ254*BZ199+CA254*CA199+CB254*CB199+CC254*CC199+CD254*CD199+CE254*CE199+CF254*CF199+CG254*CG199+CH254*CH199+CI254*CI199+CJ254*CJ199+CK254*CK199+CL254*CL199+CM254*CM199+CN254*CN199</f>
        <v>0</v>
      </c>
      <c r="CX199" s="2652">
        <f>E255*E199+F255*F199+G255*G199+H255*H199+I255*I199+J255*J199+K255*K199+L255*L199+M255*M199+N255*N199+O255*O199+P255*P199+Q255*Q199+R255*R199+S255*S199+T255*T199+U255*U199+V255*V199+W255*W199+X255*X199+Y255*Y199+Z255*Z199+AA255*AA199+AB255*AB199+AC255*AC199+AD255*AD199+AE255*AE199+AF255*AF199+AG255*AG199+AH255*AH199+AI255*AI199+AJ255*AJ199+AK255*AK199+AL255*AL199+AM255*AM199+AN255*AN199+AO255*AO199+AP255*AP199+AQ255*AQ199+AR255*AR199+AS255*AS199+AT255*AT199+AU255*AU199+AV255*AV199+AW255*AW199+AX255*AX199+AY255*AY199+AZ255*AZ199+BA255*BA199+BB255*BB199+BC255*BC199+BD255*BD199+BE255*BE199+BF255*BF199+BG255*BG199+BH255*BH199+BI255*BI199+BJ255*BJ199+BK255*BK199+BL255*BL199+BM255*BM199+BN255*BN199+BO255*BO199+BP255*BP199+BQ255*BQ199+BR255*BR199+BS255*BS199+BT255*BT199+BU255*BU199+BV255*BV199+BW255*BW199+BX255*BX199+BY255*BY199+BZ255*BZ199+CA255*CA199+CB255*CB199+CC255*CC199+CD255*CD199+CE255*CE199+CF255*CF199+CG255*CG199+CH255*CH199+CI255*CI199+CJ255*CJ199+CK255*CK199+CL255*CL199+CM255*CM199+CN255*CN199</f>
        <v>0</v>
      </c>
      <c r="CY199" s="2652">
        <f>E256*E199+F256*F199+G256*G199+H256*H199+I256*I199+J256*J199+K256*K199+L256*L199+M256*M199+N256*N199+O256*O199+P256*P199+Q256*Q199+R256*R199+S256*S199+T256*T199+U256*U199+V256*V199+W256*W199+X256*X199+Y256*Y199+Z256*Z199+AA256*AA199+AB256*AB199+AC256*AC199+AD256*AD199+AE256*AE199+AF256*AF199+AG256*AG199+AH256*AH199+AI256*AI199+AJ256*AJ199+AK256*AK199+AL256*AL199+AM256*AM199+AN256*AN199+AO256*AO199+AP256*AP199+AQ256*AQ199+AR256*AR199+AS256*AS199+AT256*AT199+AU256*AU199+AV256*AV199+AW256*AW199+AX256*AX199+AY256*AY199+AZ256*AZ199+BA256*BA199+BB256*BB199+BC256*BC199+BD256*BD199+BE256*BE199+BF256*BF199+BG256*BG199+BH256*BH199+BI256*BI199+BJ256*BJ199+BK256*BK199+BL256*BL199+BM256*BM199+BN256*BN199+BO256*BO199+BP256*BP199+BQ256*BQ199+BR256*BR199+BS256*BS199+BT256*BT199+BU256*BU199+BV256*BV199+BW256*BW199+BX256*BX199+BY256*BY199+BZ256*BZ199+CA256*CA199+CB256*CB199+CC256*CC199+CD256*CD199+CE256*CE199+CF256*CF199+CG256*CG199+CH256*CH199+CI256*CI199+CJ256*CJ199+CK256*CK199+CL256*CL199+CM256*CM199+CN256*CN199</f>
        <v>0</v>
      </c>
      <c r="CZ199" s="2652">
        <f>E257*E199+F257*F199+G257*G199+H257*H199+I257*I199+J257*J199+K257*K199+L257*L199+M257*M199+N257*N199+O257*O199+P257*P199+Q257*Q199+R257*R199+S257*S199+T257*T199+U257*U199+V257*V199+W257*W199+X257*X199+Y257*Y199+Z257*Z199+AA257*AA199+AB257*AB199+AC257*AC199+AD257*AD199+AE257*AE199+AF257*AF199+AG257*AG199+AH257*AH199+AI257*AI199+AJ257*AJ199+AK257*AK199+AL257*AL199+AM257*AM199+AN257*AN199+AO257*AO199+AP257*AP199+AQ257*AQ199+AR257*AR199+AS257*AS199+AT257*AT199+AU257*AU199+AV257*AV199+AW257*AW199+AX257*AX199+AY257*AY199+AZ257*AZ199+BA257*BA199+BB257*BB199+BC257*BC199+BD257*BD199+BE257*BE199+BF257*BF199+BG257*BG199+BH257*BH199+BI257*BI199+BJ257*BJ199+BK257*BK199+BL257*BL199+BM257*BM199+BN257*BN199+BO257*BO199+BP257*BP199+BQ257*BQ199+BR257*BR199+BS257*BS199+BT257*BT199+BU257*BU199+BV257*BV199+BW257*BW199+BX257*BX199+BY257*BY199+BZ257*BZ199+CA257*CA199+CB257*CB199+CC257*CC199+CD257*CD199+CE257*CE199+CF257*CF199+CG257*CG199+CH257*CH199+CI257*CI199+CJ257*CJ199+CK257*CK199+CL257*CL199+CM257*CM199+CN257*CN199</f>
        <v>0</v>
      </c>
      <c r="DA199" s="2652">
        <f>E258*E199+F258*F199+G258*G199+H258*H199+I258*I199+J258*J199+K258*K199+L258*L199+M258*M199+N258*N199+O258*O199+P258*P199+Q258*Q199+R258*R199+S258*S199+T258*T199+U258*U199+V258*V199+W258*W199+X258*X199+Y258*Y199+Z258*Z199+AA258*AA199+AB258*AB199+AC258*AC199+AD258*AD199+AE258*AE199+AF258*AF199+AG258*AG199+AH258*AH199+AI258*AI199+AJ258*AJ199+AK258*AK199+AL258*AL199+AM258*AM199+AN258*AN199+AO258*AO199+AP258*AP199+AQ258*AQ199+AR258*AR199+AS258*AS199+AT258*AT199+AU258*AU199+AV258*AV199+AW258*AW199+AX258*AX199+AY258*AY199+AZ258*AZ199+BA258*BA199+BB258*BB199+BC258*BC199+BD258*BD199+BE258*BE199+BF258*BF199+BG258*BG199+BH258*BH199+BI258*BI199+BJ258*BJ199+BK258*BK199+BL258*BL199+BM258*BM199+BN258*BN199+BO258*BO199+BP258*BP199+BQ258*BQ199+BR258*BR199+BS258*BS199+BT258*BT199+BU258*BU199+BV258*BV199+BW258*BW199+BX258*BX199+BY258*BY199+BZ258*BZ199+CA258*CA199+CB258*CB199+CC258*CC199+CD258*CD199+CE258*CE199+CF258*CF199+CG258*CG199+CH258*CH199+CI258*CI199+CJ258*CJ199+CK258*CK199+CL258*CL199+CM258*CM199+CN258*CN199</f>
        <v>0</v>
      </c>
    </row>
    <row r="200" spans="2:105" ht="18" x14ac:dyDescent="0.35">
      <c r="B200" s="1089">
        <v>67</v>
      </c>
      <c r="C200" s="1079" t="s">
        <v>2389</v>
      </c>
      <c r="D200" s="837" t="s">
        <v>3057</v>
      </c>
      <c r="E200" s="2691">
        <f>1</f>
        <v>1</v>
      </c>
      <c r="F200" s="2691">
        <f>-1</f>
        <v>-1</v>
      </c>
      <c r="G200" s="2691">
        <f>0</f>
        <v>0</v>
      </c>
      <c r="H200" s="2691">
        <f>0</f>
        <v>0</v>
      </c>
      <c r="I200" s="2691">
        <f>0</f>
        <v>0</v>
      </c>
      <c r="J200" s="2691">
        <f>0</f>
        <v>0</v>
      </c>
      <c r="K200" s="2693">
        <f>0</f>
        <v>0</v>
      </c>
      <c r="L200" s="2691">
        <f>0</f>
        <v>0</v>
      </c>
      <c r="M200" s="2691">
        <f>0</f>
        <v>0</v>
      </c>
      <c r="N200" s="2691">
        <f>0</f>
        <v>0</v>
      </c>
      <c r="O200" s="2691">
        <f>0</f>
        <v>0</v>
      </c>
      <c r="P200" s="2691">
        <f>0</f>
        <v>0</v>
      </c>
      <c r="Q200" s="2691">
        <f>0</f>
        <v>0</v>
      </c>
      <c r="R200" s="2691">
        <f>0</f>
        <v>0</v>
      </c>
      <c r="S200" s="2691">
        <f>0</f>
        <v>0</v>
      </c>
      <c r="T200" s="2691">
        <f>0</f>
        <v>0</v>
      </c>
      <c r="U200" s="2691">
        <f>0</f>
        <v>0</v>
      </c>
      <c r="V200" s="2691">
        <f>0</f>
        <v>0</v>
      </c>
      <c r="W200" s="2691">
        <f>0</f>
        <v>0</v>
      </c>
      <c r="X200" s="2691">
        <f>0</f>
        <v>0</v>
      </c>
      <c r="Y200" s="2691">
        <f>0</f>
        <v>0</v>
      </c>
      <c r="Z200" s="2691">
        <f>0</f>
        <v>0</v>
      </c>
      <c r="AA200" s="2691">
        <f>0</f>
        <v>0</v>
      </c>
      <c r="AB200" s="2691">
        <f>0</f>
        <v>0</v>
      </c>
      <c r="AC200" s="2693">
        <f>0</f>
        <v>0</v>
      </c>
      <c r="AD200" s="2691">
        <f>0</f>
        <v>0</v>
      </c>
      <c r="AE200" s="2691">
        <f>0</f>
        <v>0</v>
      </c>
      <c r="AF200" s="2691">
        <f>0</f>
        <v>0</v>
      </c>
      <c r="AG200" s="2691">
        <f>0</f>
        <v>0</v>
      </c>
      <c r="AH200" s="2691">
        <f>0</f>
        <v>0</v>
      </c>
      <c r="AI200" s="2691">
        <f>0</f>
        <v>0</v>
      </c>
      <c r="AJ200" s="2693">
        <f>0</f>
        <v>0</v>
      </c>
      <c r="AK200" s="2691">
        <f>0</f>
        <v>0</v>
      </c>
      <c r="AL200" s="2691">
        <f>0</f>
        <v>0</v>
      </c>
      <c r="AM200" s="2691">
        <f>0</f>
        <v>0</v>
      </c>
      <c r="AN200" s="2691">
        <f>0</f>
        <v>0</v>
      </c>
      <c r="AO200" s="2691">
        <f>0</f>
        <v>0</v>
      </c>
      <c r="AP200" s="2693">
        <f>0</f>
        <v>0</v>
      </c>
      <c r="AQ200" s="2691">
        <f>0</f>
        <v>0</v>
      </c>
      <c r="AR200" s="2691">
        <f>0</f>
        <v>0</v>
      </c>
      <c r="AS200" s="2691">
        <f>0</f>
        <v>0</v>
      </c>
      <c r="AT200" s="2691">
        <f>0</f>
        <v>0</v>
      </c>
      <c r="AU200" s="2691">
        <f>i_CIT_VFA-i_CIT_SB_mono</f>
        <v>0</v>
      </c>
      <c r="AV200" s="2691">
        <f>0</f>
        <v>0</v>
      </c>
      <c r="AW200" s="2691">
        <f>0</f>
        <v>0</v>
      </c>
      <c r="AX200" s="2691">
        <f>0</f>
        <v>0</v>
      </c>
      <c r="AY200" s="2691">
        <f>0</f>
        <v>0</v>
      </c>
      <c r="AZ200" s="2691">
        <f>0</f>
        <v>0</v>
      </c>
      <c r="BA200" s="2691">
        <f>0</f>
        <v>0</v>
      </c>
      <c r="BB200" s="2691">
        <f>0</f>
        <v>0</v>
      </c>
      <c r="BC200" s="2691">
        <f>0</f>
        <v>0</v>
      </c>
      <c r="BD200" s="2691">
        <f>0</f>
        <v>0</v>
      </c>
      <c r="BE200" s="2691">
        <f>0</f>
        <v>0</v>
      </c>
      <c r="BF200" s="2691">
        <f>0</f>
        <v>0</v>
      </c>
      <c r="BG200" s="2691">
        <f>0</f>
        <v>0</v>
      </c>
      <c r="BH200" s="2691">
        <f>0</f>
        <v>0</v>
      </c>
      <c r="BI200" s="2691">
        <f>0</f>
        <v>0</v>
      </c>
      <c r="BJ200" s="2698">
        <f>0</f>
        <v>0</v>
      </c>
      <c r="BK200" s="2698">
        <f>0</f>
        <v>0</v>
      </c>
      <c r="BL200" s="2698">
        <f>0</f>
        <v>0</v>
      </c>
      <c r="BM200" s="2698">
        <f>0</f>
        <v>0</v>
      </c>
      <c r="BN200" s="2698">
        <f>0</f>
        <v>0</v>
      </c>
      <c r="BO200" s="2698">
        <f>0</f>
        <v>0</v>
      </c>
      <c r="BP200" s="2698">
        <f>0</f>
        <v>0</v>
      </c>
      <c r="BQ200" s="2691">
        <f>0</f>
        <v>0</v>
      </c>
      <c r="BR200" s="2691">
        <f>0</f>
        <v>0</v>
      </c>
      <c r="BS200" s="2698">
        <f>0</f>
        <v>0</v>
      </c>
      <c r="BT200" s="2691">
        <f>0</f>
        <v>0</v>
      </c>
      <c r="BU200" s="2691">
        <f>0</f>
        <v>0</v>
      </c>
      <c r="BV200" s="2693">
        <f>0</f>
        <v>0</v>
      </c>
      <c r="BW200" s="2693">
        <f>0</f>
        <v>0</v>
      </c>
      <c r="BX200" s="2693">
        <f>0</f>
        <v>0</v>
      </c>
      <c r="BY200" s="2693">
        <f>0</f>
        <v>0</v>
      </c>
      <c r="BZ200" s="2691">
        <f>0</f>
        <v>0</v>
      </c>
      <c r="CA200" s="2691">
        <f>0</f>
        <v>0</v>
      </c>
      <c r="CB200" s="2807">
        <f>0</f>
        <v>0</v>
      </c>
      <c r="CC200" s="2691">
        <f>0</f>
        <v>0</v>
      </c>
      <c r="CD200" s="2691">
        <f>0</f>
        <v>0</v>
      </c>
      <c r="CE200" s="2691">
        <f>0</f>
        <v>0</v>
      </c>
      <c r="CF200" s="2691">
        <f>0</f>
        <v>0</v>
      </c>
      <c r="CG200" s="2691">
        <f>0</f>
        <v>0</v>
      </c>
      <c r="CH200" s="2691">
        <f>0</f>
        <v>0</v>
      </c>
      <c r="CI200" s="2691">
        <f>0</f>
        <v>0</v>
      </c>
      <c r="CJ200" s="2691">
        <f>0</f>
        <v>0</v>
      </c>
      <c r="CK200" s="2691">
        <f>0</f>
        <v>0</v>
      </c>
      <c r="CL200" s="2691">
        <f>0</f>
        <v>0</v>
      </c>
      <c r="CM200" s="2691">
        <f>0</f>
        <v>0</v>
      </c>
      <c r="CN200" s="2691">
        <f>0</f>
        <v>0</v>
      </c>
      <c r="CO200" s="2838">
        <f>q_SB_mono*S_B_mono*M_inhSO2_KO2_OHO*M_inhSNO3_KNO3_OHO*M_inhSNO2_KNO2_OHO</f>
        <v>1.3953488372093023E-2</v>
      </c>
      <c r="CQ200" s="2650">
        <f>E248*E200+F248*F200+G248*G200+H248*H200+I248*I200+J248*J200+K248*K200+L248*L200+M248*M200+N248*N200+O248*O200+P248*P200+Q248*Q200+R248*R200+S248*S200+T248*T200+U248*U200+V248*V200+W248*W200+X248*X200+Y248*Y200+Z248*Z200+AA248*AA200+AB248*AB200+AC248*AC200+AD248*AD200+AE248*AE200+AF248*AF200+AG248*AG200+AH248*AH200+AI248*AI200+AJ248*AJ200+AK248*AK200+AL248*AL200+AM248*AM200+AN248*AN200+AO248*AO200+AP248*AP200+AQ248*AQ200+AR248*AR200+AS248*AS200+AT248*AT200+AU248*AU200+AV248*AV200+AW248*AW200+AX248*AX200+AY248*AY200+AZ248*AZ200+BA248*BA200+BB248*BB200+BC248*BC200+BD248*BD200+BE248*BE200+BF248*BF200+BG248*BG200+BH248*BH200+BI248*BI200+BJ248*BJ200+BK248*BK200+BL248*BL200+BM248*BM200+BN248*BN200+BO248*BO200+BP248*BP200+BQ248*BQ200+BR248*BR200+BS248*BS200+BT248*BT200+BU248*BU200+BV248*BV200+BW248*BW200+BX248*BX200+BY248*BY200+BZ248*BZ200+CA248*CA200+CB248*CB200+CC248*CC200+CD248*CD200+CE248*CE200+CF248*CF200+CG248*CG200+CH248*CH200+CI248*CI200+CJ248*CJ200+CK248*CK200+CL248*CL200+CM248*CM200+CN248*CN200</f>
        <v>0</v>
      </c>
      <c r="CR200" s="2650">
        <f>E249*E200+F249*F200+G249*G200+H249*H200+I249*I200+J249*J200+K249*K200+L249*L200+M249*M200+N249*N200+O249*O200+P249*P200+Q249*Q200+R249*R200+S249*S200+T249*T200+U249*U200+V249*V200+W249*W200+X249*X200+Y249*Y200+Z249*Z200+AA249*AA200+AB249*AB200+AC249*AC200+AD249*AD200+AE249*AE200+AF249*AF200+AG249*AG200+AH249*AH200+AI249*AI200+AJ249*AJ200+AK249*AK200+AL249*AL200+AM249*AM200+AN249*AN200+AO249*AO200+AP249*AP200+AQ249*AQ200+AR249*AR200+AS249*AS200+AT249*AT200+AU249*AU200+AV249*AV200+AW249*AW200+AX249*AX200+AY249*AY200+AZ249*AZ200+BA249*BA200+BB249*BB200+BC249*BC200+BD249*BD200+BE249*BE200+BF249*BF200+BG249*BG200+BH249*BH200+BI249*BI200+BJ249*BJ200+BK249*BK200+BL249*BL200+BM249*BM200+BN249*BN200+BO249*BO200+BP249*BP200+BQ249*BQ200+BR249*BR200+BS249*BS200+BT249*BT200+BU249*BU200+BV249*BV200+BW249*BW200+BX249*BX200+BY249*BY200+BZ249*BZ200+CA249*CA200+CB249*CB200+CC249*CC200+CD249*CD200+CE249*CE200+CF249*CF200+CG249*CG200+CH249*CH200+CI249*CI200+CJ249*CJ200+CK249*CK200+CL249*CL200+CM249*CM200+CN249*CN200</f>
        <v>0</v>
      </c>
      <c r="CS200" s="2651">
        <f>E250*E200+F250*F200+G250*G200+H250*H200+I250*I200+J250*J200+K250*K200+L250*L200+M250*M200+N250*N200+O250*O200+P250*P200+Q250*Q200+R250*R200+S250*S200+T250*T200+U250*U200+V250*V200+W250*W200+X250*X200+Y250*Y200+Z250*Z200+AA250*AA200+AB250*AB200+AC250*AC200+AD250*AD200+AE250*AE200+AF250*AF200+AG250*AG200+AH250*AH200+AI250*AI200+AJ250*AJ200+AK250*AK200+AL250*AL200+AM250*AM200+AN250*AN200+AO250*AO200+AP250*AP200+AQ250*AQ200+AR250*AR200+AS250*AS200+AT250*AT200+AU250*AU200+AV250*AV200+AW250*AW200+AX250*AX200+AY250*AY200+AZ250*AZ200+BA250*BA200+BB250*BB200+BC250*BC200+BD250*BD200+BE250*BE200+BF250*BF200+BG250*BG200+BH250*BH200+BI250*BI200+BJ250*BJ200+BK250*BK200+BL250*BL200+BM250*BM200+BN250*BN200+BO250*BO200+BP250*BP200+BQ250*BQ200+BR250*BR200+BS250*BS200+BT250*BT200+BU250*BU200+BV250*BV200+BW250*BW200+BX250*BX200+BY250*BY200+BZ250*BZ200+CA250*CA200+CB250*CB200+CC250*CC200+CD250*CD200+CE250*CE200+CF250*CF200+CG250*CG200+CH250*CH200+CI250*CI200+CJ250*CJ200+CK250*CK200+CL250*CL200+CM250*CM200+CN250*CN200</f>
        <v>0</v>
      </c>
      <c r="CT200" s="2652">
        <f>E251*E200+F251*F200+G251*G200+H251*H200+I251*I200+J251*J200+K251*K200+L251*L200+M251*M200+N251*N200+O251*O200+P251*P200+Q251*Q200+R251*R200+S251*S200+T251*T200+U251*U200+V251*V200+W251*W200+X251*X200+Y251*Y200+Z251*Z200+AA251*AA200+AB251*AB200+AC251*AC200+AD251*AD200+AE251*AE200+AF251*AF200+AG251*AG200+AH251*AH200+AI251*AI200+AJ251*AJ200+AK251*AK200+AL251*AL200+AM251*AM200+AN251*AN200+AO251*AO200+AP251*AP200+AQ251*AQ200+AR251*AR200+AS251*AS200+AT251*AT200+AU251*AU200+AV251*AV200+AW251*AW200+AX251*AX200+AY251*AY200+AZ251*AZ200+BA251*BA200+BB251*BB200+BC251*BC200+BD251*BD200+BE251*BE200+BF251*BF200+BG251*BG200+BH251*BH200+BI251*BI200+BJ251*BJ200+BK251*BK200+BL251*BL200+BM251*BM200+BN251*BN200+BO251*BO200+BP251*BP200+BQ251*BQ200+BR251*BR200+BS251*BS200+BT251*BT200+BU251*BU200+BV251*BV200+BW251*BW200+BX251*BX200+BY251*BY200+BZ251*BZ200+CA251*CA200+CB251*CB200+CC251*CC200+CD251*CD200+CE251*CE200+CF251*CF200+CG251*CG200+CH251*CH200+CI251*CI200+CJ251*CJ200+CK251*CK200+CL251*CL200+CM251*CM200+CN251*CN200</f>
        <v>0</v>
      </c>
      <c r="CU200" s="2652">
        <f>E252*E200+F252*F200+G252*G200+H252*H200+I252*I200+J252*J200+K252*K200+L252*L200+M252*M200+N252*N200+O252*O200+P252*P200+Q252*Q200+R252*R200+S252*S200+T252*T200+U252*U200+V252*V200+W252*W200+X252*X200+Y252*Y200+Z252*Z200+AA252*AA200+AB252*AB200+AC252*AC200+AD252*AD200+AE252*AE200+AF252*AF200+AG252*AG200+AH252*AH200+AI252*AI200+AJ252*AJ200+AK252*AK200+AL252*AL200+AM252*AM200+AN252*AN200+AO252*AO200+AP252*AP200+AQ252*AQ200+AR252*AR200+AS252*AS200+AT252*AT200+AU252*AU200+AV252*AV200+AW252*AW200+AX252*AX200+AY252*AY200+AZ252*AZ200+BA252*BA200+BB252*BB200+BC252*BC200+BD252*BD200+BE252*BE200+BF252*BF200+BG252*BG200+BH252*BH200+BI252*BI200+BJ252*BJ200+BK252*BK200+BL252*BL200+BM252*BM200+BN252*BN200+BO252*BO200+BP252*BP200+BQ252*BQ200+BR252*BR200+BS252*BS200+BT252*BT200+BU252*BU200+BV252*BV200+BW252*BW200+BX252*BX200+BY252*BY200+BZ252*BZ200+CA252*CA200+CB252*CB200+CC252*CC200+CD252*CD200+CE252*CE200+CF252*CF200+CG252*CG200+CH252*CH200+CI252*CI200+CJ252*CJ200+CK252*CK200+CL252*CL200+CM252*CM200+CN252*CN200</f>
        <v>0</v>
      </c>
      <c r="CV200" s="2652">
        <f>E253*E200+F253*F200+G253*G200+H253*H200+I253*I200+J253*J200+K253*K200+L253*L200+M253*M200+N253*N200+O253*O200+P253*P200+Q253*Q200+R253*R200+S253*S200+T253*T200+U253*U200+V253*V200+W253*W200+X253*X200+Y253*Y200+Z253*Z200+AA253*AA200+AB253*AB200+AC253*AC200+AD253*AD200+AE253*AE200+AF253*AF200+AG253*AG200+AH253*AH200+AI253*AI200+AJ253*AJ200+AK253*AK200+AL253*AL200+AM253*AM200+AN253*AN200+AO253*AO200+AP253*AP200+AQ253*AQ200+AR253*AR200+AS253*AS200+AT253*AT200+AU253*AU200+AV253*AV200+AW253*AW200+AX253*AX200+AY253*AY200+AZ253*AZ200+BA253*BA200+BB253*BB200+BC253*BC200+BD253*BD200+BE253*BE200+BF253*BF200+BG253*BG200+BH253*BH200+BI253*BI200+BJ253*BJ200+BK253*BK200+BL253*BL200+BM253*BM200+BN253*BN200+BO253*BO200+BP253*BP200+BQ253*BQ200+BR253*BR200+BS253*BS200+BT253*BT200+BU253*BU200+BV253*BV200+BW253*BW200+BX253*BX200+BY253*BY200+BZ253*BZ200+CA253*CA200+CB253*CB200+CC253*CC200+CD253*CD200+CE253*CE200+CF253*CF200+CG253*CG200+CH253*CH200+CI253*CI200+CJ253*CJ200+CK253*CK200+CL253*CL200+CM253*CM200+CN253*CN200</f>
        <v>0</v>
      </c>
      <c r="CW200" s="2652">
        <f>E254*E200+F254*F200+G254*G200+H254*H200+I254*I200+J254*J200+K254*K200+L254*L200+M254*M200+N254*N200+O254*O200+P254*P200+Q254*Q200+R254*R200+S254*S200+T254*T200+U254*U200+V254*V200+W254*W200+X254*X200+Y254*Y200+Z254*Z200+AA254*AA200+AB254*AB200+AC254*AC200+AD254*AD200+AE254*AE200+AF254*AF200+AG254*AG200+AH254*AH200+AI254*AI200+AJ254*AJ200+AK254*AK200+AL254*AL200+AM254*AM200+AN254*AN200+AO254*AO200+AP254*AP200+AQ254*AQ200+AR254*AR200+AS254*AS200+AT254*AT200+AU254*AU200+AV254*AV200+AW254*AW200+AX254*AX200+AY254*AY200+AZ254*AZ200+BA254*BA200+BB254*BB200+BC254*BC200+BD254*BD200+BE254*BE200+BF254*BF200+BG254*BG200+BH254*BH200+BI254*BI200+BJ254*BJ200+BK254*BK200+BL254*BL200+BM254*BM200+BN254*BN200+BO254*BO200+BP254*BP200+BQ254*BQ200+BR254*BR200+BS254*BS200+BT254*BT200+BU254*BU200+BV254*BV200+BW254*BW200+BX254*BX200+BY254*BY200+BZ254*BZ200+CA254*CA200+CB254*CB200+CC254*CC200+CD254*CD200+CE254*CE200+CF254*CF200+CG254*CG200+CH254*CH200+CI254*CI200+CJ254*CJ200+CK254*CK200+CL254*CL200+CM254*CM200+CN254*CN200</f>
        <v>0</v>
      </c>
      <c r="CX200" s="2652">
        <f>E255*E200+F255*F200+G255*G200+H255*H200+I255*I200+J255*J200+K255*K200+L255*L200+M255*M200+N255*N200+O255*O200+P255*P200+Q255*Q200+R255*R200+S255*S200+T255*T200+U255*U200+V255*V200+W255*W200+X255*X200+Y255*Y200+Z255*Z200+AA255*AA200+AB255*AB200+AC255*AC200+AD255*AD200+AE255*AE200+AF255*AF200+AG255*AG200+AH255*AH200+AI255*AI200+AJ255*AJ200+AK255*AK200+AL255*AL200+AM255*AM200+AN255*AN200+AO255*AO200+AP255*AP200+AQ255*AQ200+AR255*AR200+AS255*AS200+AT255*AT200+AU255*AU200+AV255*AV200+AW255*AW200+AX255*AX200+AY255*AY200+AZ255*AZ200+BA255*BA200+BB255*BB200+BC255*BC200+BD255*BD200+BE255*BE200+BF255*BF200+BG255*BG200+BH255*BH200+BI255*BI200+BJ255*BJ200+BK255*BK200+BL255*BL200+BM255*BM200+BN255*BN200+BO255*BO200+BP255*BP200+BQ255*BQ200+BR255*BR200+BS255*BS200+BT255*BT200+BU255*BU200+BV255*BV200+BW255*BW200+BX255*BX200+BY255*BY200+BZ255*BZ200+CA255*CA200+CB255*CB200+CC255*CC200+CD255*CD200+CE255*CE200+CF255*CF200+CG255*CG200+CH255*CH200+CI255*CI200+CJ255*CJ200+CK255*CK200+CL255*CL200+CM255*CM200+CN255*CN200</f>
        <v>0</v>
      </c>
      <c r="CY200" s="2652">
        <f>E256*E200+F256*F200+G256*G200+H256*H200+I256*I200+J256*J200+K256*K200+L256*L200+M256*M200+N256*N200+O256*O200+P256*P200+Q256*Q200+R256*R200+S256*S200+T256*T200+U256*U200+V256*V200+W256*W200+X256*X200+Y256*Y200+Z256*Z200+AA256*AA200+AB256*AB200+AC256*AC200+AD256*AD200+AE256*AE200+AF256*AF200+AG256*AG200+AH256*AH200+AI256*AI200+AJ256*AJ200+AK256*AK200+AL256*AL200+AM256*AM200+AN256*AN200+AO256*AO200+AP256*AP200+AQ256*AQ200+AR256*AR200+AS256*AS200+AT256*AT200+AU256*AU200+AV256*AV200+AW256*AW200+AX256*AX200+AY256*AY200+AZ256*AZ200+BA256*BA200+BB256*BB200+BC256*BC200+BD256*BD200+BE256*BE200+BF256*BF200+BG256*BG200+BH256*BH200+BI256*BI200+BJ256*BJ200+BK256*BK200+BL256*BL200+BM256*BM200+BN256*BN200+BO256*BO200+BP256*BP200+BQ256*BQ200+BR256*BR200+BS256*BS200+BT256*BT200+BU256*BU200+BV256*BV200+BW256*BW200+BX256*BX200+BY256*BY200+BZ256*BZ200+CA256*CA200+CB256*CB200+CC256*CC200+CD256*CD200+CE256*CE200+CF256*CF200+CG256*CG200+CH256*CH200+CI256*CI200+CJ256*CJ200+CK256*CK200+CL256*CL200+CM256*CM200+CN256*CN200</f>
        <v>0</v>
      </c>
      <c r="CZ200" s="2652">
        <f>E257*E200+F257*F200+G257*G200+H257*H200+I257*I200+J257*J200+K257*K200+L257*L200+M257*M200+N257*N200+O257*O200+P257*P200+Q257*Q200+R257*R200+S257*S200+T257*T200+U257*U200+V257*V200+W257*W200+X257*X200+Y257*Y200+Z257*Z200+AA257*AA200+AB257*AB200+AC257*AC200+AD257*AD200+AE257*AE200+AF257*AF200+AG257*AG200+AH257*AH200+AI257*AI200+AJ257*AJ200+AK257*AK200+AL257*AL200+AM257*AM200+AN257*AN200+AO257*AO200+AP257*AP200+AQ257*AQ200+AR257*AR200+AS257*AS200+AT257*AT200+AU257*AU200+AV257*AV200+AW257*AW200+AX257*AX200+AY257*AY200+AZ257*AZ200+BA257*BA200+BB257*BB200+BC257*BC200+BD257*BD200+BE257*BE200+BF257*BF200+BG257*BG200+BH257*BH200+BI257*BI200+BJ257*BJ200+BK257*BK200+BL257*BL200+BM257*BM200+BN257*BN200+BO257*BO200+BP257*BP200+BQ257*BQ200+BR257*BR200+BS257*BS200+BT257*BT200+BU257*BU200+BV257*BV200+BW257*BW200+BX257*BX200+BY257*BY200+BZ257*BZ200+CA257*CA200+CB257*CB200+CC257*CC200+CD257*CD200+CE257*CE200+CF257*CF200+CG257*CG200+CH257*CH200+CI257*CI200+CJ257*CJ200+CK257*CK200+CL257*CL200+CM257*CM200+CN257*CN200</f>
        <v>0</v>
      </c>
      <c r="DA200" s="2652">
        <f>E258*E200+F258*F200+G258*G200+H258*H200+I258*I200+J258*J200+K258*K200+L258*L200+M258*M200+N258*N200+O258*O200+P258*P200+Q258*Q200+R258*R200+S258*S200+T258*T200+U258*U200+V258*V200+W258*W200+X258*X200+Y258*Y200+Z258*Z200+AA258*AA200+AB258*AB200+AC258*AC200+AD258*AD200+AE258*AE200+AF258*AF200+AG258*AG200+AH258*AH200+AI258*AI200+AJ258*AJ200+AK258*AK200+AL258*AL200+AM258*AM200+AN258*AN200+AO258*AO200+AP258*AP200+AQ258*AQ200+AR258*AR200+AS258*AS200+AT258*AT200+AU258*AU200+AV258*AV200+AW258*AW200+AX258*AX200+AY258*AY200+AZ258*AZ200+BA258*BA200+BB258*BB200+BC258*BC200+BD258*BD200+BE258*BE200+BF258*BF200+BG258*BG200+BH258*BH200+BI258*BI200+BJ258*BJ200+BK258*BK200+BL258*BL200+BM258*BM200+BN258*BN200+BO258*BO200+BP258*BP200+BQ258*BQ200+BR258*BR200+BS258*BS200+BT258*BT200+BU258*BU200+BV258*BV200+BW258*BW200+BX258*BX200+BY258*BY200+BZ258*BZ200+CA258*CA200+CB258*CB200+CC258*CC200+CD258*CD200+CE258*CE200+CF258*CF200+CG258*CG200+CH258*CH200+CI258*CI200+CJ258*CJ200+CK258*CK200+CL258*CL200+CM258*CM200+CN258*CN200</f>
        <v>0</v>
      </c>
    </row>
    <row r="201" spans="2:105" ht="18" x14ac:dyDescent="0.35">
      <c r="B201" s="1089">
        <v>68</v>
      </c>
      <c r="C201" s="1079" t="s">
        <v>2390</v>
      </c>
      <c r="D201" s="837" t="s">
        <v>5368</v>
      </c>
      <c r="E201" s="2691">
        <f>0</f>
        <v>0</v>
      </c>
      <c r="F201" s="2691">
        <f>0</f>
        <v>0</v>
      </c>
      <c r="G201" s="2691">
        <f>0</f>
        <v>0</v>
      </c>
      <c r="H201" s="2691">
        <f>0</f>
        <v>0</v>
      </c>
      <c r="I201" s="2691">
        <f>0</f>
        <v>0</v>
      </c>
      <c r="J201" s="2691">
        <f>0</f>
        <v>0</v>
      </c>
      <c r="K201" s="2693">
        <f>0</f>
        <v>0</v>
      </c>
      <c r="L201" s="2691">
        <f>0</f>
        <v>0</v>
      </c>
      <c r="M201" s="2691">
        <f>0</f>
        <v>0</v>
      </c>
      <c r="N201" s="2691">
        <f>0</f>
        <v>0</v>
      </c>
      <c r="O201" s="2691">
        <f>0</f>
        <v>0</v>
      </c>
      <c r="P201" s="2691">
        <f>0</f>
        <v>0</v>
      </c>
      <c r="Q201" s="2691">
        <f>0</f>
        <v>0</v>
      </c>
      <c r="R201" s="2691">
        <f>0</f>
        <v>0</v>
      </c>
      <c r="S201" s="2691">
        <f>0</f>
        <v>0</v>
      </c>
      <c r="T201" s="2691">
        <f>0</f>
        <v>0</v>
      </c>
      <c r="U201" s="2691">
        <f>0</f>
        <v>0</v>
      </c>
      <c r="V201" s="2691">
        <f>0</f>
        <v>0</v>
      </c>
      <c r="W201" s="2691">
        <f>0</f>
        <v>0</v>
      </c>
      <c r="X201" s="2691">
        <f>0</f>
        <v>0</v>
      </c>
      <c r="Y201" s="2691">
        <f>0</f>
        <v>0</v>
      </c>
      <c r="Z201" s="2691">
        <f>0</f>
        <v>0</v>
      </c>
      <c r="AA201" s="2691">
        <f>0</f>
        <v>0</v>
      </c>
      <c r="AB201" s="2691">
        <f>0</f>
        <v>0</v>
      </c>
      <c r="AC201" s="2693">
        <f>0</f>
        <v>0</v>
      </c>
      <c r="AD201" s="2691">
        <f>1</f>
        <v>1</v>
      </c>
      <c r="AE201" s="2691">
        <f>0</f>
        <v>0</v>
      </c>
      <c r="AF201" s="2691">
        <f>0</f>
        <v>0</v>
      </c>
      <c r="AG201" s="2691">
        <f>0</f>
        <v>0</v>
      </c>
      <c r="AH201" s="2691">
        <f>-1</f>
        <v>-1</v>
      </c>
      <c r="AI201" s="2691">
        <f>0</f>
        <v>0</v>
      </c>
      <c r="AJ201" s="2693">
        <f>0</f>
        <v>0</v>
      </c>
      <c r="AK201" s="2691">
        <f>0</f>
        <v>0</v>
      </c>
      <c r="AL201" s="2691">
        <f>0</f>
        <v>0</v>
      </c>
      <c r="AM201" s="2691">
        <f>0</f>
        <v>0</v>
      </c>
      <c r="AN201" s="2691">
        <f>0</f>
        <v>0</v>
      </c>
      <c r="AO201" s="2691">
        <f>0</f>
        <v>0</v>
      </c>
      <c r="AP201" s="2693">
        <f>0</f>
        <v>0</v>
      </c>
      <c r="AQ201" s="2691">
        <f>0</f>
        <v>0</v>
      </c>
      <c r="AR201" s="2691">
        <f>0</f>
        <v>0</v>
      </c>
      <c r="AS201" s="2691">
        <f>0</f>
        <v>0</v>
      </c>
      <c r="AT201" s="2691">
        <f>0</f>
        <v>0</v>
      </c>
      <c r="AU201" s="2691">
        <f>0</f>
        <v>0</v>
      </c>
      <c r="AV201" s="2691">
        <f>0</f>
        <v>0</v>
      </c>
      <c r="AW201" s="2691">
        <f>0</f>
        <v>0</v>
      </c>
      <c r="AX201" s="2691">
        <f>0</f>
        <v>0</v>
      </c>
      <c r="AY201" s="2691">
        <f>0</f>
        <v>0</v>
      </c>
      <c r="AZ201" s="2691">
        <f>0</f>
        <v>0</v>
      </c>
      <c r="BA201" s="2691">
        <f>0</f>
        <v>0</v>
      </c>
      <c r="BB201" s="2691">
        <f>0</f>
        <v>0</v>
      </c>
      <c r="BC201" s="2691">
        <f>0</f>
        <v>0</v>
      </c>
      <c r="BD201" s="2691">
        <f>0</f>
        <v>0</v>
      </c>
      <c r="BE201" s="2691">
        <f>0</f>
        <v>0</v>
      </c>
      <c r="BF201" s="2691">
        <f>0</f>
        <v>0</v>
      </c>
      <c r="BG201" s="2691">
        <f>0</f>
        <v>0</v>
      </c>
      <c r="BH201" s="2691">
        <f>0</f>
        <v>0</v>
      </c>
      <c r="BI201" s="2691">
        <f>0</f>
        <v>0</v>
      </c>
      <c r="BJ201" s="2698">
        <f>0</f>
        <v>0</v>
      </c>
      <c r="BK201" s="2698">
        <f>0</f>
        <v>0</v>
      </c>
      <c r="BL201" s="2698">
        <f>0</f>
        <v>0</v>
      </c>
      <c r="BM201" s="2698">
        <f>0</f>
        <v>0</v>
      </c>
      <c r="BN201" s="2698">
        <f>0</f>
        <v>0</v>
      </c>
      <c r="BO201" s="2698">
        <f>0</f>
        <v>0</v>
      </c>
      <c r="BP201" s="2698">
        <f>0</f>
        <v>0</v>
      </c>
      <c r="BQ201" s="2691">
        <f>0</f>
        <v>0</v>
      </c>
      <c r="BR201" s="2691">
        <f>0</f>
        <v>0</v>
      </c>
      <c r="BS201" s="2698">
        <f>0</f>
        <v>0</v>
      </c>
      <c r="BT201" s="2691">
        <f>0</f>
        <v>0</v>
      </c>
      <c r="BU201" s="2691">
        <f>0</f>
        <v>0</v>
      </c>
      <c r="BV201" s="2693">
        <f>0</f>
        <v>0</v>
      </c>
      <c r="BW201" s="2693">
        <f>0</f>
        <v>0</v>
      </c>
      <c r="BX201" s="2693">
        <f>0</f>
        <v>0</v>
      </c>
      <c r="BY201" s="2693">
        <f>0</f>
        <v>0</v>
      </c>
      <c r="BZ201" s="2691">
        <f>0</f>
        <v>0</v>
      </c>
      <c r="CA201" s="2691">
        <f>0</f>
        <v>0</v>
      </c>
      <c r="CB201" s="2807">
        <f>0</f>
        <v>0</v>
      </c>
      <c r="CC201" s="2691">
        <f>0</f>
        <v>0</v>
      </c>
      <c r="CD201" s="2691">
        <f>0</f>
        <v>0</v>
      </c>
      <c r="CE201" s="2691">
        <f>0</f>
        <v>0</v>
      </c>
      <c r="CF201" s="2691">
        <f>0</f>
        <v>0</v>
      </c>
      <c r="CG201" s="2691">
        <f>0</f>
        <v>0</v>
      </c>
      <c r="CH201" s="2691">
        <f>0</f>
        <v>0</v>
      </c>
      <c r="CI201" s="2691">
        <f>0</f>
        <v>0</v>
      </c>
      <c r="CJ201" s="2691">
        <f>0</f>
        <v>0</v>
      </c>
      <c r="CK201" s="2691">
        <f>0</f>
        <v>0</v>
      </c>
      <c r="CL201" s="2691">
        <f>0</f>
        <v>0</v>
      </c>
      <c r="CM201" s="2691">
        <f>0</f>
        <v>0</v>
      </c>
      <c r="CN201" s="2691">
        <f>0</f>
        <v>0</v>
      </c>
      <c r="CO201" s="2838">
        <f>q_AMMON_T*S_N_B*X_HET</f>
        <v>25.0075</v>
      </c>
      <c r="CQ201" s="2650">
        <f>E248*E201+F248*F201+G248*G201+H248*H201+I248*I201+J248*J201+K248*K201+L248*L201+M248*M201+N248*N201+O248*O201+P248*P201+Q248*Q201+R248*R201+S248*S201+T248*T201+U248*U201+V248*V201+W248*W201+X248*X201+Y248*Y201+Z248*Z201+AA248*AA201+AB248*AB201+AC248*AC201+AD248*AD201+AE248*AE201+AF248*AF201+AG248*AG201+AH248*AH201+AI248*AI201+AJ248*AJ201+AK248*AK201+AL248*AL201+AM248*AM201+AN248*AN201+AO248*AO201+AP248*AP201+AQ248*AQ201+AR248*AR201+AS248*AS201+AT248*AT201+AU248*AU201+AV248*AV201+AW248*AW201+AX248*AX201+AY248*AY201+AZ248*AZ201+BA248*BA201+BB248*BB201+BC248*BC201+BD248*BD201+BE248*BE201+BF248*BF201+BG248*BG201+BH248*BH201+BI248*BI201+BJ248*BJ201+BK248*BK201+BL248*BL201+BM248*BM201+BN248*BN201+BO248*BO201+BP248*BP201+BQ248*BQ201+BR248*BR201+BS248*BS201+BT248*BT201+BU248*BU201+BV248*BV201+BW248*BW201+BX248*BX201+BY248*BY201+BZ248*BZ201+CA248*CA201+CB248*CB201+CC248*CC201+CD248*CD201+CE248*CE201+CF248*CF201+CG248*CG201+CH248*CH201+CI248*CI201+CJ248*CJ201+CK248*CK201+CL248*CL201+CM248*CM201+CN248*CN201</f>
        <v>0</v>
      </c>
      <c r="CR201" s="2650">
        <f>E249*E201+F249*F201+G249*G201+H249*H201+I249*I201+J249*J201+K249*K201+L249*L201+M249*M201+N249*N201+O249*O201+P249*P201+Q249*Q201+R249*R201+S249*S201+T249*T201+U249*U201+V249*V201+W249*W201+X249*X201+Y249*Y201+Z249*Z201+AA249*AA201+AB249*AB201+AC249*AC201+AD249*AD201+AE249*AE201+AF249*AF201+AG249*AG201+AH249*AH201+AI249*AI201+AJ249*AJ201+AK249*AK201+AL249*AL201+AM249*AM201+AN249*AN201+AO249*AO201+AP249*AP201+AQ249*AQ201+AR249*AR201+AS249*AS201+AT249*AT201+AU249*AU201+AV249*AV201+AW249*AW201+AX249*AX201+AY249*AY201+AZ249*AZ201+BA249*BA201+BB249*BB201+BC249*BC201+BD249*BD201+BE249*BE201+BF249*BF201+BG249*BG201+BH249*BH201+BI249*BI201+BJ249*BJ201+BK249*BK201+BL249*BL201+BM249*BM201+BN249*BN201+BO249*BO201+BP249*BP201+BQ249*BQ201+BR249*BR201+BS249*BS201+BT249*BT201+BU249*BU201+BV249*BV201+BW249*BW201+BX249*BX201+BY249*BY201+BZ249*BZ201+CA249*CA201+CB249*CB201+CC249*CC201+CD249*CD201+CE249*CE201+CF249*CF201+CG249*CG201+CH249*CH201+CI249*CI201+CJ249*CJ201+CK249*CK201+CL249*CL201+CM249*CM201+CN249*CN201</f>
        <v>0</v>
      </c>
      <c r="CS201" s="2651">
        <f>E250*E201+F250*F201+G250*G201+H250*H201+I250*I201+J250*J201+K250*K201+L250*L201+M250*M201+N250*N201+O250*O201+P250*P201+Q250*Q201+R250*R201+S250*S201+T250*T201+U250*U201+V250*V201+W250*W201+X250*X201+Y250*Y201+Z250*Z201+AA250*AA201+AB250*AB201+AC250*AC201+AD250*AD201+AE250*AE201+AF250*AF201+AG250*AG201+AH250*AH201+AI250*AI201+AJ250*AJ201+AK250*AK201+AL250*AL201+AM250*AM201+AN250*AN201+AO250*AO201+AP250*AP201+AQ250*AQ201+AR250*AR201+AS250*AS201+AT250*AT201+AU250*AU201+AV250*AV201+AW250*AW201+AX250*AX201+AY250*AY201+AZ250*AZ201+BA250*BA201+BB250*BB201+BC250*BC201+BD250*BD201+BE250*BE201+BF250*BF201+BG250*BG201+BH250*BH201+BI250*BI201+BJ250*BJ201+BK250*BK201+BL250*BL201+BM250*BM201+BN250*BN201+BO250*BO201+BP250*BP201+BQ250*BQ201+BR250*BR201+BS250*BS201+BT250*BT201+BU250*BU201+BV250*BV201+BW250*BW201+BX250*BX201+BY250*BY201+BZ250*BZ201+CA250*CA201+CB250*CB201+CC250*CC201+CD250*CD201+CE250*CE201+CF250*CF201+CG250*CG201+CH250*CH201+CI250*CI201+CJ250*CJ201+CK250*CK201+CL250*CL201+CM250*CM201+CN250*CN201</f>
        <v>0</v>
      </c>
      <c r="CT201" s="2652">
        <f>E251*E201+F251*F201+G251*G201+H251*H201+I251*I201+J251*J201+K251*K201+L251*L201+M251*M201+N251*N201+O251*O201+P251*P201+Q251*Q201+R251*R201+S251*S201+T251*T201+U251*U201+V251*V201+W251*W201+X251*X201+Y251*Y201+Z251*Z201+AA251*AA201+AB251*AB201+AC251*AC201+AD251*AD201+AE251*AE201+AF251*AF201+AG251*AG201+AH251*AH201+AI251*AI201+AJ251*AJ201+AK251*AK201+AL251*AL201+AM251*AM201+AN251*AN201+AO251*AO201+AP251*AP201+AQ251*AQ201+AR251*AR201+AS251*AS201+AT251*AT201+AU251*AU201+AV251*AV201+AW251*AW201+AX251*AX201+AY251*AY201+AZ251*AZ201+BA251*BA201+BB251*BB201+BC251*BC201+BD251*BD201+BE251*BE201+BF251*BF201+BG251*BG201+BH251*BH201+BI251*BI201+BJ251*BJ201+BK251*BK201+BL251*BL201+BM251*BM201+BN251*BN201+BO251*BO201+BP251*BP201+BQ251*BQ201+BR251*BR201+BS251*BS201+BT251*BT201+BU251*BU201+BV251*BV201+BW251*BW201+BX251*BX201+BY251*BY201+BZ251*BZ201+CA251*CA201+CB251*CB201+CC251*CC201+CD251*CD201+CE251*CE201+CF251*CF201+CG251*CG201+CH251*CH201+CI251*CI201+CJ251*CJ201+CK251*CK201+CL251*CL201+CM251*CM201+CN251*CN201</f>
        <v>0</v>
      </c>
      <c r="CU201" s="2652">
        <f>E252*E201+F252*F201+G252*G201+H252*H201+I252*I201+J252*J201+K252*K201+L252*L201+M252*M201+N252*N201+O252*O201+P252*P201+Q252*Q201+R252*R201+S252*S201+T252*T201+U252*U201+V252*V201+W252*W201+X252*X201+Y252*Y201+Z252*Z201+AA252*AA201+AB252*AB201+AC252*AC201+AD252*AD201+AE252*AE201+AF252*AF201+AG252*AG201+AH252*AH201+AI252*AI201+AJ252*AJ201+AK252*AK201+AL252*AL201+AM252*AM201+AN252*AN201+AO252*AO201+AP252*AP201+AQ252*AQ201+AR252*AR201+AS252*AS201+AT252*AT201+AU252*AU201+AV252*AV201+AW252*AW201+AX252*AX201+AY252*AY201+AZ252*AZ201+BA252*BA201+BB252*BB201+BC252*BC201+BD252*BD201+BE252*BE201+BF252*BF201+BG252*BG201+BH252*BH201+BI252*BI201+BJ252*BJ201+BK252*BK201+BL252*BL201+BM252*BM201+BN252*BN201+BO252*BO201+BP252*BP201+BQ252*BQ201+BR252*BR201+BS252*BS201+BT252*BT201+BU252*BU201+BV252*BV201+BW252*BW201+BX252*BX201+BY252*BY201+BZ252*BZ201+CA252*CA201+CB252*CB201+CC252*CC201+CD252*CD201+CE252*CE201+CF252*CF201+CG252*CG201+CH252*CH201+CI252*CI201+CJ252*CJ201+CK252*CK201+CL252*CL201+CM252*CM201+CN252*CN201</f>
        <v>0</v>
      </c>
      <c r="CV201" s="2652">
        <f>E253*E201+F253*F201+G253*G201+H253*H201+I253*I201+J253*J201+K253*K201+L253*L201+M253*M201+N253*N201+O253*O201+P253*P201+Q253*Q201+R253*R201+S253*S201+T253*T201+U253*U201+V253*V201+W253*W201+X253*X201+Y253*Y201+Z253*Z201+AA253*AA201+AB253*AB201+AC253*AC201+AD253*AD201+AE253*AE201+AF253*AF201+AG253*AG201+AH253*AH201+AI253*AI201+AJ253*AJ201+AK253*AK201+AL253*AL201+AM253*AM201+AN253*AN201+AO253*AO201+AP253*AP201+AQ253*AQ201+AR253*AR201+AS253*AS201+AT253*AT201+AU253*AU201+AV253*AV201+AW253*AW201+AX253*AX201+AY253*AY201+AZ253*AZ201+BA253*BA201+BB253*BB201+BC253*BC201+BD253*BD201+BE253*BE201+BF253*BF201+BG253*BG201+BH253*BH201+BI253*BI201+BJ253*BJ201+BK253*BK201+BL253*BL201+BM253*BM201+BN253*BN201+BO253*BO201+BP253*BP201+BQ253*BQ201+BR253*BR201+BS253*BS201+BT253*BT201+BU253*BU201+BV253*BV201+BW253*BW201+BX253*BX201+BY253*BY201+BZ253*BZ201+CA253*CA201+CB253*CB201+CC253*CC201+CD253*CD201+CE253*CE201+CF253*CF201+CG253*CG201+CH253*CH201+CI253*CI201+CJ253*CJ201+CK253*CK201+CL253*CL201+CM253*CM201+CN253*CN201</f>
        <v>0</v>
      </c>
      <c r="CW201" s="2652">
        <f>E254*E201+F254*F201+G254*G201+H254*H201+I254*I201+J254*J201+K254*K201+L254*L201+M254*M201+N254*N201+O254*O201+P254*P201+Q254*Q201+R254*R201+S254*S201+T254*T201+U254*U201+V254*V201+W254*W201+X254*X201+Y254*Y201+Z254*Z201+AA254*AA201+AB254*AB201+AC254*AC201+AD254*AD201+AE254*AE201+AF254*AF201+AG254*AG201+AH254*AH201+AI254*AI201+AJ254*AJ201+AK254*AK201+AL254*AL201+AM254*AM201+AN254*AN201+AO254*AO201+AP254*AP201+AQ254*AQ201+AR254*AR201+AS254*AS201+AT254*AT201+AU254*AU201+AV254*AV201+AW254*AW201+AX254*AX201+AY254*AY201+AZ254*AZ201+BA254*BA201+BB254*BB201+BC254*BC201+BD254*BD201+BE254*BE201+BF254*BF201+BG254*BG201+BH254*BH201+BI254*BI201+BJ254*BJ201+BK254*BK201+BL254*BL201+BM254*BM201+BN254*BN201+BO254*BO201+BP254*BP201+BQ254*BQ201+BR254*BR201+BS254*BS201+BT254*BT201+BU254*BU201+BV254*BV201+BW254*BW201+BX254*BX201+BY254*BY201+BZ254*BZ201+CA254*CA201+CB254*CB201+CC254*CC201+CD254*CD201+CE254*CE201+CF254*CF201+CG254*CG201+CH254*CH201+CI254*CI201+CJ254*CJ201+CK254*CK201+CL254*CL201+CM254*CM201+CN254*CN201</f>
        <v>0</v>
      </c>
      <c r="CX201" s="2652">
        <f>E255*E201+F255*F201+G255*G201+H255*H201+I255*I201+J255*J201+K255*K201+L255*L201+M255*M201+N255*N201+O255*O201+P255*P201+Q255*Q201+R255*R201+S255*S201+T255*T201+U255*U201+V255*V201+W255*W201+X255*X201+Y255*Y201+Z255*Z201+AA255*AA201+AB255*AB201+AC255*AC201+AD255*AD201+AE255*AE201+AF255*AF201+AG255*AG201+AH255*AH201+AI255*AI201+AJ255*AJ201+AK255*AK201+AL255*AL201+AM255*AM201+AN255*AN201+AO255*AO201+AP255*AP201+AQ255*AQ201+AR255*AR201+AS255*AS201+AT255*AT201+AU255*AU201+AV255*AV201+AW255*AW201+AX255*AX201+AY255*AY201+AZ255*AZ201+BA255*BA201+BB255*BB201+BC255*BC201+BD255*BD201+BE255*BE201+BF255*BF201+BG255*BG201+BH255*BH201+BI255*BI201+BJ255*BJ201+BK255*BK201+BL255*BL201+BM255*BM201+BN255*BN201+BO255*BO201+BP255*BP201+BQ255*BQ201+BR255*BR201+BS255*BS201+BT255*BT201+BU255*BU201+BV255*BV201+BW255*BW201+BX255*BX201+BY255*BY201+BZ255*BZ201+CA255*CA201+CB255*CB201+CC255*CC201+CD255*CD201+CE255*CE201+CF255*CF201+CG255*CG201+CH255*CH201+CI255*CI201+CJ255*CJ201+CK255*CK201+CL255*CL201+CM255*CM201+CN255*CN201</f>
        <v>0</v>
      </c>
      <c r="CY201" s="2652">
        <f>E256*E201+F256*F201+G256*G201+H256*H201+I256*I201+J256*J201+K256*K201+L256*L201+M256*M201+N256*N201+O256*O201+P256*P201+Q256*Q201+R256*R201+S256*S201+T256*T201+U256*U201+V256*V201+W256*W201+X256*X201+Y256*Y201+Z256*Z201+AA256*AA201+AB256*AB201+AC256*AC201+AD256*AD201+AE256*AE201+AF256*AF201+AG256*AG201+AH256*AH201+AI256*AI201+AJ256*AJ201+AK256*AK201+AL256*AL201+AM256*AM201+AN256*AN201+AO256*AO201+AP256*AP201+AQ256*AQ201+AR256*AR201+AS256*AS201+AT256*AT201+AU256*AU201+AV256*AV201+AW256*AW201+AX256*AX201+AY256*AY201+AZ256*AZ201+BA256*BA201+BB256*BB201+BC256*BC201+BD256*BD201+BE256*BE201+BF256*BF201+BG256*BG201+BH256*BH201+BI256*BI201+BJ256*BJ201+BK256*BK201+BL256*BL201+BM256*BM201+BN256*BN201+BO256*BO201+BP256*BP201+BQ256*BQ201+BR256*BR201+BS256*BS201+BT256*BT201+BU256*BU201+BV256*BV201+BW256*BW201+BX256*BX201+BY256*BY201+BZ256*BZ201+CA256*CA201+CB256*CB201+CC256*CC201+CD256*CD201+CE256*CE201+CF256*CF201+CG256*CG201+CH256*CH201+CI256*CI201+CJ256*CJ201+CK256*CK201+CL256*CL201+CM256*CM201+CN256*CN201</f>
        <v>0</v>
      </c>
      <c r="CZ201" s="2652">
        <f>E257*E201+F257*F201+G257*G201+H257*H201+I257*I201+J257*J201+K257*K201+L257*L201+M257*M201+N257*N201+O257*O201+P257*P201+Q257*Q201+R257*R201+S257*S201+T257*T201+U257*U201+V257*V201+W257*W201+X257*X201+Y257*Y201+Z257*Z201+AA257*AA201+AB257*AB201+AC257*AC201+AD257*AD201+AE257*AE201+AF257*AF201+AG257*AG201+AH257*AH201+AI257*AI201+AJ257*AJ201+AK257*AK201+AL257*AL201+AM257*AM201+AN257*AN201+AO257*AO201+AP257*AP201+AQ257*AQ201+AR257*AR201+AS257*AS201+AT257*AT201+AU257*AU201+AV257*AV201+AW257*AW201+AX257*AX201+AY257*AY201+AZ257*AZ201+BA257*BA201+BB257*BB201+BC257*BC201+BD257*BD201+BE257*BE201+BF257*BF201+BG257*BG201+BH257*BH201+BI257*BI201+BJ257*BJ201+BK257*BK201+BL257*BL201+BM257*BM201+BN257*BN201+BO257*BO201+BP257*BP201+BQ257*BQ201+BR257*BR201+BS257*BS201+BT257*BT201+BU257*BU201+BV257*BV201+BW257*BW201+BX257*BX201+BY257*BY201+BZ257*BZ201+CA257*CA201+CB257*CB201+CC257*CC201+CD257*CD201+CE257*CE201+CF257*CF201+CG257*CG201+CH257*CH201+CI257*CI201+CJ257*CJ201+CK257*CK201+CL257*CL201+CM257*CM201+CN257*CN201</f>
        <v>0</v>
      </c>
      <c r="DA201" s="2652">
        <f>E258*E201+F258*F201+G258*G201+H258*H201+I258*I201+J258*J201+K258*K201+L258*L201+M258*M201+N258*N201+O258*O201+P258*P201+Q258*Q201+R258*R201+S258*S201+T258*T201+U258*U201+V258*V201+W258*W201+X258*X201+Y258*Y201+Z258*Z201+AA258*AA201+AB258*AB201+AC258*AC201+AD258*AD201+AE258*AE201+AF258*AF201+AG258*AG201+AH258*AH201+AI258*AI201+AJ258*AJ201+AK258*AK201+AL258*AL201+AM258*AM201+AN258*AN201+AO258*AO201+AP258*AP201+AQ258*AQ201+AR258*AR201+AS258*AS201+AT258*AT201+AU258*AU201+AV258*AV201+AW258*AW201+AX258*AX201+AY258*AY201+AZ258*AZ201+BA258*BA201+BB258*BB201+BC258*BC201+BD258*BD201+BE258*BE201+BF258*BF201+BG258*BG201+BH258*BH201+BI258*BI201+BJ258*BJ201+BK258*BK201+BL258*BL201+BM258*BM201+BN258*BN201+BO258*BO201+BP258*BP201+BQ258*BQ201+BR258*BR201+BS258*BS201+BT258*BT201+BU258*BU201+BV258*BV201+BW258*BW201+BX258*BX201+BY258*BY201+BZ258*BZ201+CA258*CA201+CB258*CB201+CC258*CC201+CD258*CD201+CE258*CE201+CF258*CF201+CG258*CG201+CH258*CH201+CI258*CI201+CJ258*CJ201+CK258*CK201+CL258*CL201+CM258*CM201+CN258*CN201</f>
        <v>0</v>
      </c>
    </row>
    <row r="202" spans="2:105" ht="18" x14ac:dyDescent="0.35">
      <c r="B202" s="1089">
        <v>69</v>
      </c>
      <c r="C202" s="1079" t="s">
        <v>2391</v>
      </c>
      <c r="D202" s="837" t="s">
        <v>1694</v>
      </c>
      <c r="E202" s="2691">
        <f>0</f>
        <v>0</v>
      </c>
      <c r="F202" s="2691">
        <f>0</f>
        <v>0</v>
      </c>
      <c r="G202" s="2691">
        <f>0</f>
        <v>0</v>
      </c>
      <c r="H202" s="2691">
        <f>0</f>
        <v>0</v>
      </c>
      <c r="I202" s="2691">
        <f>0</f>
        <v>0</v>
      </c>
      <c r="J202" s="2691">
        <f>0</f>
        <v>0</v>
      </c>
      <c r="K202" s="2693">
        <f>0</f>
        <v>0</v>
      </c>
      <c r="L202" s="2691">
        <f>0</f>
        <v>0</v>
      </c>
      <c r="M202" s="2691">
        <f>0</f>
        <v>0</v>
      </c>
      <c r="N202" s="2691">
        <f>0</f>
        <v>0</v>
      </c>
      <c r="O202" s="2691">
        <f>0</f>
        <v>0</v>
      </c>
      <c r="P202" s="2691">
        <f>0</f>
        <v>0</v>
      </c>
      <c r="Q202" s="2691">
        <f>0</f>
        <v>0</v>
      </c>
      <c r="R202" s="2691">
        <f>0</f>
        <v>0</v>
      </c>
      <c r="S202" s="2691">
        <f>0</f>
        <v>0</v>
      </c>
      <c r="T202" s="2691">
        <f>0</f>
        <v>0</v>
      </c>
      <c r="U202" s="2691">
        <f>0</f>
        <v>0</v>
      </c>
      <c r="V202" s="2691">
        <f>0</f>
        <v>0</v>
      </c>
      <c r="W202" s="2691">
        <f>0</f>
        <v>0</v>
      </c>
      <c r="X202" s="2691">
        <f>0</f>
        <v>0</v>
      </c>
      <c r="Y202" s="2691">
        <f>0</f>
        <v>0</v>
      </c>
      <c r="Z202" s="2691">
        <f>0</f>
        <v>0</v>
      </c>
      <c r="AA202" s="2691">
        <f>0</f>
        <v>0</v>
      </c>
      <c r="AB202" s="2691">
        <f>0</f>
        <v>0</v>
      </c>
      <c r="AC202" s="2693">
        <f>0</f>
        <v>0</v>
      </c>
      <c r="AD202" s="2691">
        <f>0</f>
        <v>0</v>
      </c>
      <c r="AE202" s="2691">
        <f>0</f>
        <v>0</v>
      </c>
      <c r="AF202" s="2691">
        <f>0</f>
        <v>0</v>
      </c>
      <c r="AG202" s="2691">
        <f>0</f>
        <v>0</v>
      </c>
      <c r="AH202" s="2691">
        <f>0</f>
        <v>0</v>
      </c>
      <c r="AI202" s="2691">
        <f>0</f>
        <v>0</v>
      </c>
      <c r="AJ202" s="2693">
        <f>0</f>
        <v>0</v>
      </c>
      <c r="AK202" s="2691">
        <f>0</f>
        <v>0</v>
      </c>
      <c r="AL202" s="2691">
        <f>1</f>
        <v>1</v>
      </c>
      <c r="AM202" s="2691">
        <f>0</f>
        <v>0</v>
      </c>
      <c r="AN202" s="2691">
        <f>-1</f>
        <v>-1</v>
      </c>
      <c r="AO202" s="2691">
        <f>0</f>
        <v>0</v>
      </c>
      <c r="AP202" s="2693">
        <f>0</f>
        <v>0</v>
      </c>
      <c r="AQ202" s="2691">
        <f>0</f>
        <v>0</v>
      </c>
      <c r="AR202" s="2691">
        <f>0</f>
        <v>0</v>
      </c>
      <c r="AS202" s="2691">
        <f>0</f>
        <v>0</v>
      </c>
      <c r="AT202" s="2691">
        <f>0</f>
        <v>0</v>
      </c>
      <c r="AU202" s="2691">
        <f>0</f>
        <v>0</v>
      </c>
      <c r="AV202" s="2691">
        <f>0</f>
        <v>0</v>
      </c>
      <c r="AW202" s="2691">
        <f>0</f>
        <v>0</v>
      </c>
      <c r="AX202" s="2691">
        <f>0</f>
        <v>0</v>
      </c>
      <c r="AY202" s="2691">
        <f>0</f>
        <v>0</v>
      </c>
      <c r="AZ202" s="2691">
        <f>0</f>
        <v>0</v>
      </c>
      <c r="BA202" s="2691">
        <f>0</f>
        <v>0</v>
      </c>
      <c r="BB202" s="2691">
        <f>0</f>
        <v>0</v>
      </c>
      <c r="BC202" s="2691">
        <f>0</f>
        <v>0</v>
      </c>
      <c r="BD202" s="2691">
        <f>0</f>
        <v>0</v>
      </c>
      <c r="BE202" s="2691">
        <f>0</f>
        <v>0</v>
      </c>
      <c r="BF202" s="2691">
        <f>0</f>
        <v>0</v>
      </c>
      <c r="BG202" s="2691">
        <f>0</f>
        <v>0</v>
      </c>
      <c r="BH202" s="2691">
        <f>0</f>
        <v>0</v>
      </c>
      <c r="BI202" s="2691">
        <f>0</f>
        <v>0</v>
      </c>
      <c r="BJ202" s="2698">
        <f>0</f>
        <v>0</v>
      </c>
      <c r="BK202" s="2698">
        <f>0</f>
        <v>0</v>
      </c>
      <c r="BL202" s="2698">
        <f>0</f>
        <v>0</v>
      </c>
      <c r="BM202" s="2698">
        <f>0</f>
        <v>0</v>
      </c>
      <c r="BN202" s="2698">
        <f>0</f>
        <v>0</v>
      </c>
      <c r="BO202" s="2698">
        <f>0</f>
        <v>0</v>
      </c>
      <c r="BP202" s="2698">
        <f>0</f>
        <v>0</v>
      </c>
      <c r="BQ202" s="2691">
        <f>0</f>
        <v>0</v>
      </c>
      <c r="BR202" s="2691">
        <f>0</f>
        <v>0</v>
      </c>
      <c r="BS202" s="2698">
        <f>0</f>
        <v>0</v>
      </c>
      <c r="BT202" s="2691">
        <f>0</f>
        <v>0</v>
      </c>
      <c r="BU202" s="2691">
        <f>0</f>
        <v>0</v>
      </c>
      <c r="BV202" s="2693">
        <f>0</f>
        <v>0</v>
      </c>
      <c r="BW202" s="2693">
        <f>0</f>
        <v>0</v>
      </c>
      <c r="BX202" s="2693">
        <f>0</f>
        <v>0</v>
      </c>
      <c r="BY202" s="2693">
        <f>0</f>
        <v>0</v>
      </c>
      <c r="BZ202" s="2691">
        <f>0</f>
        <v>0</v>
      </c>
      <c r="CA202" s="2691">
        <f>0</f>
        <v>0</v>
      </c>
      <c r="CB202" s="2807">
        <f>0</f>
        <v>0</v>
      </c>
      <c r="CC202" s="2691">
        <f>0</f>
        <v>0</v>
      </c>
      <c r="CD202" s="2691">
        <f>0</f>
        <v>0</v>
      </c>
      <c r="CE202" s="2691">
        <f>0</f>
        <v>0</v>
      </c>
      <c r="CF202" s="2691">
        <f>0</f>
        <v>0</v>
      </c>
      <c r="CG202" s="2691">
        <f>0</f>
        <v>0</v>
      </c>
      <c r="CH202" s="2691">
        <f>0</f>
        <v>0</v>
      </c>
      <c r="CI202" s="2691">
        <f>0</f>
        <v>0</v>
      </c>
      <c r="CJ202" s="2691">
        <f>0</f>
        <v>0</v>
      </c>
      <c r="CK202" s="2691">
        <f>0</f>
        <v>0</v>
      </c>
      <c r="CL202" s="2691">
        <f>0</f>
        <v>0</v>
      </c>
      <c r="CM202" s="2691">
        <f>0</f>
        <v>0</v>
      </c>
      <c r="CN202" s="2691">
        <f>0</f>
        <v>0</v>
      </c>
      <c r="CO202" s="2838">
        <f>q_SPB_T*S_P_B*X_HET</f>
        <v>5.0015000000000001</v>
      </c>
      <c r="CQ202" s="2650">
        <f>E248*E202+F248*F202+G248*G202+H248*H202+I248*I202+J248*J202+K248*K202+L248*L202+M248*M202+N248*N202+O248*O202+P248*P202+Q248*Q202+R248*R202+S248*S202+T248*T202+U248*U202+V248*V202+W248*W202+X248*X202+Y248*Y202+Z248*Z202+AA248*AA202+AB248*AB202+AC248*AC202+AD248*AD202+AE248*AE202+AF248*AF202+AG248*AG202+AH248*AH202+AI248*AI202+AJ248*AJ202+AK248*AK202+AL248*AL202+AM248*AM202+AN248*AN202+AO248*AO202+AP248*AP202+AQ248*AQ202+AR248*AR202+AS248*AS202+AT248*AT202+AU248*AU202+AV248*AV202+AW248*AW202+AX248*AX202+AY248*AY202+AZ248*AZ202+BA248*BA202+BB248*BB202+BC248*BC202+BD248*BD202+BE248*BE202+BF248*BF202+BG248*BG202+BH248*BH202+BI248*BI202+BJ248*BJ202+BK248*BK202+BL248*BL202+BM248*BM202+BN248*BN202+BO248*BO202+BP248*BP202+BQ248*BQ202+BR248*BR202+BS248*BS202+BT248*BT202+BU248*BU202+BV248*BV202+BW248*BW202+BX248*BX202+BY248*BY202+BZ248*BZ202+CA248*CA202+CB248*CB202+CC248*CC202+CD248*CD202+CE248*CE202+CF248*CF202+CG248*CG202+CH248*CH202+CI248*CI202+CJ248*CJ202+CK248*CK202+CL248*CL202+CM248*CM202+CN248*CN202</f>
        <v>0</v>
      </c>
      <c r="CR202" s="2650">
        <f>E249*E202+F249*F202+G249*G202+H249*H202+I249*I202+J249*J202+K249*K202+L249*L202+M249*M202+N249*N202+O249*O202+P249*P202+Q249*Q202+R249*R202+S249*S202+T249*T202+U249*U202+V249*V202+W249*W202+X249*X202+Y249*Y202+Z249*Z202+AA249*AA202+AB249*AB202+AC249*AC202+AD249*AD202+AE249*AE202+AF249*AF202+AG249*AG202+AH249*AH202+AI249*AI202+AJ249*AJ202+AK249*AK202+AL249*AL202+AM249*AM202+AN249*AN202+AO249*AO202+AP249*AP202+AQ249*AQ202+AR249*AR202+AS249*AS202+AT249*AT202+AU249*AU202+AV249*AV202+AW249*AW202+AX249*AX202+AY249*AY202+AZ249*AZ202+BA249*BA202+BB249*BB202+BC249*BC202+BD249*BD202+BE249*BE202+BF249*BF202+BG249*BG202+BH249*BH202+BI249*BI202+BJ249*BJ202+BK249*BK202+BL249*BL202+BM249*BM202+BN249*BN202+BO249*BO202+BP249*BP202+BQ249*BQ202+BR249*BR202+BS249*BS202+BT249*BT202+BU249*BU202+BV249*BV202+BW249*BW202+BX249*BX202+BY249*BY202+BZ249*BZ202+CA249*CA202+CB249*CB202+CC249*CC202+CD249*CD202+CE249*CE202+CF249*CF202+CG249*CG202+CH249*CH202+CI249*CI202+CJ249*CJ202+CK249*CK202+CL249*CL202+CM249*CM202+CN249*CN202</f>
        <v>0</v>
      </c>
      <c r="CS202" s="2651">
        <f>E250*E202+F250*F202+G250*G202+H250*H202+I250*I202+J250*J202+K250*K202+L250*L202+M250*M202+N250*N202+O250*O202+P250*P202+Q250*Q202+R250*R202+S250*S202+T250*T202+U250*U202+V250*V202+W250*W202+X250*X202+Y250*Y202+Z250*Z202+AA250*AA202+AB250*AB202+AC250*AC202+AD250*AD202+AE250*AE202+AF250*AF202+AG250*AG202+AH250*AH202+AI250*AI202+AJ250*AJ202+AK250*AK202+AL250*AL202+AM250*AM202+AN250*AN202+AO250*AO202+AP250*AP202+AQ250*AQ202+AR250*AR202+AS250*AS202+AT250*AT202+AU250*AU202+AV250*AV202+AW250*AW202+AX250*AX202+AY250*AY202+AZ250*AZ202+BA250*BA202+BB250*BB202+BC250*BC202+BD250*BD202+BE250*BE202+BF250*BF202+BG250*BG202+BH250*BH202+BI250*BI202+BJ250*BJ202+BK250*BK202+BL250*BL202+BM250*BM202+BN250*BN202+BO250*BO202+BP250*BP202+BQ250*BQ202+BR250*BR202+BS250*BS202+BT250*BT202+BU250*BU202+BV250*BV202+BW250*BW202+BX250*BX202+BY250*BY202+BZ250*BZ202+CA250*CA202+CB250*CB202+CC250*CC202+CD250*CD202+CE250*CE202+CF250*CF202+CG250*CG202+CH250*CH202+CI250*CI202+CJ250*CJ202+CK250*CK202+CL250*CL202+CM250*CM202+CN250*CN202</f>
        <v>0</v>
      </c>
      <c r="CT202" s="2652">
        <f>E251*E202+F251*F202+G251*G202+H251*H202+I251*I202+J251*J202+K251*K202+L251*L202+M251*M202+N251*N202+O251*O202+P251*P202+Q251*Q202+R251*R202+S251*S202+T251*T202+U251*U202+V251*V202+W251*W202+X251*X202+Y251*Y202+Z251*Z202+AA251*AA202+AB251*AB202+AC251*AC202+AD251*AD202+AE251*AE202+AF251*AF202+AG251*AG202+AH251*AH202+AI251*AI202+AJ251*AJ202+AK251*AK202+AL251*AL202+AM251*AM202+AN251*AN202+AO251*AO202+AP251*AP202+AQ251*AQ202+AR251*AR202+AS251*AS202+AT251*AT202+AU251*AU202+AV251*AV202+AW251*AW202+AX251*AX202+AY251*AY202+AZ251*AZ202+BA251*BA202+BB251*BB202+BC251*BC202+BD251*BD202+BE251*BE202+BF251*BF202+BG251*BG202+BH251*BH202+BI251*BI202+BJ251*BJ202+BK251*BK202+BL251*BL202+BM251*BM202+BN251*BN202+BO251*BO202+BP251*BP202+BQ251*BQ202+BR251*BR202+BS251*BS202+BT251*BT202+BU251*BU202+BV251*BV202+BW251*BW202+BX251*BX202+BY251*BY202+BZ251*BZ202+CA251*CA202+CB251*CB202+CC251*CC202+CD251*CD202+CE251*CE202+CF251*CF202+CG251*CG202+CH251*CH202+CI251*CI202+CJ251*CJ202+CK251*CK202+CL251*CL202+CM251*CM202+CN251*CN202</f>
        <v>0</v>
      </c>
      <c r="CU202" s="2652">
        <f>E252*E202+F252*F202+G252*G202+H252*H202+I252*I202+J252*J202+K252*K202+L252*L202+M252*M202+N252*N202+O252*O202+P252*P202+Q252*Q202+R252*R202+S252*S202+T252*T202+U252*U202+V252*V202+W252*W202+X252*X202+Y252*Y202+Z252*Z202+AA252*AA202+AB252*AB202+AC252*AC202+AD252*AD202+AE252*AE202+AF252*AF202+AG252*AG202+AH252*AH202+AI252*AI202+AJ252*AJ202+AK252*AK202+AL252*AL202+AM252*AM202+AN252*AN202+AO252*AO202+AP252*AP202+AQ252*AQ202+AR252*AR202+AS252*AS202+AT252*AT202+AU252*AU202+AV252*AV202+AW252*AW202+AX252*AX202+AY252*AY202+AZ252*AZ202+BA252*BA202+BB252*BB202+BC252*BC202+BD252*BD202+BE252*BE202+BF252*BF202+BG252*BG202+BH252*BH202+BI252*BI202+BJ252*BJ202+BK252*BK202+BL252*BL202+BM252*BM202+BN252*BN202+BO252*BO202+BP252*BP202+BQ252*BQ202+BR252*BR202+BS252*BS202+BT252*BT202+BU252*BU202+BV252*BV202+BW252*BW202+BX252*BX202+BY252*BY202+BZ252*BZ202+CA252*CA202+CB252*CB202+CC252*CC202+CD252*CD202+CE252*CE202+CF252*CF202+CG252*CG202+CH252*CH202+CI252*CI202+CJ252*CJ202+CK252*CK202+CL252*CL202+CM252*CM202+CN252*CN202</f>
        <v>0</v>
      </c>
      <c r="CV202" s="2652">
        <f>E253*E202+F253*F202+G253*G202+H253*H202+I253*I202+J253*J202+K253*K202+L253*L202+M253*M202+N253*N202+O253*O202+P253*P202+Q253*Q202+R253*R202+S253*S202+T253*T202+U253*U202+V253*V202+W253*W202+X253*X202+Y253*Y202+Z253*Z202+AA253*AA202+AB253*AB202+AC253*AC202+AD253*AD202+AE253*AE202+AF253*AF202+AG253*AG202+AH253*AH202+AI253*AI202+AJ253*AJ202+AK253*AK202+AL253*AL202+AM253*AM202+AN253*AN202+AO253*AO202+AP253*AP202+AQ253*AQ202+AR253*AR202+AS253*AS202+AT253*AT202+AU253*AU202+AV253*AV202+AW253*AW202+AX253*AX202+AY253*AY202+AZ253*AZ202+BA253*BA202+BB253*BB202+BC253*BC202+BD253*BD202+BE253*BE202+BF253*BF202+BG253*BG202+BH253*BH202+BI253*BI202+BJ253*BJ202+BK253*BK202+BL253*BL202+BM253*BM202+BN253*BN202+BO253*BO202+BP253*BP202+BQ253*BQ202+BR253*BR202+BS253*BS202+BT253*BT202+BU253*BU202+BV253*BV202+BW253*BW202+BX253*BX202+BY253*BY202+BZ253*BZ202+CA253*CA202+CB253*CB202+CC253*CC202+CD253*CD202+CE253*CE202+CF253*CF202+CG253*CG202+CH253*CH202+CI253*CI202+CJ253*CJ202+CK253*CK202+CL253*CL202+CM253*CM202+CN253*CN202</f>
        <v>0</v>
      </c>
      <c r="CW202" s="2652">
        <f>E254*E202+F254*F202+G254*G202+H254*H202+I254*I202+J254*J202+K254*K202+L254*L202+M254*M202+N254*N202+O254*O202+P254*P202+Q254*Q202+R254*R202+S254*S202+T254*T202+U254*U202+V254*V202+W254*W202+X254*X202+Y254*Y202+Z254*Z202+AA254*AA202+AB254*AB202+AC254*AC202+AD254*AD202+AE254*AE202+AF254*AF202+AG254*AG202+AH254*AH202+AI254*AI202+AJ254*AJ202+AK254*AK202+AL254*AL202+AM254*AM202+AN254*AN202+AO254*AO202+AP254*AP202+AQ254*AQ202+AR254*AR202+AS254*AS202+AT254*AT202+AU254*AU202+AV254*AV202+AW254*AW202+AX254*AX202+AY254*AY202+AZ254*AZ202+BA254*BA202+BB254*BB202+BC254*BC202+BD254*BD202+BE254*BE202+BF254*BF202+BG254*BG202+BH254*BH202+BI254*BI202+BJ254*BJ202+BK254*BK202+BL254*BL202+BM254*BM202+BN254*BN202+BO254*BO202+BP254*BP202+BQ254*BQ202+BR254*BR202+BS254*BS202+BT254*BT202+BU254*BU202+BV254*BV202+BW254*BW202+BX254*BX202+BY254*BY202+BZ254*BZ202+CA254*CA202+CB254*CB202+CC254*CC202+CD254*CD202+CE254*CE202+CF254*CF202+CG254*CG202+CH254*CH202+CI254*CI202+CJ254*CJ202+CK254*CK202+CL254*CL202+CM254*CM202+CN254*CN202</f>
        <v>0</v>
      </c>
      <c r="CX202" s="2652">
        <f>E255*E202+F255*F202+G255*G202+H255*H202+I255*I202+J255*J202+K255*K202+L255*L202+M255*M202+N255*N202+O255*O202+P255*P202+Q255*Q202+R255*R202+S255*S202+T255*T202+U255*U202+V255*V202+W255*W202+X255*X202+Y255*Y202+Z255*Z202+AA255*AA202+AB255*AB202+AC255*AC202+AD255*AD202+AE255*AE202+AF255*AF202+AG255*AG202+AH255*AH202+AI255*AI202+AJ255*AJ202+AK255*AK202+AL255*AL202+AM255*AM202+AN255*AN202+AO255*AO202+AP255*AP202+AQ255*AQ202+AR255*AR202+AS255*AS202+AT255*AT202+AU255*AU202+AV255*AV202+AW255*AW202+AX255*AX202+AY255*AY202+AZ255*AZ202+BA255*BA202+BB255*BB202+BC255*BC202+BD255*BD202+BE255*BE202+BF255*BF202+BG255*BG202+BH255*BH202+BI255*BI202+BJ255*BJ202+BK255*BK202+BL255*BL202+BM255*BM202+BN255*BN202+BO255*BO202+BP255*BP202+BQ255*BQ202+BR255*BR202+BS255*BS202+BT255*BT202+BU255*BU202+BV255*BV202+BW255*BW202+BX255*BX202+BY255*BY202+BZ255*BZ202+CA255*CA202+CB255*CB202+CC255*CC202+CD255*CD202+CE255*CE202+CF255*CF202+CG255*CG202+CH255*CH202+CI255*CI202+CJ255*CJ202+CK255*CK202+CL255*CL202+CM255*CM202+CN255*CN202</f>
        <v>0</v>
      </c>
      <c r="CY202" s="2652">
        <f>E256*E202+F256*F202+G256*G202+H256*H202+I256*I202+J256*J202+K256*K202+L256*L202+M256*M202+N256*N202+O256*O202+P256*P202+Q256*Q202+R256*R202+S256*S202+T256*T202+U256*U202+V256*V202+W256*W202+X256*X202+Y256*Y202+Z256*Z202+AA256*AA202+AB256*AB202+AC256*AC202+AD256*AD202+AE256*AE202+AF256*AF202+AG256*AG202+AH256*AH202+AI256*AI202+AJ256*AJ202+AK256*AK202+AL256*AL202+AM256*AM202+AN256*AN202+AO256*AO202+AP256*AP202+AQ256*AQ202+AR256*AR202+AS256*AS202+AT256*AT202+AU256*AU202+AV256*AV202+AW256*AW202+AX256*AX202+AY256*AY202+AZ256*AZ202+BA256*BA202+BB256*BB202+BC256*BC202+BD256*BD202+BE256*BE202+BF256*BF202+BG256*BG202+BH256*BH202+BI256*BI202+BJ256*BJ202+BK256*BK202+BL256*BL202+BM256*BM202+BN256*BN202+BO256*BO202+BP256*BP202+BQ256*BQ202+BR256*BR202+BS256*BS202+BT256*BT202+BU256*BU202+BV256*BV202+BW256*BW202+BX256*BX202+BY256*BY202+BZ256*BZ202+CA256*CA202+CB256*CB202+CC256*CC202+CD256*CD202+CE256*CE202+CF256*CF202+CG256*CG202+CH256*CH202+CI256*CI202+CJ256*CJ202+CK256*CK202+CL256*CL202+CM256*CM202+CN256*CN202</f>
        <v>0</v>
      </c>
      <c r="CZ202" s="2652">
        <f>E257*E202+F257*F202+G257*G202+H257*H202+I257*I202+J257*J202+K257*K202+L257*L202+M257*M202+N257*N202+O257*O202+P257*P202+Q257*Q202+R257*R202+S257*S202+T257*T202+U257*U202+V257*V202+W257*W202+X257*X202+Y257*Y202+Z257*Z202+AA257*AA202+AB257*AB202+AC257*AC202+AD257*AD202+AE257*AE202+AF257*AF202+AG257*AG202+AH257*AH202+AI257*AI202+AJ257*AJ202+AK257*AK202+AL257*AL202+AM257*AM202+AN257*AN202+AO257*AO202+AP257*AP202+AQ257*AQ202+AR257*AR202+AS257*AS202+AT257*AT202+AU257*AU202+AV257*AV202+AW257*AW202+AX257*AX202+AY257*AY202+AZ257*AZ202+BA257*BA202+BB257*BB202+BC257*BC202+BD257*BD202+BE257*BE202+BF257*BF202+BG257*BG202+BH257*BH202+BI257*BI202+BJ257*BJ202+BK257*BK202+BL257*BL202+BM257*BM202+BN257*BN202+BO257*BO202+BP257*BP202+BQ257*BQ202+BR257*BR202+BS257*BS202+BT257*BT202+BU257*BU202+BV257*BV202+BW257*BW202+BX257*BX202+BY257*BY202+BZ257*BZ202+CA257*CA202+CB257*CB202+CC257*CC202+CD257*CD202+CE257*CE202+CF257*CF202+CG257*CG202+CH257*CH202+CI257*CI202+CJ257*CJ202+CK257*CK202+CL257*CL202+CM257*CM202+CN257*CN202</f>
        <v>0</v>
      </c>
      <c r="DA202" s="2652">
        <f>E258*E202+F258*F202+G258*G202+H258*H202+I258*I202+J258*J202+K258*K202+L258*L202+M258*M202+N258*N202+O258*O202+P258*P202+Q258*Q202+R258*R202+S258*S202+T258*T202+U258*U202+V258*V202+W258*W202+X258*X202+Y258*Y202+Z258*Z202+AA258*AA202+AB258*AB202+AC258*AC202+AD258*AD202+AE258*AE202+AF258*AF202+AG258*AG202+AH258*AH202+AI258*AI202+AJ258*AJ202+AK258*AK202+AL258*AL202+AM258*AM202+AN258*AN202+AO258*AO202+AP258*AP202+AQ258*AQ202+AR258*AR202+AS258*AS202+AT258*AT202+AU258*AU202+AV258*AV202+AW258*AW202+AX258*AX202+AY258*AY202+AZ258*AZ202+BA258*BA202+BB258*BB202+BC258*BC202+BD258*BD202+BE258*BE202+BF258*BF202+BG258*BG202+BH258*BH202+BI258*BI202+BJ258*BJ202+BK258*BK202+BL258*BL202+BM258*BM202+BN258*BN202+BO258*BO202+BP258*BP202+BQ258*BQ202+BR258*BR202+BS258*BS202+BT258*BT202+BU258*BU202+BV258*BV202+BW258*BW202+BX258*BX202+BY258*BY202+BZ258*BZ202+CA258*CA202+CB258*CB202+CC258*CC202+CD258*CD202+CE258*CE202+CF258*CF202+CG258*CG202+CH258*CH202+CI258*CI202+CJ258*CJ202+CK258*CK202+CL258*CL202+CM258*CM202+CN258*CN202</f>
        <v>0</v>
      </c>
    </row>
    <row r="203" spans="2:105" ht="18" x14ac:dyDescent="0.35">
      <c r="B203" s="1089">
        <v>70</v>
      </c>
      <c r="C203" s="1079" t="s">
        <v>2392</v>
      </c>
      <c r="D203" s="837" t="s">
        <v>5369</v>
      </c>
      <c r="E203" s="2691">
        <f>0</f>
        <v>0</v>
      </c>
      <c r="F203" s="2691">
        <f>0</f>
        <v>0</v>
      </c>
      <c r="G203" s="2691">
        <f>0</f>
        <v>0</v>
      </c>
      <c r="H203" s="2691">
        <f>0</f>
        <v>0</v>
      </c>
      <c r="I203" s="2691">
        <f>0</f>
        <v>0</v>
      </c>
      <c r="J203" s="2691">
        <f>1</f>
        <v>1</v>
      </c>
      <c r="K203" s="2693">
        <f>0</f>
        <v>0</v>
      </c>
      <c r="L203" s="2691">
        <f>0</f>
        <v>0</v>
      </c>
      <c r="M203" s="2691">
        <f>0</f>
        <v>0</v>
      </c>
      <c r="N203" s="2691">
        <f>0</f>
        <v>0</v>
      </c>
      <c r="O203" s="2691">
        <f>0</f>
        <v>0</v>
      </c>
      <c r="P203" s="2691">
        <f>0</f>
        <v>0</v>
      </c>
      <c r="Q203" s="2691">
        <f>0</f>
        <v>0</v>
      </c>
      <c r="R203" s="2691">
        <f>-1</f>
        <v>-1</v>
      </c>
      <c r="S203" s="2691">
        <f>0</f>
        <v>0</v>
      </c>
      <c r="T203" s="2691">
        <f>0</f>
        <v>0</v>
      </c>
      <c r="U203" s="2691">
        <f>0</f>
        <v>0</v>
      </c>
      <c r="V203" s="2691">
        <f>0</f>
        <v>0</v>
      </c>
      <c r="W203" s="2691">
        <f>0</f>
        <v>0</v>
      </c>
      <c r="X203" s="2691">
        <f>0</f>
        <v>0</v>
      </c>
      <c r="Y203" s="2691">
        <f>0</f>
        <v>0</v>
      </c>
      <c r="Z203" s="2691">
        <f>0</f>
        <v>0</v>
      </c>
      <c r="AA203" s="2691">
        <f>0</f>
        <v>0</v>
      </c>
      <c r="AB203" s="2691">
        <f>0</f>
        <v>0</v>
      </c>
      <c r="AC203" s="2693">
        <f>0</f>
        <v>0</v>
      </c>
      <c r="AD203" s="2691">
        <f>0</f>
        <v>0</v>
      </c>
      <c r="AE203" s="2691">
        <f>0</f>
        <v>0</v>
      </c>
      <c r="AF203" s="2691">
        <f>0</f>
        <v>0</v>
      </c>
      <c r="AG203" s="2691">
        <f>0</f>
        <v>0</v>
      </c>
      <c r="AH203" s="2691">
        <f>0</f>
        <v>0</v>
      </c>
      <c r="AI203" s="2691">
        <f>i_N_XE</f>
        <v>0.06</v>
      </c>
      <c r="AJ203" s="2693">
        <f>0</f>
        <v>0</v>
      </c>
      <c r="AK203" s="2691">
        <f>0</f>
        <v>0</v>
      </c>
      <c r="AL203" s="2691">
        <f>0</f>
        <v>0</v>
      </c>
      <c r="AM203" s="2691">
        <f>0</f>
        <v>0</v>
      </c>
      <c r="AN203" s="2691">
        <f>0</f>
        <v>0</v>
      </c>
      <c r="AO203" s="2691">
        <f>i_P_BIO</f>
        <v>0.02</v>
      </c>
      <c r="AP203" s="2693">
        <f>0</f>
        <v>0</v>
      </c>
      <c r="AQ203" s="2691">
        <f>0</f>
        <v>0</v>
      </c>
      <c r="AR203" s="2691">
        <f>0</f>
        <v>0</v>
      </c>
      <c r="AS203" s="2691">
        <f>0</f>
        <v>0</v>
      </c>
      <c r="AT203" s="2691">
        <f>0</f>
        <v>0</v>
      </c>
      <c r="AU203" s="2691">
        <f>i_CIT_BIO-i_CIT_SB_poly</f>
        <v>6.6000000000000003E-2</v>
      </c>
      <c r="AV203" s="2691">
        <f>0</f>
        <v>0</v>
      </c>
      <c r="AW203" s="2691">
        <f>0</f>
        <v>0</v>
      </c>
      <c r="AX203" s="2691">
        <f>0</f>
        <v>0</v>
      </c>
      <c r="AY203" s="2691">
        <f>0</f>
        <v>0</v>
      </c>
      <c r="AZ203" s="2691">
        <f>0</f>
        <v>0</v>
      </c>
      <c r="BA203" s="2691">
        <f>0</f>
        <v>0</v>
      </c>
      <c r="BB203" s="2691">
        <f>0</f>
        <v>0</v>
      </c>
      <c r="BC203" s="2691">
        <f>0</f>
        <v>0</v>
      </c>
      <c r="BD203" s="2691">
        <f>0</f>
        <v>0</v>
      </c>
      <c r="BE203" s="2691">
        <f>0</f>
        <v>0</v>
      </c>
      <c r="BF203" s="2691">
        <f>0</f>
        <v>0</v>
      </c>
      <c r="BG203" s="2691">
        <f>0</f>
        <v>0</v>
      </c>
      <c r="BH203" s="2691">
        <f>0</f>
        <v>0</v>
      </c>
      <c r="BI203" s="2691">
        <f>0</f>
        <v>0</v>
      </c>
      <c r="BJ203" s="2698">
        <f>0</f>
        <v>0</v>
      </c>
      <c r="BK203" s="2698">
        <f>0</f>
        <v>0</v>
      </c>
      <c r="BL203" s="2698">
        <f>0</f>
        <v>0</v>
      </c>
      <c r="BM203" s="2698">
        <f>0</f>
        <v>0</v>
      </c>
      <c r="BN203" s="2698">
        <f>0</f>
        <v>0</v>
      </c>
      <c r="BO203" s="2698">
        <f>0</f>
        <v>0</v>
      </c>
      <c r="BP203" s="2698">
        <f>0</f>
        <v>0</v>
      </c>
      <c r="BQ203" s="2691">
        <f>0</f>
        <v>0</v>
      </c>
      <c r="BR203" s="2691">
        <f>0</f>
        <v>0</v>
      </c>
      <c r="BS203" s="2698">
        <f>0</f>
        <v>0</v>
      </c>
      <c r="BT203" s="2691">
        <f>0</f>
        <v>0</v>
      </c>
      <c r="BU203" s="2691">
        <f>0</f>
        <v>0</v>
      </c>
      <c r="BV203" s="2693">
        <f>0</f>
        <v>0</v>
      </c>
      <c r="BW203" s="2693">
        <f>0</f>
        <v>0</v>
      </c>
      <c r="BX203" s="2693">
        <f>0</f>
        <v>0</v>
      </c>
      <c r="BY203" s="2693">
        <f>0</f>
        <v>0</v>
      </c>
      <c r="BZ203" s="2691">
        <f>0</f>
        <v>0</v>
      </c>
      <c r="CA203" s="2691">
        <f>0</f>
        <v>0</v>
      </c>
      <c r="CB203" s="2807">
        <f>0</f>
        <v>0</v>
      </c>
      <c r="CC203" s="2691">
        <f>0</f>
        <v>0</v>
      </c>
      <c r="CD203" s="2691">
        <f>0</f>
        <v>0</v>
      </c>
      <c r="CE203" s="2691">
        <f>0</f>
        <v>0</v>
      </c>
      <c r="CF203" s="2691">
        <f>0</f>
        <v>0</v>
      </c>
      <c r="CG203" s="2691">
        <f>0</f>
        <v>0</v>
      </c>
      <c r="CH203" s="2691">
        <f>0</f>
        <v>0</v>
      </c>
      <c r="CI203" s="2691">
        <f>0</f>
        <v>0</v>
      </c>
      <c r="CJ203" s="2691">
        <f>0</f>
        <v>0</v>
      </c>
      <c r="CK203" s="2691">
        <f>0</f>
        <v>0</v>
      </c>
      <c r="CL203" s="2691">
        <f>0</f>
        <v>0</v>
      </c>
      <c r="CM203" s="2691">
        <f>0</f>
        <v>0</v>
      </c>
      <c r="CN203" s="2691">
        <f>0</f>
        <v>0</v>
      </c>
      <c r="CO203" s="2838">
        <f>q_XE_T*X_E</f>
        <v>2.1</v>
      </c>
      <c r="CQ203" s="2650">
        <f>E248*E203+F248*F203+G248*G203+H248*H203+I248*I203+J248*J203+K248*K203+L248*L203+M248*M203+N248*N203+O248*O203+P248*P203+Q248*Q203+R248*R203+S248*S203+T248*T203+U248*U203+V248*V203+W248*W203+X248*X203+Y248*Y203+Z248*Z203+AA248*AA203+AB248*AB203+AC248*AC203+AD248*AD203+AE248*AE203+AF248*AF203+AG248*AG203+AH248*AH203+AI248*AI203+AJ248*AJ203+AK248*AK203+AL248*AL203+AM248*AM203+AN248*AN203+AO248*AO203+AP248*AP203+AQ248*AQ203+AR248*AR203+AS248*AS203+AT248*AT203+AU248*AU203+AV248*AV203+AW248*AW203+AX248*AX203+AY248*AY203+AZ248*AZ203+BA248*BA203+BB248*BB203+BC248*BC203+BD248*BD203+BE248*BE203+BF248*BF203+BG248*BG203+BH248*BH203+BI248*BI203+BJ248*BJ203+BK248*BK203+BL248*BL203+BM248*BM203+BN248*BN203+BO248*BO203+BP248*BP203+BQ248*BQ203+BR248*BR203+BS248*BS203+BT248*BT203+BU248*BU203+BV248*BV203+BW248*BW203+BX248*BX203+BY248*BY203+BZ248*BZ203+CA248*CA203+CB248*CB203+CC248*CC203+CD248*CD203+CE248*CE203+CF248*CF203+CG248*CG203+CH248*CH203+CI248*CI203+CJ248*CJ203+CK248*CK203+CL248*CL203+CM248*CM203+CN248*CN203</f>
        <v>0</v>
      </c>
      <c r="CR203" s="2650">
        <f>E249*E203+F249*F203+G249*G203+H249*H203+I249*I203+J249*J203+K249*K203+L249*L203+M249*M203+N249*N203+O249*O203+P249*P203+Q249*Q203+R249*R203+S249*S203+T249*T203+U249*U203+V249*V203+W249*W203+X249*X203+Y249*Y203+Z249*Z203+AA249*AA203+AB249*AB203+AC249*AC203+AD249*AD203+AE249*AE203+AF249*AF203+AG249*AG203+AH249*AH203+AI249*AI203+AJ249*AJ203+AK249*AK203+AL249*AL203+AM249*AM203+AN249*AN203+AO249*AO203+AP249*AP203+AQ249*AQ203+AR249*AR203+AS249*AS203+AT249*AT203+AU249*AU203+AV249*AV203+AW249*AW203+AX249*AX203+AY249*AY203+AZ249*AZ203+BA249*BA203+BB249*BB203+BC249*BC203+BD249*BD203+BE249*BE203+BF249*BF203+BG249*BG203+BH249*BH203+BI249*BI203+BJ249*BJ203+BK249*BK203+BL249*BL203+BM249*BM203+BN249*BN203+BO249*BO203+BP249*BP203+BQ249*BQ203+BR249*BR203+BS249*BS203+BT249*BT203+BU249*BU203+BV249*BV203+BW249*BW203+BX249*BX203+BY249*BY203+BZ249*BZ203+CA249*CA203+CB249*CB203+CC249*CC203+CD249*CD203+CE249*CE203+CF249*CF203+CG249*CG203+CH249*CH203+CI249*CI203+CJ249*CJ203+CK249*CK203+CL249*CL203+CM249*CM203+CN249*CN203</f>
        <v>0</v>
      </c>
      <c r="CS203" s="2651">
        <f>E250*E203+F250*F203+G250*G203+H250*H203+I250*I203+J250*J203+K250*K203+L250*L203+M250*M203+N250*N203+O250*O203+P250*P203+Q250*Q203+R250*R203+S250*S203+T250*T203+U250*U203+V250*V203+W250*W203+X250*X203+Y250*Y203+Z250*Z203+AA250*AA203+AB250*AB203+AC250*AC203+AD250*AD203+AE250*AE203+AF250*AF203+AG250*AG203+AH250*AH203+AI250*AI203+AJ250*AJ203+AK250*AK203+AL250*AL203+AM250*AM203+AN250*AN203+AO250*AO203+AP250*AP203+AQ250*AQ203+AR250*AR203+AS250*AS203+AT250*AT203+AU250*AU203+AV250*AV203+AW250*AW203+AX250*AX203+AY250*AY203+AZ250*AZ203+BA250*BA203+BB250*BB203+BC250*BC203+BD250*BD203+BE250*BE203+BF250*BF203+BG250*BG203+BH250*BH203+BI250*BI203+BJ250*BJ203+BK250*BK203+BL250*BL203+BM250*BM203+BN250*BN203+BO250*BO203+BP250*BP203+BQ250*BQ203+BR250*BR203+BS250*BS203+BT250*BT203+BU250*BU203+BV250*BV203+BW250*BW203+BX250*BX203+BY250*BY203+BZ250*BZ203+CA250*CA203+CB250*CB203+CC250*CC203+CD250*CD203+CE250*CE203+CF250*CF203+CG250*CG203+CH250*CH203+CI250*CI203+CJ250*CJ203+CK250*CK203+CL250*CL203+CM250*CM203+CN250*CN203</f>
        <v>0</v>
      </c>
      <c r="CT203" s="2652">
        <f>E251*E203+F251*F203+G251*G203+H251*H203+I251*I203+J251*J203+K251*K203+L251*L203+M251*M203+N251*N203+O251*O203+P251*P203+Q251*Q203+R251*R203+S251*S203+T251*T203+U251*U203+V251*V203+W251*W203+X251*X203+Y251*Y203+Z251*Z203+AA251*AA203+AB251*AB203+AC251*AC203+AD251*AD203+AE251*AE203+AF251*AF203+AG251*AG203+AH251*AH203+AI251*AI203+AJ251*AJ203+AK251*AK203+AL251*AL203+AM251*AM203+AN251*AN203+AO251*AO203+AP251*AP203+AQ251*AQ203+AR251*AR203+AS251*AS203+AT251*AT203+AU251*AU203+AV251*AV203+AW251*AW203+AX251*AX203+AY251*AY203+AZ251*AZ203+BA251*BA203+BB251*BB203+BC251*BC203+BD251*BD203+BE251*BE203+BF251*BF203+BG251*BG203+BH251*BH203+BI251*BI203+BJ251*BJ203+BK251*BK203+BL251*BL203+BM251*BM203+BN251*BN203+BO251*BO203+BP251*BP203+BQ251*BQ203+BR251*BR203+BS251*BS203+BT251*BT203+BU251*BU203+BV251*BV203+BW251*BW203+BX251*BX203+BY251*BY203+BZ251*BZ203+CA251*CA203+CB251*CB203+CC251*CC203+CD251*CD203+CE251*CE203+CF251*CF203+CG251*CG203+CH251*CH203+CI251*CI203+CJ251*CJ203+CK251*CK203+CL251*CL203+CM251*CM203+CN251*CN203</f>
        <v>0</v>
      </c>
      <c r="CU203" s="2652">
        <f>E252*E203+F252*F203+G252*G203+H252*H203+I252*I203+J252*J203+K252*K203+L252*L203+M252*M203+N252*N203+O252*O203+P252*P203+Q252*Q203+R252*R203+S252*S203+T252*T203+U252*U203+V252*V203+W252*W203+X252*X203+Y252*Y203+Z252*Z203+AA252*AA203+AB252*AB203+AC252*AC203+AD252*AD203+AE252*AE203+AF252*AF203+AG252*AG203+AH252*AH203+AI252*AI203+AJ252*AJ203+AK252*AK203+AL252*AL203+AM252*AM203+AN252*AN203+AO252*AO203+AP252*AP203+AQ252*AQ203+AR252*AR203+AS252*AS203+AT252*AT203+AU252*AU203+AV252*AV203+AW252*AW203+AX252*AX203+AY252*AY203+AZ252*AZ203+BA252*BA203+BB252*BB203+BC252*BC203+BD252*BD203+BE252*BE203+BF252*BF203+BG252*BG203+BH252*BH203+BI252*BI203+BJ252*BJ203+BK252*BK203+BL252*BL203+BM252*BM203+BN252*BN203+BO252*BO203+BP252*BP203+BQ252*BQ203+BR252*BR203+BS252*BS203+BT252*BT203+BU252*BU203+BV252*BV203+BW252*BW203+BX252*BX203+BY252*BY203+BZ252*BZ203+CA252*CA203+CB252*CB203+CC252*CC203+CD252*CD203+CE252*CE203+CF252*CF203+CG252*CG203+CH252*CH203+CI252*CI203+CJ252*CJ203+CK252*CK203+CL252*CL203+CM252*CM203+CN252*CN203</f>
        <v>0</v>
      </c>
      <c r="CV203" s="2652">
        <f>E253*E203+F253*F203+G253*G203+H253*H203+I253*I203+J253*J203+K253*K203+L253*L203+M253*M203+N253*N203+O253*O203+P253*P203+Q253*Q203+R253*R203+S253*S203+T253*T203+U253*U203+V253*V203+W253*W203+X253*X203+Y253*Y203+Z253*Z203+AA253*AA203+AB253*AB203+AC253*AC203+AD253*AD203+AE253*AE203+AF253*AF203+AG253*AG203+AH253*AH203+AI253*AI203+AJ253*AJ203+AK253*AK203+AL253*AL203+AM253*AM203+AN253*AN203+AO253*AO203+AP253*AP203+AQ253*AQ203+AR253*AR203+AS253*AS203+AT253*AT203+AU253*AU203+AV253*AV203+AW253*AW203+AX253*AX203+AY253*AY203+AZ253*AZ203+BA253*BA203+BB253*BB203+BC253*BC203+BD253*BD203+BE253*BE203+BF253*BF203+BG253*BG203+BH253*BH203+BI253*BI203+BJ253*BJ203+BK253*BK203+BL253*BL203+BM253*BM203+BN253*BN203+BO253*BO203+BP253*BP203+BQ253*BQ203+BR253*BR203+BS253*BS203+BT253*BT203+BU253*BU203+BV253*BV203+BW253*BW203+BX253*BX203+BY253*BY203+BZ253*BZ203+CA253*CA203+CB253*CB203+CC253*CC203+CD253*CD203+CE253*CE203+CF253*CF203+CG253*CG203+CH253*CH203+CI253*CI203+CJ253*CJ203+CK253*CK203+CL253*CL203+CM253*CM203+CN253*CN203</f>
        <v>0</v>
      </c>
      <c r="CW203" s="2652">
        <f>E254*E203+F254*F203+G254*G203+H254*H203+I254*I203+J254*J203+K254*K203+L254*L203+M254*M203+N254*N203+O254*O203+P254*P203+Q254*Q203+R254*R203+S254*S203+T254*T203+U254*U203+V254*V203+W254*W203+X254*X203+Y254*Y203+Z254*Z203+AA254*AA203+AB254*AB203+AC254*AC203+AD254*AD203+AE254*AE203+AF254*AF203+AG254*AG203+AH254*AH203+AI254*AI203+AJ254*AJ203+AK254*AK203+AL254*AL203+AM254*AM203+AN254*AN203+AO254*AO203+AP254*AP203+AQ254*AQ203+AR254*AR203+AS254*AS203+AT254*AT203+AU254*AU203+AV254*AV203+AW254*AW203+AX254*AX203+AY254*AY203+AZ254*AZ203+BA254*BA203+BB254*BB203+BC254*BC203+BD254*BD203+BE254*BE203+BF254*BF203+BG254*BG203+BH254*BH203+BI254*BI203+BJ254*BJ203+BK254*BK203+BL254*BL203+BM254*BM203+BN254*BN203+BO254*BO203+BP254*BP203+BQ254*BQ203+BR254*BR203+BS254*BS203+BT254*BT203+BU254*BU203+BV254*BV203+BW254*BW203+BX254*BX203+BY254*BY203+BZ254*BZ203+CA254*CA203+CB254*CB203+CC254*CC203+CD254*CD203+CE254*CE203+CF254*CF203+CG254*CG203+CH254*CH203+CI254*CI203+CJ254*CJ203+CK254*CK203+CL254*CL203+CM254*CM203+CN254*CN203</f>
        <v>0</v>
      </c>
      <c r="CX203" s="2652">
        <f>E255*E203+F255*F203+G255*G203+H255*H203+I255*I203+J255*J203+K255*K203+L255*L203+M255*M203+N255*N203+O255*O203+P255*P203+Q255*Q203+R255*R203+S255*S203+T255*T203+U255*U203+V255*V203+W255*W203+X255*X203+Y255*Y203+Z255*Z203+AA255*AA203+AB255*AB203+AC255*AC203+AD255*AD203+AE255*AE203+AF255*AF203+AG255*AG203+AH255*AH203+AI255*AI203+AJ255*AJ203+AK255*AK203+AL255*AL203+AM255*AM203+AN255*AN203+AO255*AO203+AP255*AP203+AQ255*AQ203+AR255*AR203+AS255*AS203+AT255*AT203+AU255*AU203+AV255*AV203+AW255*AW203+AX255*AX203+AY255*AY203+AZ255*AZ203+BA255*BA203+BB255*BB203+BC255*BC203+BD255*BD203+BE255*BE203+BF255*BF203+BG255*BG203+BH255*BH203+BI255*BI203+BJ255*BJ203+BK255*BK203+BL255*BL203+BM255*BM203+BN255*BN203+BO255*BO203+BP255*BP203+BQ255*BQ203+BR255*BR203+BS255*BS203+BT255*BT203+BU255*BU203+BV255*BV203+BW255*BW203+BX255*BX203+BY255*BY203+BZ255*BZ203+CA255*CA203+CB255*CB203+CC255*CC203+CD255*CD203+CE255*CE203+CF255*CF203+CG255*CG203+CH255*CH203+CI255*CI203+CJ255*CJ203+CK255*CK203+CL255*CL203+CM255*CM203+CN255*CN203</f>
        <v>0</v>
      </c>
      <c r="CY203" s="2652">
        <f>E256*E203+F256*F203+G256*G203+H256*H203+I256*I203+J256*J203+K256*K203+L256*L203+M256*M203+N256*N203+O256*O203+P256*P203+Q256*Q203+R256*R203+S256*S203+T256*T203+U256*U203+V256*V203+W256*W203+X256*X203+Y256*Y203+Z256*Z203+AA256*AA203+AB256*AB203+AC256*AC203+AD256*AD203+AE256*AE203+AF256*AF203+AG256*AG203+AH256*AH203+AI256*AI203+AJ256*AJ203+AK256*AK203+AL256*AL203+AM256*AM203+AN256*AN203+AO256*AO203+AP256*AP203+AQ256*AQ203+AR256*AR203+AS256*AS203+AT256*AT203+AU256*AU203+AV256*AV203+AW256*AW203+AX256*AX203+AY256*AY203+AZ256*AZ203+BA256*BA203+BB256*BB203+BC256*BC203+BD256*BD203+BE256*BE203+BF256*BF203+BG256*BG203+BH256*BH203+BI256*BI203+BJ256*BJ203+BK256*BK203+BL256*BL203+BM256*BM203+BN256*BN203+BO256*BO203+BP256*BP203+BQ256*BQ203+BR256*BR203+BS256*BS203+BT256*BT203+BU256*BU203+BV256*BV203+BW256*BW203+BX256*BX203+BY256*BY203+BZ256*BZ203+CA256*CA203+CB256*CB203+CC256*CC203+CD256*CD203+CE256*CE203+CF256*CF203+CG256*CG203+CH256*CH203+CI256*CI203+CJ256*CJ203+CK256*CK203+CL256*CL203+CM256*CM203+CN256*CN203</f>
        <v>0</v>
      </c>
      <c r="CZ203" s="2652">
        <f>E257*E203+F257*F203+G257*G203+H257*H203+I257*I203+J257*J203+K257*K203+L257*L203+M257*M203+N257*N203+O257*O203+P257*P203+Q257*Q203+R257*R203+S257*S203+T257*T203+U257*U203+V257*V203+W257*W203+X257*X203+Y257*Y203+Z257*Z203+AA257*AA203+AB257*AB203+AC257*AC203+AD257*AD203+AE257*AE203+AF257*AF203+AG257*AG203+AH257*AH203+AI257*AI203+AJ257*AJ203+AK257*AK203+AL257*AL203+AM257*AM203+AN257*AN203+AO257*AO203+AP257*AP203+AQ257*AQ203+AR257*AR203+AS257*AS203+AT257*AT203+AU257*AU203+AV257*AV203+AW257*AW203+AX257*AX203+AY257*AY203+AZ257*AZ203+BA257*BA203+BB257*BB203+BC257*BC203+BD257*BD203+BE257*BE203+BF257*BF203+BG257*BG203+BH257*BH203+BI257*BI203+BJ257*BJ203+BK257*BK203+BL257*BL203+BM257*BM203+BN257*BN203+BO257*BO203+BP257*BP203+BQ257*BQ203+BR257*BR203+BS257*BS203+BT257*BT203+BU257*BU203+BV257*BV203+BW257*BW203+BX257*BX203+BY257*BY203+BZ257*BZ203+CA257*CA203+CB257*CB203+CC257*CC203+CD257*CD203+CE257*CE203+CF257*CF203+CG257*CG203+CH257*CH203+CI257*CI203+CJ257*CJ203+CK257*CK203+CL257*CL203+CM257*CM203+CN257*CN203</f>
        <v>0</v>
      </c>
      <c r="DA203" s="2652">
        <f>E258*E203+F258*F203+G258*G203+H258*H203+I258*I203+J258*J203+K258*K203+L258*L203+M258*M203+N258*N203+O258*O203+P258*P203+Q258*Q203+R258*R203+S258*S203+T258*T203+U258*U203+V258*V203+W258*W203+X258*X203+Y258*Y203+Z258*Z203+AA258*AA203+AB258*AB203+AC258*AC203+AD258*AD203+AE258*AE203+AF258*AF203+AG258*AG203+AH258*AH203+AI258*AI203+AJ258*AJ203+AK258*AK203+AL258*AL203+AM258*AM203+AN258*AN203+AO258*AO203+AP258*AP203+AQ258*AQ203+AR258*AR203+AS258*AS203+AT258*AT203+AU258*AU203+AV258*AV203+AW258*AW203+AX258*AX203+AY258*AY203+AZ258*AZ203+BA258*BA203+BB258*BB203+BC258*BC203+BD258*BD203+BE258*BE203+BF258*BF203+BG258*BG203+BH258*BH203+BI258*BI203+BJ258*BJ203+BK258*BK203+BL258*BL203+BM258*BM203+BN258*BN203+BO258*BO203+BP258*BP203+BQ258*BQ203+BR258*BR203+BS258*BS203+BT258*BT203+BU258*BU203+BV258*BV203+BW258*BW203+BX258*BX203+BY258*BY203+BZ258*BZ203+CA258*CA203+CB258*CB203+CC258*CC203+CD258*CD203+CE258*CE203+CF258*CF203+CG258*CG203+CH258*CH203+CI258*CI203+CJ258*CJ203+CK258*CK203+CL258*CL203+CM258*CM203+CN258*CN203</f>
        <v>0</v>
      </c>
    </row>
    <row r="204" spans="2:105" ht="18" x14ac:dyDescent="0.35">
      <c r="B204" s="1089">
        <v>71</v>
      </c>
      <c r="C204" s="1079" t="s">
        <v>2403</v>
      </c>
      <c r="D204" s="837" t="s">
        <v>5370</v>
      </c>
      <c r="E204" s="2691">
        <f>0</f>
        <v>0</v>
      </c>
      <c r="F204" s="2691">
        <f>0</f>
        <v>0</v>
      </c>
      <c r="G204" s="2691">
        <f>1</f>
        <v>1</v>
      </c>
      <c r="H204" s="2691">
        <f>0</f>
        <v>0</v>
      </c>
      <c r="I204" s="2691">
        <f>0</f>
        <v>0</v>
      </c>
      <c r="J204" s="2691">
        <f>0</f>
        <v>0</v>
      </c>
      <c r="K204" s="2693">
        <f>0</f>
        <v>0</v>
      </c>
      <c r="L204" s="2691">
        <f>0</f>
        <v>0</v>
      </c>
      <c r="M204" s="2691">
        <f>0</f>
        <v>0</v>
      </c>
      <c r="N204" s="2691">
        <f>0</f>
        <v>0</v>
      </c>
      <c r="O204" s="2691">
        <f>0</f>
        <v>0</v>
      </c>
      <c r="P204" s="2691">
        <f>0</f>
        <v>0</v>
      </c>
      <c r="Q204" s="2691">
        <f>0</f>
        <v>0</v>
      </c>
      <c r="R204" s="2691">
        <f>0</f>
        <v>0</v>
      </c>
      <c r="S204" s="2691">
        <f>-1</f>
        <v>-1</v>
      </c>
      <c r="T204" s="2691">
        <f>0</f>
        <v>0</v>
      </c>
      <c r="U204" s="2691">
        <f>0</f>
        <v>0</v>
      </c>
      <c r="V204" s="2691">
        <f>0</f>
        <v>0</v>
      </c>
      <c r="W204" s="2691">
        <f>0</f>
        <v>0</v>
      </c>
      <c r="X204" s="2691">
        <f>0</f>
        <v>0</v>
      </c>
      <c r="Y204" s="2691">
        <f>0</f>
        <v>0</v>
      </c>
      <c r="Z204" s="2691">
        <f>0</f>
        <v>0</v>
      </c>
      <c r="AA204" s="2691">
        <f>0</f>
        <v>0</v>
      </c>
      <c r="AB204" s="2691">
        <f>0</f>
        <v>0</v>
      </c>
      <c r="AC204" s="2693">
        <f>0</f>
        <v>0</v>
      </c>
      <c r="AD204" s="2691">
        <f>0</f>
        <v>0</v>
      </c>
      <c r="AE204" s="2691">
        <f>0</f>
        <v>0</v>
      </c>
      <c r="AF204" s="2691">
        <f>0</f>
        <v>0</v>
      </c>
      <c r="AG204" s="2691">
        <f>0</f>
        <v>0</v>
      </c>
      <c r="AH204" s="2691">
        <f>0</f>
        <v>0</v>
      </c>
      <c r="AI204" s="2691">
        <f>i_N_XE</f>
        <v>0.06</v>
      </c>
      <c r="AJ204" s="2693">
        <f>0</f>
        <v>0</v>
      </c>
      <c r="AK204" s="2691">
        <f>0</f>
        <v>0</v>
      </c>
      <c r="AL204" s="2691">
        <f>0</f>
        <v>0</v>
      </c>
      <c r="AM204" s="2691">
        <f>0</f>
        <v>0</v>
      </c>
      <c r="AN204" s="2691">
        <f>0</f>
        <v>0</v>
      </c>
      <c r="AO204" s="2691">
        <f>i_P_BIO</f>
        <v>0.02</v>
      </c>
      <c r="AP204" s="2693">
        <f>0</f>
        <v>0</v>
      </c>
      <c r="AQ204" s="2691">
        <f>0</f>
        <v>0</v>
      </c>
      <c r="AR204" s="2691">
        <f>0</f>
        <v>0</v>
      </c>
      <c r="AS204" s="2691">
        <f>0</f>
        <v>0</v>
      </c>
      <c r="AT204" s="2691">
        <f>0</f>
        <v>0</v>
      </c>
      <c r="AU204" s="2691">
        <f>i_CIT_BIO-i_CIT_SB_poly</f>
        <v>6.6000000000000003E-2</v>
      </c>
      <c r="AV204" s="2691">
        <f>0</f>
        <v>0</v>
      </c>
      <c r="AW204" s="2691">
        <f>0</f>
        <v>0</v>
      </c>
      <c r="AX204" s="2691">
        <f>0</f>
        <v>0</v>
      </c>
      <c r="AY204" s="2691">
        <f>0</f>
        <v>0</v>
      </c>
      <c r="AZ204" s="2691">
        <f>0</f>
        <v>0</v>
      </c>
      <c r="BA204" s="2691">
        <f>0</f>
        <v>0</v>
      </c>
      <c r="BB204" s="2691">
        <f>0</f>
        <v>0</v>
      </c>
      <c r="BC204" s="2691">
        <f>0</f>
        <v>0</v>
      </c>
      <c r="BD204" s="2691">
        <f>0</f>
        <v>0</v>
      </c>
      <c r="BE204" s="2691">
        <f>0</f>
        <v>0</v>
      </c>
      <c r="BF204" s="2691">
        <f>0</f>
        <v>0</v>
      </c>
      <c r="BG204" s="2691">
        <f>0</f>
        <v>0</v>
      </c>
      <c r="BH204" s="2691">
        <f>0</f>
        <v>0</v>
      </c>
      <c r="BI204" s="2691">
        <f>0</f>
        <v>0</v>
      </c>
      <c r="BJ204" s="2698">
        <f>0</f>
        <v>0</v>
      </c>
      <c r="BK204" s="2698">
        <f>0</f>
        <v>0</v>
      </c>
      <c r="BL204" s="2698">
        <f>0</f>
        <v>0</v>
      </c>
      <c r="BM204" s="2698">
        <f>0</f>
        <v>0</v>
      </c>
      <c r="BN204" s="2698">
        <f>0</f>
        <v>0</v>
      </c>
      <c r="BO204" s="2698">
        <f>0</f>
        <v>0</v>
      </c>
      <c r="BP204" s="2698">
        <f>0</f>
        <v>0</v>
      </c>
      <c r="BQ204" s="2691">
        <f>0</f>
        <v>0</v>
      </c>
      <c r="BR204" s="2691">
        <f>0</f>
        <v>0</v>
      </c>
      <c r="BS204" s="2698">
        <f>0</f>
        <v>0</v>
      </c>
      <c r="BT204" s="2691">
        <f>0</f>
        <v>0</v>
      </c>
      <c r="BU204" s="2691">
        <f>0</f>
        <v>0</v>
      </c>
      <c r="BV204" s="2693">
        <f>0</f>
        <v>0</v>
      </c>
      <c r="BW204" s="2693">
        <f>0</f>
        <v>0</v>
      </c>
      <c r="BX204" s="2693">
        <f>0</f>
        <v>0</v>
      </c>
      <c r="BY204" s="2693">
        <f>0</f>
        <v>0</v>
      </c>
      <c r="BZ204" s="2691">
        <f>0</f>
        <v>0</v>
      </c>
      <c r="CA204" s="2691">
        <f>0</f>
        <v>0</v>
      </c>
      <c r="CB204" s="2807">
        <f>0</f>
        <v>0</v>
      </c>
      <c r="CC204" s="2691">
        <f>0</f>
        <v>0</v>
      </c>
      <c r="CD204" s="2691">
        <f>0</f>
        <v>0</v>
      </c>
      <c r="CE204" s="2691">
        <f>0</f>
        <v>0</v>
      </c>
      <c r="CF204" s="2691">
        <f>0</f>
        <v>0</v>
      </c>
      <c r="CG204" s="2691">
        <f>0</f>
        <v>0</v>
      </c>
      <c r="CH204" s="2691">
        <f>0</f>
        <v>0</v>
      </c>
      <c r="CI204" s="2691">
        <f>0</f>
        <v>0</v>
      </c>
      <c r="CJ204" s="2691">
        <f>0</f>
        <v>0</v>
      </c>
      <c r="CK204" s="2691">
        <f>0</f>
        <v>0</v>
      </c>
      <c r="CL204" s="2691">
        <f>0</f>
        <v>0</v>
      </c>
      <c r="CM204" s="2691">
        <f>0</f>
        <v>0</v>
      </c>
      <c r="CN204" s="2691">
        <f>0</f>
        <v>0</v>
      </c>
      <c r="CO204" s="2838">
        <f>q_HYD_XBe_T*X_HET*(L_ogsatXHET_HYD_lim*M_RsatXEana_XHET_KHYD+L_oginhXHET_HYD_lim*M_satXEana_KXEana_HYD)*(M_satSO2_KO2_OHO+η_HYD_anox*(M_satSNO2_KNO2_OHO+M_inhSNO2_KNO2_OHO*M_satSNO3_KNO3_OHO)*M_inhSO2_KO2_OHO)</f>
        <v>1.9217390699066568</v>
      </c>
      <c r="CQ204" s="2650">
        <f>E248*E204+F248*F204+G248*G204+H248*H204+I248*I204+J248*J204+K248*K204+L248*L204+M248*M204+N248*N204+O248*O204+P248*P204+Q248*Q204+R248*R204+S248*S204+T248*T204+U248*U204+V248*V204+W248*W204+X248*X204+Y248*Y204+Z248*Z204+AA248*AA204+AB248*AB204+AC248*AC204+AD248*AD204+AE248*AE204+AF248*AF204+AG248*AG204+AH248*AH204+AI248*AI204+AJ248*AJ204+AK248*AK204+AL248*AL204+AM248*AM204+AN248*AN204+AO248*AO204+AP248*AP204+AQ248*AQ204+AR248*AR204+AS248*AS204+AT248*AT204+AU248*AU204+AV248*AV204+AW248*AW204+AX248*AX204+AY248*AY204+AZ248*AZ204+BA248*BA204+BB248*BB204+BC248*BC204+BD248*BD204+BE248*BE204+BF248*BF204+BG248*BG204+BH248*BH204+BI248*BI204+BJ248*BJ204+BK248*BK204+BL248*BL204+BM248*BM204+BN248*BN204+BO248*BO204+BP248*BP204+BQ248*BQ204+BR248*BR204+BS248*BS204+BT248*BT204+BU248*BU204+BV248*BV204+BW248*BW204+BX248*BX204+BY248*BY204+BZ248*BZ204+CA248*CA204+CB248*CB204+CC248*CC204+CD248*CD204+CE248*CE204+CF248*CF204+CG248*CG204+CH248*CH204+CI248*CI204+CJ248*CJ204+CK248*CK204+CL248*CL204+CM248*CM204+CN248*CN204</f>
        <v>0</v>
      </c>
      <c r="CR204" s="2650">
        <f>E249*E204+F249*F204+G249*G204+H249*H204+I249*I204+J249*J204+K249*K204+L249*L204+M249*M204+N249*N204+O249*O204+P249*P204+Q249*Q204+R249*R204+S249*S204+T249*T204+U249*U204+V249*V204+W249*W204+X249*X204+Y249*Y204+Z249*Z204+AA249*AA204+AB249*AB204+AC249*AC204+AD249*AD204+AE249*AE204+AF249*AF204+AG249*AG204+AH249*AH204+AI249*AI204+AJ249*AJ204+AK249*AK204+AL249*AL204+AM249*AM204+AN249*AN204+AO249*AO204+AP249*AP204+AQ249*AQ204+AR249*AR204+AS249*AS204+AT249*AT204+AU249*AU204+AV249*AV204+AW249*AW204+AX249*AX204+AY249*AY204+AZ249*AZ204+BA249*BA204+BB249*BB204+BC249*BC204+BD249*BD204+BE249*BE204+BF249*BF204+BG249*BG204+BH249*BH204+BI249*BI204+BJ249*BJ204+BK249*BK204+BL249*BL204+BM249*BM204+BN249*BN204+BO249*BO204+BP249*BP204+BQ249*BQ204+BR249*BR204+BS249*BS204+BT249*BT204+BU249*BU204+BV249*BV204+BW249*BW204+BX249*BX204+BY249*BY204+BZ249*BZ204+CA249*CA204+CB249*CB204+CC249*CC204+CD249*CD204+CE249*CE204+CF249*CF204+CG249*CG204+CH249*CH204+CI249*CI204+CJ249*CJ204+CK249*CK204+CL249*CL204+CM249*CM204+CN249*CN204</f>
        <v>0</v>
      </c>
      <c r="CS204" s="2651">
        <f>E250*E204+F250*F204+G250*G204+H250*H204+I250*I204+J250*J204+K250*K204+L250*L204+M250*M204+N250*N204+O250*O204+P250*P204+Q250*Q204+R250*R204+S250*S204+T250*T204+U250*U204+V250*V204+W250*W204+X250*X204+Y250*Y204+Z250*Z204+AA250*AA204+AB250*AB204+AC250*AC204+AD250*AD204+AE250*AE204+AF250*AF204+AG250*AG204+AH250*AH204+AI250*AI204+AJ250*AJ204+AK250*AK204+AL250*AL204+AM250*AM204+AN250*AN204+AO250*AO204+AP250*AP204+AQ250*AQ204+AR250*AR204+AS250*AS204+AT250*AT204+AU250*AU204+AV250*AV204+AW250*AW204+AX250*AX204+AY250*AY204+AZ250*AZ204+BA250*BA204+BB250*BB204+BC250*BC204+BD250*BD204+BE250*BE204+BF250*BF204+BG250*BG204+BH250*BH204+BI250*BI204+BJ250*BJ204+BK250*BK204+BL250*BL204+BM250*BM204+BN250*BN204+BO250*BO204+BP250*BP204+BQ250*BQ204+BR250*BR204+BS250*BS204+BT250*BT204+BU250*BU204+BV250*BV204+BW250*BW204+BX250*BX204+BY250*BY204+BZ250*BZ204+CA250*CA204+CB250*CB204+CC250*CC204+CD250*CD204+CE250*CE204+CF250*CF204+CG250*CG204+CH250*CH204+CI250*CI204+CJ250*CJ204+CK250*CK204+CL250*CL204+CM250*CM204+CN250*CN204</f>
        <v>0</v>
      </c>
      <c r="CT204" s="2652">
        <f>E251*E204+F251*F204+G251*G204+H251*H204+I251*I204+J251*J204+K251*K204+L251*L204+M251*M204+N251*N204+O251*O204+P251*P204+Q251*Q204+R251*R204+S251*S204+T251*T204+U251*U204+V251*V204+W251*W204+X251*X204+Y251*Y204+Z251*Z204+AA251*AA204+AB251*AB204+AC251*AC204+AD251*AD204+AE251*AE204+AF251*AF204+AG251*AG204+AH251*AH204+AI251*AI204+AJ251*AJ204+AK251*AK204+AL251*AL204+AM251*AM204+AN251*AN204+AO251*AO204+AP251*AP204+AQ251*AQ204+AR251*AR204+AS251*AS204+AT251*AT204+AU251*AU204+AV251*AV204+AW251*AW204+AX251*AX204+AY251*AY204+AZ251*AZ204+BA251*BA204+BB251*BB204+BC251*BC204+BD251*BD204+BE251*BE204+BF251*BF204+BG251*BG204+BH251*BH204+BI251*BI204+BJ251*BJ204+BK251*BK204+BL251*BL204+BM251*BM204+BN251*BN204+BO251*BO204+BP251*BP204+BQ251*BQ204+BR251*BR204+BS251*BS204+BT251*BT204+BU251*BU204+BV251*BV204+BW251*BW204+BX251*BX204+BY251*BY204+BZ251*BZ204+CA251*CA204+CB251*CB204+CC251*CC204+CD251*CD204+CE251*CE204+CF251*CF204+CG251*CG204+CH251*CH204+CI251*CI204+CJ251*CJ204+CK251*CK204+CL251*CL204+CM251*CM204+CN251*CN204</f>
        <v>0</v>
      </c>
      <c r="CU204" s="2652">
        <f>E252*E204+F252*F204+G252*G204+H252*H204+I252*I204+J252*J204+K252*K204+L252*L204+M252*M204+N252*N204+O252*O204+P252*P204+Q252*Q204+R252*R204+S252*S204+T252*T204+U252*U204+V252*V204+W252*W204+X252*X204+Y252*Y204+Z252*Z204+AA252*AA204+AB252*AB204+AC252*AC204+AD252*AD204+AE252*AE204+AF252*AF204+AG252*AG204+AH252*AH204+AI252*AI204+AJ252*AJ204+AK252*AK204+AL252*AL204+AM252*AM204+AN252*AN204+AO252*AO204+AP252*AP204+AQ252*AQ204+AR252*AR204+AS252*AS204+AT252*AT204+AU252*AU204+AV252*AV204+AW252*AW204+AX252*AX204+AY252*AY204+AZ252*AZ204+BA252*BA204+BB252*BB204+BC252*BC204+BD252*BD204+BE252*BE204+BF252*BF204+BG252*BG204+BH252*BH204+BI252*BI204+BJ252*BJ204+BK252*BK204+BL252*BL204+BM252*BM204+BN252*BN204+BO252*BO204+BP252*BP204+BQ252*BQ204+BR252*BR204+BS252*BS204+BT252*BT204+BU252*BU204+BV252*BV204+BW252*BW204+BX252*BX204+BY252*BY204+BZ252*BZ204+CA252*CA204+CB252*CB204+CC252*CC204+CD252*CD204+CE252*CE204+CF252*CF204+CG252*CG204+CH252*CH204+CI252*CI204+CJ252*CJ204+CK252*CK204+CL252*CL204+CM252*CM204+CN252*CN204</f>
        <v>0</v>
      </c>
      <c r="CV204" s="2652">
        <f>E253*E204+F253*F204+G253*G204+H253*H204+I253*I204+J253*J204+K253*K204+L253*L204+M253*M204+N253*N204+O253*O204+P253*P204+Q253*Q204+R253*R204+S253*S204+T253*T204+U253*U204+V253*V204+W253*W204+X253*X204+Y253*Y204+Z253*Z204+AA253*AA204+AB253*AB204+AC253*AC204+AD253*AD204+AE253*AE204+AF253*AF204+AG253*AG204+AH253*AH204+AI253*AI204+AJ253*AJ204+AK253*AK204+AL253*AL204+AM253*AM204+AN253*AN204+AO253*AO204+AP253*AP204+AQ253*AQ204+AR253*AR204+AS253*AS204+AT253*AT204+AU253*AU204+AV253*AV204+AW253*AW204+AX253*AX204+AY253*AY204+AZ253*AZ204+BA253*BA204+BB253*BB204+BC253*BC204+BD253*BD204+BE253*BE204+BF253*BF204+BG253*BG204+BH253*BH204+BI253*BI204+BJ253*BJ204+BK253*BK204+BL253*BL204+BM253*BM204+BN253*BN204+BO253*BO204+BP253*BP204+BQ253*BQ204+BR253*BR204+BS253*BS204+BT253*BT204+BU253*BU204+BV253*BV204+BW253*BW204+BX253*BX204+BY253*BY204+BZ253*BZ204+CA253*CA204+CB253*CB204+CC253*CC204+CD253*CD204+CE253*CE204+CF253*CF204+CG253*CG204+CH253*CH204+CI253*CI204+CJ253*CJ204+CK253*CK204+CL253*CL204+CM253*CM204+CN253*CN204</f>
        <v>0</v>
      </c>
      <c r="CW204" s="2652">
        <f>E254*E204+F254*F204+G254*G204+H254*H204+I254*I204+J254*J204+K254*K204+L254*L204+M254*M204+N254*N204+O254*O204+P254*P204+Q254*Q204+R254*R204+S254*S204+T254*T204+U254*U204+V254*V204+W254*W204+X254*X204+Y254*Y204+Z254*Z204+AA254*AA204+AB254*AB204+AC254*AC204+AD254*AD204+AE254*AE204+AF254*AF204+AG254*AG204+AH254*AH204+AI254*AI204+AJ254*AJ204+AK254*AK204+AL254*AL204+AM254*AM204+AN254*AN204+AO254*AO204+AP254*AP204+AQ254*AQ204+AR254*AR204+AS254*AS204+AT254*AT204+AU254*AU204+AV254*AV204+AW254*AW204+AX254*AX204+AY254*AY204+AZ254*AZ204+BA254*BA204+BB254*BB204+BC254*BC204+BD254*BD204+BE254*BE204+BF254*BF204+BG254*BG204+BH254*BH204+BI254*BI204+BJ254*BJ204+BK254*BK204+BL254*BL204+BM254*BM204+BN254*BN204+BO254*BO204+BP254*BP204+BQ254*BQ204+BR254*BR204+BS254*BS204+BT254*BT204+BU254*BU204+BV254*BV204+BW254*BW204+BX254*BX204+BY254*BY204+BZ254*BZ204+CA254*CA204+CB254*CB204+CC254*CC204+CD254*CD204+CE254*CE204+CF254*CF204+CG254*CG204+CH254*CH204+CI254*CI204+CJ254*CJ204+CK254*CK204+CL254*CL204+CM254*CM204+CN254*CN204</f>
        <v>0</v>
      </c>
      <c r="CX204" s="2652">
        <f>E255*E204+F255*F204+G255*G204+H255*H204+I255*I204+J255*J204+K255*K204+L255*L204+M255*M204+N255*N204+O255*O204+P255*P204+Q255*Q204+R255*R204+S255*S204+T255*T204+U255*U204+V255*V204+W255*W204+X255*X204+Y255*Y204+Z255*Z204+AA255*AA204+AB255*AB204+AC255*AC204+AD255*AD204+AE255*AE204+AF255*AF204+AG255*AG204+AH255*AH204+AI255*AI204+AJ255*AJ204+AK255*AK204+AL255*AL204+AM255*AM204+AN255*AN204+AO255*AO204+AP255*AP204+AQ255*AQ204+AR255*AR204+AS255*AS204+AT255*AT204+AU255*AU204+AV255*AV204+AW255*AW204+AX255*AX204+AY255*AY204+AZ255*AZ204+BA255*BA204+BB255*BB204+BC255*BC204+BD255*BD204+BE255*BE204+BF255*BF204+BG255*BG204+BH255*BH204+BI255*BI204+BJ255*BJ204+BK255*BK204+BL255*BL204+BM255*BM204+BN255*BN204+BO255*BO204+BP255*BP204+BQ255*BQ204+BR255*BR204+BS255*BS204+BT255*BT204+BU255*BU204+BV255*BV204+BW255*BW204+BX255*BX204+BY255*BY204+BZ255*BZ204+CA255*CA204+CB255*CB204+CC255*CC204+CD255*CD204+CE255*CE204+CF255*CF204+CG255*CG204+CH255*CH204+CI255*CI204+CJ255*CJ204+CK255*CK204+CL255*CL204+CM255*CM204+CN255*CN204</f>
        <v>0</v>
      </c>
      <c r="CY204" s="2652">
        <f>E256*E204+F256*F204+G256*G204+H256*H204+I256*I204+J256*J204+K256*K204+L256*L204+M256*M204+N256*N204+O256*O204+P256*P204+Q256*Q204+R256*R204+S256*S204+T256*T204+U256*U204+V256*V204+W256*W204+X256*X204+Y256*Y204+Z256*Z204+AA256*AA204+AB256*AB204+AC256*AC204+AD256*AD204+AE256*AE204+AF256*AF204+AG256*AG204+AH256*AH204+AI256*AI204+AJ256*AJ204+AK256*AK204+AL256*AL204+AM256*AM204+AN256*AN204+AO256*AO204+AP256*AP204+AQ256*AQ204+AR256*AR204+AS256*AS204+AT256*AT204+AU256*AU204+AV256*AV204+AW256*AW204+AX256*AX204+AY256*AY204+AZ256*AZ204+BA256*BA204+BB256*BB204+BC256*BC204+BD256*BD204+BE256*BE204+BF256*BF204+BG256*BG204+BH256*BH204+BI256*BI204+BJ256*BJ204+BK256*BK204+BL256*BL204+BM256*BM204+BN256*BN204+BO256*BO204+BP256*BP204+BQ256*BQ204+BR256*BR204+BS256*BS204+BT256*BT204+BU256*BU204+BV256*BV204+BW256*BW204+BX256*BX204+BY256*BY204+BZ256*BZ204+CA256*CA204+CB256*CB204+CC256*CC204+CD256*CD204+CE256*CE204+CF256*CF204+CG256*CG204+CH256*CH204+CI256*CI204+CJ256*CJ204+CK256*CK204+CL256*CL204+CM256*CM204+CN256*CN204</f>
        <v>0</v>
      </c>
      <c r="CZ204" s="2652">
        <f>E257*E204+F257*F204+G257*G204+H257*H204+I257*I204+J257*J204+K257*K204+L257*L204+M257*M204+N257*N204+O257*O204+P257*P204+Q257*Q204+R257*R204+S257*S204+T257*T204+U257*U204+V257*V204+W257*W204+X257*X204+Y257*Y204+Z257*Z204+AA257*AA204+AB257*AB204+AC257*AC204+AD257*AD204+AE257*AE204+AF257*AF204+AG257*AG204+AH257*AH204+AI257*AI204+AJ257*AJ204+AK257*AK204+AL257*AL204+AM257*AM204+AN257*AN204+AO257*AO204+AP257*AP204+AQ257*AQ204+AR257*AR204+AS257*AS204+AT257*AT204+AU257*AU204+AV257*AV204+AW257*AW204+AX257*AX204+AY257*AY204+AZ257*AZ204+BA257*BA204+BB257*BB204+BC257*BC204+BD257*BD204+BE257*BE204+BF257*BF204+BG257*BG204+BH257*BH204+BI257*BI204+BJ257*BJ204+BK257*BK204+BL257*BL204+BM257*BM204+BN257*BN204+BO257*BO204+BP257*BP204+BQ257*BQ204+BR257*BR204+BS257*BS204+BT257*BT204+BU257*BU204+BV257*BV204+BW257*BW204+BX257*BX204+BY257*BY204+BZ257*BZ204+CA257*CA204+CB257*CB204+CC257*CC204+CD257*CD204+CE257*CE204+CF257*CF204+CG257*CG204+CH257*CH204+CI257*CI204+CJ257*CJ204+CK257*CK204+CL257*CL204+CM257*CM204+CN257*CN204</f>
        <v>0</v>
      </c>
      <c r="DA204" s="2652">
        <f>E258*E204+F258*F204+G258*G204+H258*H204+I258*I204+J258*J204+K258*K204+L258*L204+M258*M204+N258*N204+O258*O204+P258*P204+Q258*Q204+R258*R204+S258*S204+T258*T204+U258*U204+V258*V204+W258*W204+X258*X204+Y258*Y204+Z258*Z204+AA258*AA204+AB258*AB204+AC258*AC204+AD258*AD204+AE258*AE204+AF258*AF204+AG258*AG204+AH258*AH204+AI258*AI204+AJ258*AJ204+AK258*AK204+AL258*AL204+AM258*AM204+AN258*AN204+AO258*AO204+AP258*AP204+AQ258*AQ204+AR258*AR204+AS258*AS204+AT258*AT204+AU258*AU204+AV258*AV204+AW258*AW204+AX258*AX204+AY258*AY204+AZ258*AZ204+BA258*BA204+BB258*BB204+BC258*BC204+BD258*BD204+BE258*BE204+BF258*BF204+BG258*BG204+BH258*BH204+BI258*BI204+BJ258*BJ204+BK258*BK204+BL258*BL204+BM258*BM204+BN258*BN204+BO258*BO204+BP258*BP204+BQ258*BQ204+BR258*BR204+BS258*BS204+BT258*BT204+BU258*BU204+BV258*BV204+BW258*BW204+BX258*BX204+BY258*BY204+BZ258*BZ204+CA258*CA204+CB258*CB204+CC258*CC204+CD258*CD204+CE258*CE204+CF258*CF204+CG258*CG204+CH258*CH204+CI258*CI204+CJ258*CJ204+CK258*CK204+CL258*CL204+CM258*CM204+CN258*CN204</f>
        <v>0</v>
      </c>
    </row>
    <row r="205" spans="2:105" ht="18" x14ac:dyDescent="0.25">
      <c r="B205" s="1089">
        <v>72</v>
      </c>
      <c r="C205" s="1079" t="s">
        <v>2404</v>
      </c>
      <c r="D205" s="2173" t="s">
        <v>5371</v>
      </c>
      <c r="E205" s="2693">
        <f>0</f>
        <v>0</v>
      </c>
      <c r="F205" s="2693">
        <f>0</f>
        <v>0</v>
      </c>
      <c r="G205" s="2693">
        <f>0</f>
        <v>0</v>
      </c>
      <c r="H205" s="2693">
        <f>0</f>
        <v>0</v>
      </c>
      <c r="I205" s="2693">
        <f>0</f>
        <v>0</v>
      </c>
      <c r="J205" s="2693">
        <f>1</f>
        <v>1</v>
      </c>
      <c r="K205" s="2693">
        <f>0</f>
        <v>0</v>
      </c>
      <c r="L205" s="2693">
        <f>0</f>
        <v>0</v>
      </c>
      <c r="M205" s="2693">
        <f>0</f>
        <v>0</v>
      </c>
      <c r="N205" s="2693">
        <f>-1</f>
        <v>-1</v>
      </c>
      <c r="O205" s="2693">
        <f>0</f>
        <v>0</v>
      </c>
      <c r="P205" s="2693">
        <f>0</f>
        <v>0</v>
      </c>
      <c r="Q205" s="2693">
        <f>0</f>
        <v>0</v>
      </c>
      <c r="R205" s="2693">
        <f>0</f>
        <v>0</v>
      </c>
      <c r="S205" s="2693">
        <f>0</f>
        <v>0</v>
      </c>
      <c r="T205" s="2693">
        <f>0</f>
        <v>0</v>
      </c>
      <c r="U205" s="2693">
        <f>0</f>
        <v>0</v>
      </c>
      <c r="V205" s="2693">
        <f>0</f>
        <v>0</v>
      </c>
      <c r="W205" s="2693">
        <f>0</f>
        <v>0</v>
      </c>
      <c r="X205" s="2693">
        <f>0</f>
        <v>0</v>
      </c>
      <c r="Y205" s="2693">
        <f>0</f>
        <v>0</v>
      </c>
      <c r="Z205" s="2693">
        <f>0</f>
        <v>0</v>
      </c>
      <c r="AA205" s="2693">
        <f>0</f>
        <v>0</v>
      </c>
      <c r="AB205" s="2693">
        <f>0</f>
        <v>0</v>
      </c>
      <c r="AC205" s="2693">
        <f>0</f>
        <v>0</v>
      </c>
      <c r="AD205" s="2693">
        <f>0</f>
        <v>0</v>
      </c>
      <c r="AE205" s="2693">
        <f>0</f>
        <v>0</v>
      </c>
      <c r="AF205" s="2693">
        <f>0</f>
        <v>0</v>
      </c>
      <c r="AG205" s="2693">
        <f>0</f>
        <v>0</v>
      </c>
      <c r="AH205" s="2693">
        <f>0</f>
        <v>0</v>
      </c>
      <c r="AI205" s="2752">
        <f>X_N_U/X_U</f>
        <v>0.01</v>
      </c>
      <c r="AJ205" s="2752">
        <f>0</f>
        <v>0</v>
      </c>
      <c r="AK205" s="2752">
        <f>-X_N_U/X_U</f>
        <v>-0.01</v>
      </c>
      <c r="AL205" s="2693">
        <f>0</f>
        <v>0</v>
      </c>
      <c r="AM205" s="2693">
        <f>0</f>
        <v>0</v>
      </c>
      <c r="AN205" s="2693">
        <f>0</f>
        <v>0</v>
      </c>
      <c r="AO205" s="2752">
        <f>X_P_U/X_U</f>
        <v>2E-3</v>
      </c>
      <c r="AP205" s="2752">
        <f>0</f>
        <v>0</v>
      </c>
      <c r="AQ205" s="2752">
        <f>-X_P_U/X_U</f>
        <v>-2E-3</v>
      </c>
      <c r="AR205" s="2693">
        <f>0</f>
        <v>0</v>
      </c>
      <c r="AS205" s="2693">
        <f>0</f>
        <v>0</v>
      </c>
      <c r="AT205" s="2693">
        <f>0</f>
        <v>0</v>
      </c>
      <c r="AU205" s="2693">
        <f>0</f>
        <v>0</v>
      </c>
      <c r="AV205" s="2693">
        <f>0</f>
        <v>0</v>
      </c>
      <c r="AW205" s="2693">
        <f>0</f>
        <v>0</v>
      </c>
      <c r="AX205" s="2693">
        <f>0</f>
        <v>0</v>
      </c>
      <c r="AY205" s="2693">
        <f>0</f>
        <v>0</v>
      </c>
      <c r="AZ205" s="2693">
        <f>0</f>
        <v>0</v>
      </c>
      <c r="BA205" s="2693">
        <f>0</f>
        <v>0</v>
      </c>
      <c r="BB205" s="2693">
        <f>0</f>
        <v>0</v>
      </c>
      <c r="BC205" s="2693">
        <f>0</f>
        <v>0</v>
      </c>
      <c r="BD205" s="2693">
        <f>0</f>
        <v>0</v>
      </c>
      <c r="BE205" s="2693">
        <f>0</f>
        <v>0</v>
      </c>
      <c r="BF205" s="2693">
        <f>0</f>
        <v>0</v>
      </c>
      <c r="BG205" s="2693">
        <f>0</f>
        <v>0</v>
      </c>
      <c r="BH205" s="2693">
        <f>0</f>
        <v>0</v>
      </c>
      <c r="BI205" s="2693">
        <f>0</f>
        <v>0</v>
      </c>
      <c r="BJ205" s="2693">
        <f>0</f>
        <v>0</v>
      </c>
      <c r="BK205" s="2693">
        <f>0</f>
        <v>0</v>
      </c>
      <c r="BL205" s="2693">
        <f>0</f>
        <v>0</v>
      </c>
      <c r="BM205" s="2693">
        <f>0</f>
        <v>0</v>
      </c>
      <c r="BN205" s="2693">
        <f>0</f>
        <v>0</v>
      </c>
      <c r="BO205" s="2693">
        <f>0</f>
        <v>0</v>
      </c>
      <c r="BP205" s="2693">
        <f>0</f>
        <v>0</v>
      </c>
      <c r="BQ205" s="2693">
        <f>0</f>
        <v>0</v>
      </c>
      <c r="BR205" s="2693">
        <f>0</f>
        <v>0</v>
      </c>
      <c r="BS205" s="2693">
        <f>0</f>
        <v>0</v>
      </c>
      <c r="BT205" s="2693">
        <f>0</f>
        <v>0</v>
      </c>
      <c r="BU205" s="2693">
        <f>0</f>
        <v>0</v>
      </c>
      <c r="BV205" s="2693">
        <f>0</f>
        <v>0</v>
      </c>
      <c r="BW205" s="2693">
        <f>0</f>
        <v>0</v>
      </c>
      <c r="BX205" s="2693">
        <f>0</f>
        <v>0</v>
      </c>
      <c r="BY205" s="2693">
        <f>0</f>
        <v>0</v>
      </c>
      <c r="BZ205" s="2693">
        <f>0</f>
        <v>0</v>
      </c>
      <c r="CA205" s="2693">
        <f>0</f>
        <v>0</v>
      </c>
      <c r="CB205" s="2693">
        <f>0</f>
        <v>0</v>
      </c>
      <c r="CC205" s="2693">
        <f>0</f>
        <v>0</v>
      </c>
      <c r="CD205" s="2693">
        <f>0</f>
        <v>0</v>
      </c>
      <c r="CE205" s="2693">
        <f>0</f>
        <v>0</v>
      </c>
      <c r="CF205" s="2693">
        <f>0</f>
        <v>0</v>
      </c>
      <c r="CG205" s="2693">
        <f>0</f>
        <v>0</v>
      </c>
      <c r="CH205" s="2693">
        <f>0</f>
        <v>0</v>
      </c>
      <c r="CI205" s="2693">
        <f>0</f>
        <v>0</v>
      </c>
      <c r="CJ205" s="2693">
        <f>0</f>
        <v>0</v>
      </c>
      <c r="CK205" s="2693">
        <f>0</f>
        <v>0</v>
      </c>
      <c r="CL205" s="2693">
        <f>0</f>
        <v>0</v>
      </c>
      <c r="CM205" s="2693">
        <f>0</f>
        <v>0</v>
      </c>
      <c r="CN205" s="2693">
        <f>0</f>
        <v>0</v>
      </c>
      <c r="CO205" s="2839">
        <f>q_XU_T*X_U*M_satXU_KXU</f>
        <v>9.9009900990099011E-4</v>
      </c>
      <c r="CQ205" s="2650">
        <f>E248*E205+F248*F205+G248*G205+H248*H205+I248*I205+J248*J205+K248*K205+L248*L205+M248*M205+N248*N205+O248*O205+P248*P205+Q248*Q205+R248*R205+S248*S205+T248*T205+U248*U205+V248*V205+W248*W205+X248*X205+Y248*Y205+Z248*Z205+AA248*AA205+AB248*AB205+AC248*AC205+AD248*AD205+AE248*AE205+AF248*AF205+AG248*AG205+AH248*AH205+AI248*AI205+AJ248*AJ205+AK248*AK205+AL248*AL205+AM248*AM205+AN248*AN205+AO248*AO205+AP248*AP205+AQ248*AQ205+AR248*AR205+AS248*AS205+AT248*AT205+AU248*AU205+AV248*AV205+AW248*AW205+AX248*AX205+AY248*AY205+AZ248*AZ205+BA248*BA205+BB248*BB205+BC248*BC205+BD248*BD205+BE248*BE205+BF248*BF205+BG248*BG205+BH248*BH205+BI248*BI205+BJ248*BJ205+BK248*BK205+BL248*BL205+BM248*BM205+BN248*BN205+BO248*BO205+BP248*BP205+BQ248*BQ205+BR248*BR205+BS248*BS205+BT248*BT205+BU248*BU205+BV248*BV205+BW248*BW205+BX248*BX205+BY248*BY205+BZ248*BZ205+CA248*CA205+CB248*CB205+CC248*CC205+CD248*CD205+CE248*CE205+CF248*CF205+CG248*CG205+CH248*CH205+CI248*CI205+CJ248*CJ205+CK248*CK205+CL248*CL205+CM248*CM205+CN248*CN205</f>
        <v>0</v>
      </c>
      <c r="CR205" s="2650">
        <f>E249*E205+F249*F205+G249*G205+H249*H205+I249*I205+J249*J205+K249*K205+L249*L205+M249*M205+N249*N205+O249*O205+P249*P205+Q249*Q205+R249*R205+S249*S205+T249*T205+U249*U205+V249*V205+W249*W205+X249*X205+Y249*Y205+Z249*Z205+AA249*AA205+AB249*AB205+AC249*AC205+AD249*AD205+AE249*AE205+AF249*AF205+AG249*AG205+AH249*AH205+AI249*AI205+AJ249*AJ205+AK249*AK205+AL249*AL205+AM249*AM205+AN249*AN205+AO249*AO205+AP249*AP205+AQ249*AQ205+AR249*AR205+AS249*AS205+AT249*AT205+AU249*AU205+AV249*AV205+AW249*AW205+AX249*AX205+AY249*AY205+AZ249*AZ205+BA249*BA205+BB249*BB205+BC249*BC205+BD249*BD205+BE249*BE205+BF249*BF205+BG249*BG205+BH249*BH205+BI249*BI205+BJ249*BJ205+BK249*BK205+BL249*BL205+BM249*BM205+BN249*BN205+BO249*BO205+BP249*BP205+BQ249*BQ205+BR249*BR205+BS249*BS205+BT249*BT205+BU249*BU205+BV249*BV205+BW249*BW205+BX249*BX205+BY249*BY205+BZ249*BZ205+CA249*CA205+CB249*CB205+CC249*CC205+CD249*CD205+CE249*CE205+CF249*CF205+CG249*CG205+CH249*CH205+CI249*CI205+CJ249*CJ205+CK249*CK205+CL249*CL205+CM249*CM205+CN249*CN205</f>
        <v>0</v>
      </c>
      <c r="CS205" s="2651">
        <f>E250*E205+F250*F205+G250*G205+H250*H205+I250*I205+J250*J205+K250*K205+L250*L205+M250*M205+N250*N205+O250*O205+P250*P205+Q250*Q205+R250*R205+S250*S205+T250*T205+U250*U205+V250*V205+W250*W205+X250*X205+Y250*Y205+Z250*Z205+AA250*AA205+AB250*AB205+AC250*AC205+AD250*AD205+AE250*AE205+AF250*AF205+AG250*AG205+AH250*AH205+AI250*AI205+AJ250*AJ205+AK250*AK205+AL250*AL205+AM250*AM205+AN250*AN205+AO250*AO205+AP250*AP205+AQ250*AQ205+AR250*AR205+AS250*AS205+AT250*AT205+AU250*AU205+AV250*AV205+AW250*AW205+AX250*AX205+AY250*AY205+AZ250*AZ205+BA250*BA205+BB250*BB205+BC250*BC205+BD250*BD205+BE250*BE205+BF250*BF205+BG250*BG205+BH250*BH205+BI250*BI205+BJ250*BJ205+BK250*BK205+BL250*BL205+BM250*BM205+BN250*BN205+BO250*BO205+BP250*BP205+BQ250*BQ205+BR250*BR205+BS250*BS205+BT250*BT205+BU250*BU205+BV250*BV205+BW250*BW205+BX250*BX205+BY250*BY205+BZ250*BZ205+CA250*CA205+CB250*CB205+CC250*CC205+CD250*CD205+CE250*CE205+CF250*CF205+CG250*CG205+CH250*CH205+CI250*CI205+CJ250*CJ205+CK250*CK205+CL250*CL205+CM250*CM205+CN250*CN205</f>
        <v>0</v>
      </c>
      <c r="CT205" s="2652">
        <f>E251*E205+F251*F205+G251*G205+H251*H205+I251*I205+J251*J205+K251*K205+L251*L205+M251*M205+N251*N205+O251*O205+P251*P205+Q251*Q205+R251*R205+S251*S205+T251*T205+U251*U205+V251*V205+W251*W205+X251*X205+Y251*Y205+Z251*Z205+AA251*AA205+AB251*AB205+AC251*AC205+AD251*AD205+AE251*AE205+AF251*AF205+AG251*AG205+AH251*AH205+AI251*AI205+AJ251*AJ205+AK251*AK205+AL251*AL205+AM251*AM205+AN251*AN205+AO251*AO205+AP251*AP205+AQ251*AQ205+AR251*AR205+AS251*AS205+AT251*AT205+AU251*AU205+AV251*AV205+AW251*AW205+AX251*AX205+AY251*AY205+AZ251*AZ205+BA251*BA205+BB251*BB205+BC251*BC205+BD251*BD205+BE251*BE205+BF251*BF205+BG251*BG205+BH251*BH205+BI251*BI205+BJ251*BJ205+BK251*BK205+BL251*BL205+BM251*BM205+BN251*BN205+BO251*BO205+BP251*BP205+BQ251*BQ205+BR251*BR205+BS251*BS205+BT251*BT205+BU251*BU205+BV251*BV205+BW251*BW205+BX251*BX205+BY251*BY205+BZ251*BZ205+CA251*CA205+CB251*CB205+CC251*CC205+CD251*CD205+CE251*CE205+CF251*CF205+CG251*CG205+CH251*CH205+CI251*CI205+CJ251*CJ205+CK251*CK205+CL251*CL205+CM251*CM205+CN251*CN205</f>
        <v>0</v>
      </c>
      <c r="CU205" s="2652">
        <f>E252*E205+F252*F205+G252*G205+H252*H205+I252*I205+J252*J205+K252*K205+L252*L205+M252*M205+N252*N205+O252*O205+P252*P205+Q252*Q205+R252*R205+S252*S205+T252*T205+U252*U205+V252*V205+W252*W205+X252*X205+Y252*Y205+Z252*Z205+AA252*AA205+AB252*AB205+AC252*AC205+AD252*AD205+AE252*AE205+AF252*AF205+AG252*AG205+AH252*AH205+AI252*AI205+AJ252*AJ205+AK252*AK205+AL252*AL205+AM252*AM205+AN252*AN205+AO252*AO205+AP252*AP205+AQ252*AQ205+AR252*AR205+AS252*AS205+AT252*AT205+AU252*AU205+AV252*AV205+AW252*AW205+AX252*AX205+AY252*AY205+AZ252*AZ205+BA252*BA205+BB252*BB205+BC252*BC205+BD252*BD205+BE252*BE205+BF252*BF205+BG252*BG205+BH252*BH205+BI252*BI205+BJ252*BJ205+BK252*BK205+BL252*BL205+BM252*BM205+BN252*BN205+BO252*BO205+BP252*BP205+BQ252*BQ205+BR252*BR205+BS252*BS205+BT252*BT205+BU252*BU205+BV252*BV205+BW252*BW205+BX252*BX205+BY252*BY205+BZ252*BZ205+CA252*CA205+CB252*CB205+CC252*CC205+CD252*CD205+CE252*CE205+CF252*CF205+CG252*CG205+CH252*CH205+CI252*CI205+CJ252*CJ205+CK252*CK205+CL252*CL205+CM252*CM205+CN252*CN205</f>
        <v>0</v>
      </c>
      <c r="CV205" s="2652">
        <f>E253*E205+F253*F205+G253*G205+H253*H205+I253*I205+J253*J205+K253*K205+L253*L205+M253*M205+N253*N205+O253*O205+P253*P205+Q253*Q205+R253*R205+S253*S205+T253*T205+U253*U205+V253*V205+W253*W205+X253*X205+Y253*Y205+Z253*Z205+AA253*AA205+AB253*AB205+AC253*AC205+AD253*AD205+AE253*AE205+AF253*AF205+AG253*AG205+AH253*AH205+AI253*AI205+AJ253*AJ205+AK253*AK205+AL253*AL205+AM253*AM205+AN253*AN205+AO253*AO205+AP253*AP205+AQ253*AQ205+AR253*AR205+AS253*AS205+AT253*AT205+AU253*AU205+AV253*AV205+AW253*AW205+AX253*AX205+AY253*AY205+AZ253*AZ205+BA253*BA205+BB253*BB205+BC253*BC205+BD253*BD205+BE253*BE205+BF253*BF205+BG253*BG205+BH253*BH205+BI253*BI205+BJ253*BJ205+BK253*BK205+BL253*BL205+BM253*BM205+BN253*BN205+BO253*BO205+BP253*BP205+BQ253*BQ205+BR253*BR205+BS253*BS205+BT253*BT205+BU253*BU205+BV253*BV205+BW253*BW205+BX253*BX205+BY253*BY205+BZ253*BZ205+CA253*CA205+CB253*CB205+CC253*CC205+CD253*CD205+CE253*CE205+CF253*CF205+CG253*CG205+CH253*CH205+CI253*CI205+CJ253*CJ205+CK253*CK205+CL253*CL205+CM253*CM205+CN253*CN205</f>
        <v>0</v>
      </c>
      <c r="CW205" s="2652">
        <f>E254*E205+F254*F205+G254*G205+H254*H205+I254*I205+J254*J205+K254*K205+L254*L205+M254*M205+N254*N205+O254*O205+P254*P205+Q254*Q205+R254*R205+S254*S205+T254*T205+U254*U205+V254*V205+W254*W205+X254*X205+Y254*Y205+Z254*Z205+AA254*AA205+AB254*AB205+AC254*AC205+AD254*AD205+AE254*AE205+AF254*AF205+AG254*AG205+AH254*AH205+AI254*AI205+AJ254*AJ205+AK254*AK205+AL254*AL205+AM254*AM205+AN254*AN205+AO254*AO205+AP254*AP205+AQ254*AQ205+AR254*AR205+AS254*AS205+AT254*AT205+AU254*AU205+AV254*AV205+AW254*AW205+AX254*AX205+AY254*AY205+AZ254*AZ205+BA254*BA205+BB254*BB205+BC254*BC205+BD254*BD205+BE254*BE205+BF254*BF205+BG254*BG205+BH254*BH205+BI254*BI205+BJ254*BJ205+BK254*BK205+BL254*BL205+BM254*BM205+BN254*BN205+BO254*BO205+BP254*BP205+BQ254*BQ205+BR254*BR205+BS254*BS205+BT254*BT205+BU254*BU205+BV254*BV205+BW254*BW205+BX254*BX205+BY254*BY205+BZ254*BZ205+CA254*CA205+CB254*CB205+CC254*CC205+CD254*CD205+CE254*CE205+CF254*CF205+CG254*CG205+CH254*CH205+CI254*CI205+CJ254*CJ205+CK254*CK205+CL254*CL205+CM254*CM205+CN254*CN205</f>
        <v>0</v>
      </c>
      <c r="CX205" s="2652">
        <f>E255*E205+F255*F205+G255*G205+H255*H205+I255*I205+J255*J205+K255*K205+L255*L205+M255*M205+N255*N205+O255*O205+P255*P205+Q255*Q205+R255*R205+S255*S205+T255*T205+U255*U205+V255*V205+W255*W205+X255*X205+Y255*Y205+Z255*Z205+AA255*AA205+AB255*AB205+AC255*AC205+AD255*AD205+AE255*AE205+AF255*AF205+AG255*AG205+AH255*AH205+AI255*AI205+AJ255*AJ205+AK255*AK205+AL255*AL205+AM255*AM205+AN255*AN205+AO255*AO205+AP255*AP205+AQ255*AQ205+AR255*AR205+AS255*AS205+AT255*AT205+AU255*AU205+AV255*AV205+AW255*AW205+AX255*AX205+AY255*AY205+AZ255*AZ205+BA255*BA205+BB255*BB205+BC255*BC205+BD255*BD205+BE255*BE205+BF255*BF205+BG255*BG205+BH255*BH205+BI255*BI205+BJ255*BJ205+BK255*BK205+BL255*BL205+BM255*BM205+BN255*BN205+BO255*BO205+BP255*BP205+BQ255*BQ205+BR255*BR205+BS255*BS205+BT255*BT205+BU255*BU205+BV255*BV205+BW255*BW205+BX255*BX205+BY255*BY205+BZ255*BZ205+CA255*CA205+CB255*CB205+CC255*CC205+CD255*CD205+CE255*CE205+CF255*CF205+CG255*CG205+CH255*CH205+CI255*CI205+CJ255*CJ205+CK255*CK205+CL255*CL205+CM255*CM205+CN255*CN205</f>
        <v>0</v>
      </c>
      <c r="CY205" s="2652">
        <f>E256*E205+F256*F205+G256*G205+H256*H205+I256*I205+J256*J205+K256*K205+L256*L205+M256*M205+N256*N205+O256*O205+P256*P205+Q256*Q205+R256*R205+S256*S205+T256*T205+U256*U205+V256*V205+W256*W205+X256*X205+Y256*Y205+Z256*Z205+AA256*AA205+AB256*AB205+AC256*AC205+AD256*AD205+AE256*AE205+AF256*AF205+AG256*AG205+AH256*AH205+AI256*AI205+AJ256*AJ205+AK256*AK205+AL256*AL205+AM256*AM205+AN256*AN205+AO256*AO205+AP256*AP205+AQ256*AQ205+AR256*AR205+AS256*AS205+AT256*AT205+AU256*AU205+AV256*AV205+AW256*AW205+AX256*AX205+AY256*AY205+AZ256*AZ205+BA256*BA205+BB256*BB205+BC256*BC205+BD256*BD205+BE256*BE205+BF256*BF205+BG256*BG205+BH256*BH205+BI256*BI205+BJ256*BJ205+BK256*BK205+BL256*BL205+BM256*BM205+BN256*BN205+BO256*BO205+BP256*BP205+BQ256*BQ205+BR256*BR205+BS256*BS205+BT256*BT205+BU256*BU205+BV256*BV205+BW256*BW205+BX256*BX205+BY256*BY205+BZ256*BZ205+CA256*CA205+CB256*CB205+CC256*CC205+CD256*CD205+CE256*CE205+CF256*CF205+CG256*CG205+CH256*CH205+CI256*CI205+CJ256*CJ205+CK256*CK205+CL256*CL205+CM256*CM205+CN256*CN205</f>
        <v>0</v>
      </c>
      <c r="CZ205" s="2652">
        <f>E257*E205+F257*F205+G257*G205+H257*H205+I257*I205+J257*J205+K257*K205+L257*L205+M257*M205+N257*N205+O257*O205+P257*P205+Q257*Q205+R257*R205+S257*S205+T257*T205+U257*U205+V257*V205+W257*W205+X257*X205+Y257*Y205+Z257*Z205+AA257*AA205+AB257*AB205+AC257*AC205+AD257*AD205+AE257*AE205+AF257*AF205+AG257*AG205+AH257*AH205+AI257*AI205+AJ257*AJ205+AK257*AK205+AL257*AL205+AM257*AM205+AN257*AN205+AO257*AO205+AP257*AP205+AQ257*AQ205+AR257*AR205+AS257*AS205+AT257*AT205+AU257*AU205+AV257*AV205+AW257*AW205+AX257*AX205+AY257*AY205+AZ257*AZ205+BA257*BA205+BB257*BB205+BC257*BC205+BD257*BD205+BE257*BE205+BF257*BF205+BG257*BG205+BH257*BH205+BI257*BI205+BJ257*BJ205+BK257*BK205+BL257*BL205+BM257*BM205+BN257*BN205+BO257*BO205+BP257*BP205+BQ257*BQ205+BR257*BR205+BS257*BS205+BT257*BT205+BU257*BU205+BV257*BV205+BW257*BW205+BX257*BX205+BY257*BY205+BZ257*BZ205+CA257*CA205+CB257*CB205+CC257*CC205+CD257*CD205+CE257*CE205+CF257*CF205+CG257*CG205+CH257*CH205+CI257*CI205+CJ257*CJ205+CK257*CK205+CL257*CL205+CM257*CM205+CN257*CN205</f>
        <v>0</v>
      </c>
      <c r="DA205" s="2652">
        <f>E258*E205+F258*F205+G258*G205+H258*H205+I258*I205+J258*J205+K258*K205+L258*L205+M258*M205+N258*N205+O258*O205+P258*P205+Q258*Q205+R258*R205+S258*S205+T258*T205+U258*U205+V258*V205+W258*W205+X258*X205+Y258*Y205+Z258*Z205+AA258*AA205+AB258*AB205+AC258*AC205+AD258*AD205+AE258*AE205+AF258*AF205+AG258*AG205+AH258*AH205+AI258*AI205+AJ258*AJ205+AK258*AK205+AL258*AL205+AM258*AM205+AN258*AN205+AO258*AO205+AP258*AP205+AQ258*AQ205+AR258*AR205+AS258*AS205+AT258*AT205+AU258*AU205+AV258*AV205+AW258*AW205+AX258*AX205+AY258*AY205+AZ258*AZ205+BA258*BA205+BB258*BB205+BC258*BC205+BD258*BD205+BE258*BE205+BF258*BF205+BG258*BG205+BH258*BH205+BI258*BI205+BJ258*BJ205+BK258*BK205+BL258*BL205+BM258*BM205+BN258*BN205+BO258*BO205+BP258*BP205+BQ258*BQ205+BR258*BR205+BS258*BS205+BT258*BT205+BU258*BU205+BV258*BV205+BW258*BW205+BX258*BX205+BY258*BY205+BZ258*BZ205+CA258*CA205+CB258*CB205+CC258*CC205+CD258*CD205+CE258*CE205+CF258*CF205+CG258*CG205+CH258*CH205+CI258*CI205+CJ258*CJ205+CK258*CK205+CL258*CL205+CM258*CM205+CN258*CN205</f>
        <v>0</v>
      </c>
    </row>
    <row r="206" spans="2:105" ht="18" x14ac:dyDescent="0.25">
      <c r="B206" s="1089">
        <v>73</v>
      </c>
      <c r="C206" s="1079" t="s">
        <v>2819</v>
      </c>
      <c r="D206" s="837" t="s">
        <v>292</v>
      </c>
      <c r="E206" s="2694">
        <f>2/3</f>
        <v>0.66666666666666663</v>
      </c>
      <c r="F206" s="2694">
        <f>0</f>
        <v>0</v>
      </c>
      <c r="G206" s="2691">
        <f>0</f>
        <v>0</v>
      </c>
      <c r="H206" s="2691">
        <f>-1</f>
        <v>-1</v>
      </c>
      <c r="I206" s="2691">
        <f>0</f>
        <v>0</v>
      </c>
      <c r="J206" s="2691">
        <f>0</f>
        <v>0</v>
      </c>
      <c r="K206" s="2693">
        <f>0</f>
        <v>0</v>
      </c>
      <c r="L206" s="2691">
        <f>0</f>
        <v>0</v>
      </c>
      <c r="M206" s="2691">
        <f>0</f>
        <v>0</v>
      </c>
      <c r="N206" s="2691">
        <f>0</f>
        <v>0</v>
      </c>
      <c r="O206" s="2691">
        <f>0</f>
        <v>0</v>
      </c>
      <c r="P206" s="2691">
        <f>0</f>
        <v>0</v>
      </c>
      <c r="Q206" s="2691">
        <f>0</f>
        <v>0</v>
      </c>
      <c r="R206" s="2691">
        <f>0</f>
        <v>0</v>
      </c>
      <c r="S206" s="2691">
        <f>0</f>
        <v>0</v>
      </c>
      <c r="T206" s="2691">
        <f>0</f>
        <v>0</v>
      </c>
      <c r="U206" s="2691">
        <f>0</f>
        <v>0</v>
      </c>
      <c r="V206" s="2691">
        <f>0</f>
        <v>0</v>
      </c>
      <c r="W206" s="2691">
        <f>0</f>
        <v>0</v>
      </c>
      <c r="X206" s="2691">
        <f>0</f>
        <v>0</v>
      </c>
      <c r="Y206" s="2691">
        <f>0</f>
        <v>0</v>
      </c>
      <c r="Z206" s="2691">
        <f>0</f>
        <v>0</v>
      </c>
      <c r="AA206" s="2691">
        <f>0</f>
        <v>0</v>
      </c>
      <c r="AB206" s="2691">
        <f>0</f>
        <v>0</v>
      </c>
      <c r="AC206" s="2693">
        <f>0</f>
        <v>0</v>
      </c>
      <c r="AD206" s="2691">
        <f>0</f>
        <v>0</v>
      </c>
      <c r="AE206" s="2691">
        <f>0</f>
        <v>0</v>
      </c>
      <c r="AF206" s="2691">
        <f>0</f>
        <v>0</v>
      </c>
      <c r="AG206" s="2691">
        <f>0</f>
        <v>0</v>
      </c>
      <c r="AH206" s="2691">
        <f>0</f>
        <v>0</v>
      </c>
      <c r="AI206" s="2691">
        <f>0</f>
        <v>0</v>
      </c>
      <c r="AJ206" s="2693">
        <f>0</f>
        <v>0</v>
      </c>
      <c r="AK206" s="2691">
        <f>0</f>
        <v>0</v>
      </c>
      <c r="AL206" s="2691">
        <f>0</f>
        <v>0</v>
      </c>
      <c r="AM206" s="2691">
        <f>0</f>
        <v>0</v>
      </c>
      <c r="AN206" s="2691">
        <f>0</f>
        <v>0</v>
      </c>
      <c r="AO206" s="2691">
        <f>0</f>
        <v>0</v>
      </c>
      <c r="AP206" s="2693">
        <f>0</f>
        <v>0</v>
      </c>
      <c r="AQ206" s="2691">
        <f>0</f>
        <v>0</v>
      </c>
      <c r="AR206" s="2691">
        <f>0</f>
        <v>0</v>
      </c>
      <c r="AS206" s="2691">
        <f>0</f>
        <v>0</v>
      </c>
      <c r="AT206" s="2694">
        <f>1/3</f>
        <v>0.33333333333333331</v>
      </c>
      <c r="AU206" s="2691">
        <f>i_CIT_MEOL-i_CIT_VFA*2/3</f>
        <v>0</v>
      </c>
      <c r="AV206" s="2691">
        <f>0</f>
        <v>0</v>
      </c>
      <c r="AW206" s="2691">
        <f>0</f>
        <v>0</v>
      </c>
      <c r="AX206" s="2691">
        <f>0</f>
        <v>0</v>
      </c>
      <c r="AY206" s="2691">
        <f>0</f>
        <v>0</v>
      </c>
      <c r="AZ206" s="2691">
        <f>0</f>
        <v>0</v>
      </c>
      <c r="BA206" s="2691">
        <f>0</f>
        <v>0</v>
      </c>
      <c r="BB206" s="2691">
        <f>0</f>
        <v>0</v>
      </c>
      <c r="BC206" s="2691">
        <f>0</f>
        <v>0</v>
      </c>
      <c r="BD206" s="2691">
        <f>0</f>
        <v>0</v>
      </c>
      <c r="BE206" s="2691">
        <f>0</f>
        <v>0</v>
      </c>
      <c r="BF206" s="2691">
        <f>0</f>
        <v>0</v>
      </c>
      <c r="BG206" s="2691">
        <f>0</f>
        <v>0</v>
      </c>
      <c r="BH206" s="2691">
        <f>0</f>
        <v>0</v>
      </c>
      <c r="BI206" s="2691">
        <f>0</f>
        <v>0</v>
      </c>
      <c r="BJ206" s="2698">
        <f>0</f>
        <v>0</v>
      </c>
      <c r="BK206" s="2698">
        <f>0</f>
        <v>0</v>
      </c>
      <c r="BL206" s="2698">
        <f>0</f>
        <v>0</v>
      </c>
      <c r="BM206" s="2698">
        <f>0</f>
        <v>0</v>
      </c>
      <c r="BN206" s="2698">
        <f>0</f>
        <v>0</v>
      </c>
      <c r="BO206" s="2698">
        <f>0</f>
        <v>0</v>
      </c>
      <c r="BP206" s="2698">
        <f>0</f>
        <v>0</v>
      </c>
      <c r="BQ206" s="2691">
        <f>0</f>
        <v>0</v>
      </c>
      <c r="BR206" s="2691">
        <f>0</f>
        <v>0</v>
      </c>
      <c r="BS206" s="2698">
        <f>0</f>
        <v>0</v>
      </c>
      <c r="BT206" s="2691">
        <f>0</f>
        <v>0</v>
      </c>
      <c r="BU206" s="2691">
        <f>0</f>
        <v>0</v>
      </c>
      <c r="BV206" s="2693">
        <f>0</f>
        <v>0</v>
      </c>
      <c r="BW206" s="2693">
        <f>0</f>
        <v>0</v>
      </c>
      <c r="BX206" s="2693">
        <f>0</f>
        <v>0</v>
      </c>
      <c r="BY206" s="2693">
        <f>0</f>
        <v>0</v>
      </c>
      <c r="BZ206" s="2691">
        <f>0</f>
        <v>0</v>
      </c>
      <c r="CA206" s="2691">
        <f>0</f>
        <v>0</v>
      </c>
      <c r="CB206" s="2807">
        <f>0</f>
        <v>0</v>
      </c>
      <c r="CC206" s="2691">
        <f>0</f>
        <v>0</v>
      </c>
      <c r="CD206" s="2691">
        <f>0</f>
        <v>0</v>
      </c>
      <c r="CE206" s="2691">
        <f>0</f>
        <v>0</v>
      </c>
      <c r="CF206" s="2691">
        <f>0</f>
        <v>0</v>
      </c>
      <c r="CG206" s="2691">
        <f>0</f>
        <v>0</v>
      </c>
      <c r="CH206" s="2691">
        <f>0</f>
        <v>0</v>
      </c>
      <c r="CI206" s="2691">
        <f>0</f>
        <v>0</v>
      </c>
      <c r="CJ206" s="2691">
        <f>0</f>
        <v>0</v>
      </c>
      <c r="CK206" s="2691">
        <f>0</f>
        <v>0</v>
      </c>
      <c r="CL206" s="2691">
        <f>0</f>
        <v>0</v>
      </c>
      <c r="CM206" s="2691">
        <f>0</f>
        <v>0</v>
      </c>
      <c r="CN206" s="2691">
        <f>0</f>
        <v>0</v>
      </c>
      <c r="CO206" s="2838">
        <f>q_MEOL*S_MEOL*M_satSCO2_KCO2_BIO*M_inhSO2_KO2_OHO*M_inhSNO3_KNO3_OHO*M_inhSNO2_KNO2_OHO</f>
        <v>4.576942107867392E-52</v>
      </c>
      <c r="CQ206" s="2650">
        <f>E248*E206+F248*F206+G248*G206+H248*H206+I248*I206+J248*J206+K248*K206+L248*L206+M248*M206+N248*N206+O248*O206+P248*P206+Q248*Q206+R248*R206+S248*S206+T248*T206+U248*U206+V248*V206+W248*W206+X248*X206+Y248*Y206+Z248*Z206+AA248*AA206+AB248*AB206+AC248*AC206+AD248*AD206+AE248*AE206+AF248*AF206+AG248*AG206+AH248*AH206+AI248*AI206+AJ248*AJ206+AK248*AK206+AL248*AL206+AM248*AM206+AN248*AN206+AO248*AO206+AP248*AP206+AQ248*AQ206+AR248*AR206+AS248*AS206+AT248*AT206+AU248*AU206+AV248*AV206+AW248*AW206+AX248*AX206+AY248*AY206+AZ248*AZ206+BA248*BA206+BB248*BB206+BC248*BC206+BD248*BD206+BE248*BE206+BF248*BF206+BG248*BG206+BH248*BH206+BI248*BI206+BJ248*BJ206+BK248*BK206+BL248*BL206+BM248*BM206+BN248*BN206+BO248*BO206+BP248*BP206+BQ248*BQ206+BR248*BR206+BS248*BS206+BT248*BT206+BU248*BU206+BV248*BV206+BW248*BW206+BX248*BX206+BY248*BY206+BZ248*BZ206+CA248*CA206+CB248*CB206+CC248*CC206+CD248*CD206+CE248*CE206+CF248*CF206+CG248*CG206+CH248*CH206+CI248*CI206+CJ248*CJ206+CK248*CK206+CL248*CL206+CM248*CM206+CN248*CN206</f>
        <v>-5.5511151231257827E-17</v>
      </c>
      <c r="CR206" s="2650">
        <f>E249*E206+F249*F206+G249*G206+H249*H206+I249*I206+J249*J206+K249*K206+L249*L206+M249*M206+N249*N206+O249*O206+P249*P206+Q249*Q206+R249*R206+S249*S206+T249*T206+U249*U206+V249*V206+W249*W206+X249*X206+Y249*Y206+Z249*Z206+AA249*AA206+AB249*AB206+AC249*AC206+AD249*AD206+AE249*AE206+AF249*AF206+AG249*AG206+AH249*AH206+AI249*AI206+AJ249*AJ206+AK249*AK206+AL249*AL206+AM249*AM206+AN249*AN206+AO249*AO206+AP249*AP206+AQ249*AQ206+AR249*AR206+AS249*AS206+AT249*AT206+AU249*AU206+AV249*AV206+AW249*AW206+AX249*AX206+AY249*AY206+AZ249*AZ206+BA249*BA206+BB249*BB206+BC249*BC206+BD249*BD206+BE249*BE206+BF249*BF206+BG249*BG206+BH249*BH206+BI249*BI206+BJ249*BJ206+BK249*BK206+BL249*BL206+BM249*BM206+BN249*BN206+BO249*BO206+BP249*BP206+BQ249*BQ206+BR249*BR206+BS249*BS206+BT249*BT206+BU249*BU206+BV249*BV206+BW249*BW206+BX249*BX206+BY249*BY206+BZ249*BZ206+CA249*CA206+CB249*CB206+CC249*CC206+CD249*CD206+CE249*CE206+CF249*CF206+CG249*CG206+CH249*CH206+CI249*CI206+CJ249*CJ206+CK249*CK206+CL249*CL206+CM249*CM206+CN249*CN206</f>
        <v>0</v>
      </c>
      <c r="CS206" s="2651">
        <f>E250*E206+F250*F206+G250*G206+H250*H206+I250*I206+J250*J206+K250*K206+L250*L206+M250*M206+N250*N206+O250*O206+P250*P206+Q250*Q206+R250*R206+S250*S206+T250*T206+U250*U206+V250*V206+W250*W206+X250*X206+Y250*Y206+Z250*Z206+AA250*AA206+AB250*AB206+AC250*AC206+AD250*AD206+AE250*AE206+AF250*AF206+AG250*AG206+AH250*AH206+AI250*AI206+AJ250*AJ206+AK250*AK206+AL250*AL206+AM250*AM206+AN250*AN206+AO250*AO206+AP250*AP206+AQ250*AQ206+AR250*AR206+AS250*AS206+AT250*AT206+AU250*AU206+AV250*AV206+AW250*AW206+AX250*AX206+AY250*AY206+AZ250*AZ206+BA250*BA206+BB250*BB206+BC250*BC206+BD250*BD206+BE250*BE206+BF250*BF206+BG250*BG206+BH250*BH206+BI250*BI206+BJ250*BJ206+BK250*BK206+BL250*BL206+BM250*BM206+BN250*BN206+BO250*BO206+BP250*BP206+BQ250*BQ206+BR250*BR206+BS250*BS206+BT250*BT206+BU250*BU206+BV250*BV206+BW250*BW206+BX250*BX206+BY250*BY206+BZ250*BZ206+CA250*CA206+CB250*CB206+CC250*CC206+CD250*CD206+CE250*CE206+CF250*CF206+CG250*CG206+CH250*CH206+CI250*CI206+CJ250*CJ206+CK250*CK206+CL250*CL206+CM250*CM206+CN250*CN206</f>
        <v>0</v>
      </c>
      <c r="CT206" s="2652">
        <f>E251*E206+F251*F206+G251*G206+H251*H206+I251*I206+J251*J206+K251*K206+L251*L206+M251*M206+N251*N206+O251*O206+P251*P206+Q251*Q206+R251*R206+S251*S206+T251*T206+U251*U206+V251*V206+W251*W206+X251*X206+Y251*Y206+Z251*Z206+AA251*AA206+AB251*AB206+AC251*AC206+AD251*AD206+AE251*AE206+AF251*AF206+AG251*AG206+AH251*AH206+AI251*AI206+AJ251*AJ206+AK251*AK206+AL251*AL206+AM251*AM206+AN251*AN206+AO251*AO206+AP251*AP206+AQ251*AQ206+AR251*AR206+AS251*AS206+AT251*AT206+AU251*AU206+AV251*AV206+AW251*AW206+AX251*AX206+AY251*AY206+AZ251*AZ206+BA251*BA206+BB251*BB206+BC251*BC206+BD251*BD206+BE251*BE206+BF251*BF206+BG251*BG206+BH251*BH206+BI251*BI206+BJ251*BJ206+BK251*BK206+BL251*BL206+BM251*BM206+BN251*BN206+BO251*BO206+BP251*BP206+BQ251*BQ206+BR251*BR206+BS251*BS206+BT251*BT206+BU251*BU206+BV251*BV206+BW251*BW206+BX251*BX206+BY251*BY206+BZ251*BZ206+CA251*CA206+CB251*CB206+CC251*CC206+CD251*CD206+CE251*CE206+CF251*CF206+CG251*CG206+CH251*CH206+CI251*CI206+CJ251*CJ206+CK251*CK206+CL251*CL206+CM251*CM206+CN251*CN206</f>
        <v>0</v>
      </c>
      <c r="CU206" s="2652">
        <f>E252*E206+F252*F206+G252*G206+H252*H206+I252*I206+J252*J206+K252*K206+L252*L206+M252*M206+N252*N206+O252*O206+P252*P206+Q252*Q206+R252*R206+S252*S206+T252*T206+U252*U206+V252*V206+W252*W206+X252*X206+Y252*Y206+Z252*Z206+AA252*AA206+AB252*AB206+AC252*AC206+AD252*AD206+AE252*AE206+AF252*AF206+AG252*AG206+AH252*AH206+AI252*AI206+AJ252*AJ206+AK252*AK206+AL252*AL206+AM252*AM206+AN252*AN206+AO252*AO206+AP252*AP206+AQ252*AQ206+AR252*AR206+AS252*AS206+AT252*AT206+AU252*AU206+AV252*AV206+AW252*AW206+AX252*AX206+AY252*AY206+AZ252*AZ206+BA252*BA206+BB252*BB206+BC252*BC206+BD252*BD206+BE252*BE206+BF252*BF206+BG252*BG206+BH252*BH206+BI252*BI206+BJ252*BJ206+BK252*BK206+BL252*BL206+BM252*BM206+BN252*BN206+BO252*BO206+BP252*BP206+BQ252*BQ206+BR252*BR206+BS252*BS206+BT252*BT206+BU252*BU206+BV252*BV206+BW252*BW206+BX252*BX206+BY252*BY206+BZ252*BZ206+CA252*CA206+CB252*CB206+CC252*CC206+CD252*CD206+CE252*CE206+CF252*CF206+CG252*CG206+CH252*CH206+CI252*CI206+CJ252*CJ206+CK252*CK206+CL252*CL206+CM252*CM206+CN252*CN206</f>
        <v>0</v>
      </c>
      <c r="CV206" s="2652">
        <f>E253*E206+F253*F206+G253*G206+H253*H206+I253*I206+J253*J206+K253*K206+L253*L206+M253*M206+N253*N206+O253*O206+P253*P206+Q253*Q206+R253*R206+S253*S206+T253*T206+U253*U206+V253*V206+W253*W206+X253*X206+Y253*Y206+Z253*Z206+AA253*AA206+AB253*AB206+AC253*AC206+AD253*AD206+AE253*AE206+AF253*AF206+AG253*AG206+AH253*AH206+AI253*AI206+AJ253*AJ206+AK253*AK206+AL253*AL206+AM253*AM206+AN253*AN206+AO253*AO206+AP253*AP206+AQ253*AQ206+AR253*AR206+AS253*AS206+AT253*AT206+AU253*AU206+AV253*AV206+AW253*AW206+AX253*AX206+AY253*AY206+AZ253*AZ206+BA253*BA206+BB253*BB206+BC253*BC206+BD253*BD206+BE253*BE206+BF253*BF206+BG253*BG206+BH253*BH206+BI253*BI206+BJ253*BJ206+BK253*BK206+BL253*BL206+BM253*BM206+BN253*BN206+BO253*BO206+BP253*BP206+BQ253*BQ206+BR253*BR206+BS253*BS206+BT253*BT206+BU253*BU206+BV253*BV206+BW253*BW206+BX253*BX206+BY253*BY206+BZ253*BZ206+CA253*CA206+CB253*CB206+CC253*CC206+CD253*CD206+CE253*CE206+CF253*CF206+CG253*CG206+CH253*CH206+CI253*CI206+CJ253*CJ206+CK253*CK206+CL253*CL206+CM253*CM206+CN253*CN206</f>
        <v>0</v>
      </c>
      <c r="CW206" s="2652">
        <f>E254*E206+F254*F206+G254*G206+H254*H206+I254*I206+J254*J206+K254*K206+L254*L206+M254*M206+N254*N206+O254*O206+P254*P206+Q254*Q206+R254*R206+S254*S206+T254*T206+U254*U206+V254*V206+W254*W206+X254*X206+Y254*Y206+Z254*Z206+AA254*AA206+AB254*AB206+AC254*AC206+AD254*AD206+AE254*AE206+AF254*AF206+AG254*AG206+AH254*AH206+AI254*AI206+AJ254*AJ206+AK254*AK206+AL254*AL206+AM254*AM206+AN254*AN206+AO254*AO206+AP254*AP206+AQ254*AQ206+AR254*AR206+AS254*AS206+AT254*AT206+AU254*AU206+AV254*AV206+AW254*AW206+AX254*AX206+AY254*AY206+AZ254*AZ206+BA254*BA206+BB254*BB206+BC254*BC206+BD254*BD206+BE254*BE206+BF254*BF206+BG254*BG206+BH254*BH206+BI254*BI206+BJ254*BJ206+BK254*BK206+BL254*BL206+BM254*BM206+BN254*BN206+BO254*BO206+BP254*BP206+BQ254*BQ206+BR254*BR206+BS254*BS206+BT254*BT206+BU254*BU206+BV254*BV206+BW254*BW206+BX254*BX206+BY254*BY206+BZ254*BZ206+CA254*CA206+CB254*CB206+CC254*CC206+CD254*CD206+CE254*CE206+CF254*CF206+CG254*CG206+CH254*CH206+CI254*CI206+CJ254*CJ206+CK254*CK206+CL254*CL206+CM254*CM206+CN254*CN206</f>
        <v>0</v>
      </c>
      <c r="CX206" s="2652">
        <f>E255*E206+F255*F206+G255*G206+H255*H206+I255*I206+J255*J206+K255*K206+L255*L206+M255*M206+N255*N206+O255*O206+P255*P206+Q255*Q206+R255*R206+S255*S206+T255*T206+U255*U206+V255*V206+W255*W206+X255*X206+Y255*Y206+Z255*Z206+AA255*AA206+AB255*AB206+AC255*AC206+AD255*AD206+AE255*AE206+AF255*AF206+AG255*AG206+AH255*AH206+AI255*AI206+AJ255*AJ206+AK255*AK206+AL255*AL206+AM255*AM206+AN255*AN206+AO255*AO206+AP255*AP206+AQ255*AQ206+AR255*AR206+AS255*AS206+AT255*AT206+AU255*AU206+AV255*AV206+AW255*AW206+AX255*AX206+AY255*AY206+AZ255*AZ206+BA255*BA206+BB255*BB206+BC255*BC206+BD255*BD206+BE255*BE206+BF255*BF206+BG255*BG206+BH255*BH206+BI255*BI206+BJ255*BJ206+BK255*BK206+BL255*BL206+BM255*BM206+BN255*BN206+BO255*BO206+BP255*BP206+BQ255*BQ206+BR255*BR206+BS255*BS206+BT255*BT206+BU255*BU206+BV255*BV206+BW255*BW206+BX255*BX206+BY255*BY206+BZ255*BZ206+CA255*CA206+CB255*CB206+CC255*CC206+CD255*CD206+CE255*CE206+CF255*CF206+CG255*CG206+CH255*CH206+CI255*CI206+CJ255*CJ206+CK255*CK206+CL255*CL206+CM255*CM206+CN255*CN206</f>
        <v>0</v>
      </c>
      <c r="CY206" s="2652">
        <f>E256*E206+F256*F206+G256*G206+H256*H206+I256*I206+J256*J206+K256*K206+L256*L206+M256*M206+N256*N206+O256*O206+P256*P206+Q256*Q206+R256*R206+S256*S206+T256*T206+U256*U206+V256*V206+W256*W206+X256*X206+Y256*Y206+Z256*Z206+AA256*AA206+AB256*AB206+AC256*AC206+AD256*AD206+AE256*AE206+AF256*AF206+AG256*AG206+AH256*AH206+AI256*AI206+AJ256*AJ206+AK256*AK206+AL256*AL206+AM256*AM206+AN256*AN206+AO256*AO206+AP256*AP206+AQ256*AQ206+AR256*AR206+AS256*AS206+AT256*AT206+AU256*AU206+AV256*AV206+AW256*AW206+AX256*AX206+AY256*AY206+AZ256*AZ206+BA256*BA206+BB256*BB206+BC256*BC206+BD256*BD206+BE256*BE206+BF256*BF206+BG256*BG206+BH256*BH206+BI256*BI206+BJ256*BJ206+BK256*BK206+BL256*BL206+BM256*BM206+BN256*BN206+BO256*BO206+BP256*BP206+BQ256*BQ206+BR256*BR206+BS256*BS206+BT256*BT206+BU256*BU206+BV256*BV206+BW256*BW206+BX256*BX206+BY256*BY206+BZ256*BZ206+CA256*CA206+CB256*CB206+CC256*CC206+CD256*CD206+CE256*CE206+CF256*CF206+CG256*CG206+CH256*CH206+CI256*CI206+CJ256*CJ206+CK256*CK206+CL256*CL206+CM256*CM206+CN256*CN206</f>
        <v>0</v>
      </c>
      <c r="CZ206" s="2652">
        <f>E257*E206+F257*F206+G257*G206+H257*H206+I257*I206+J257*J206+K257*K206+L257*L206+M257*M206+N257*N206+O257*O206+P257*P206+Q257*Q206+R257*R206+S257*S206+T257*T206+U257*U206+V257*V206+W257*W206+X257*X206+Y257*Y206+Z257*Z206+AA257*AA206+AB257*AB206+AC257*AC206+AD257*AD206+AE257*AE206+AF257*AF206+AG257*AG206+AH257*AH206+AI257*AI206+AJ257*AJ206+AK257*AK206+AL257*AL206+AM257*AM206+AN257*AN206+AO257*AO206+AP257*AP206+AQ257*AQ206+AR257*AR206+AS257*AS206+AT257*AT206+AU257*AU206+AV257*AV206+AW257*AW206+AX257*AX206+AY257*AY206+AZ257*AZ206+BA257*BA206+BB257*BB206+BC257*BC206+BD257*BD206+BE257*BE206+BF257*BF206+BG257*BG206+BH257*BH206+BI257*BI206+BJ257*BJ206+BK257*BK206+BL257*BL206+BM257*BM206+BN257*BN206+BO257*BO206+BP257*BP206+BQ257*BQ206+BR257*BR206+BS257*BS206+BT257*BT206+BU257*BU206+BV257*BV206+BW257*BW206+BX257*BX206+BY257*BY206+BZ257*BZ206+CA257*CA206+CB257*CB206+CC257*CC206+CD257*CD206+CE257*CE206+CF257*CF206+CG257*CG206+CH257*CH206+CI257*CI206+CJ257*CJ206+CK257*CK206+CL257*CL206+CM257*CM206+CN257*CN206</f>
        <v>0</v>
      </c>
      <c r="DA206" s="2652">
        <f>E258*E206+F258*F206+G258*G206+H258*H206+I258*I206+J258*J206+K258*K206+L258*L206+M258*M206+N258*N206+O258*O206+P258*P206+Q258*Q206+R258*R206+S258*S206+T258*T206+U258*U206+V258*V206+W258*W206+X258*X206+Y258*Y206+Z258*Z206+AA258*AA206+AB258*AB206+AC258*AC206+AD258*AD206+AE258*AE206+AF258*AF206+AG258*AG206+AH258*AH206+AI258*AI206+AJ258*AJ206+AK258*AK206+AL258*AL206+AM258*AM206+AN258*AN206+AO258*AO206+AP258*AP206+AQ258*AQ206+AR258*AR206+AS258*AS206+AT258*AT206+AU258*AU206+AV258*AV206+AW258*AW206+AX258*AX206+AY258*AY206+AZ258*AZ206+BA258*BA206+BB258*BB206+BC258*BC206+BD258*BD206+BE258*BE206+BF258*BF206+BG258*BG206+BH258*BH206+BI258*BI206+BJ258*BJ206+BK258*BK206+BL258*BL206+BM258*BM206+BN258*BN206+BO258*BO206+BP258*BP206+BQ258*BQ206+BR258*BR206+BS258*BS206+BT258*BT206+BU258*BU206+BV258*BV206+BW258*BW206+BX258*BX206+BY258*BY206+BZ258*BZ206+CA258*CA206+CB258*CB206+CC258*CC206+CD258*CD206+CE258*CE206+CF258*CF206+CG258*CG206+CH258*CH206+CI258*CI206+CJ258*CJ206+CK258*CK206+CL258*CL206+CM258*CM206+CN258*CN206</f>
        <v>0</v>
      </c>
    </row>
    <row r="207" spans="2:105" ht="18" x14ac:dyDescent="0.35">
      <c r="B207" s="1089">
        <v>74</v>
      </c>
      <c r="C207" s="1079" t="s">
        <v>2820</v>
      </c>
      <c r="D207" s="837" t="s">
        <v>2291</v>
      </c>
      <c r="E207" s="2691">
        <f>0</f>
        <v>0</v>
      </c>
      <c r="F207" s="2691">
        <f>0</f>
        <v>0</v>
      </c>
      <c r="G207" s="2691">
        <f>0</f>
        <v>0</v>
      </c>
      <c r="H207" s="2691">
        <f>0</f>
        <v>0</v>
      </c>
      <c r="I207" s="2691">
        <f>0</f>
        <v>0</v>
      </c>
      <c r="J207" s="2691">
        <f>0</f>
        <v>0</v>
      </c>
      <c r="K207" s="2693">
        <f>0</f>
        <v>0</v>
      </c>
      <c r="L207" s="2691">
        <f>0</f>
        <v>0</v>
      </c>
      <c r="M207" s="2691">
        <f>0</f>
        <v>0</v>
      </c>
      <c r="N207" s="2691">
        <f>0</f>
        <v>0</v>
      </c>
      <c r="O207" s="2691">
        <f>0</f>
        <v>0</v>
      </c>
      <c r="P207" s="2691">
        <f>0</f>
        <v>0</v>
      </c>
      <c r="Q207" s="2691">
        <f>0</f>
        <v>0</v>
      </c>
      <c r="R207" s="2691">
        <f>0</f>
        <v>0</v>
      </c>
      <c r="S207" s="2691">
        <f>0</f>
        <v>0</v>
      </c>
      <c r="T207" s="2730">
        <f>-E_EQNO2*X_OHO/X_BIO</f>
        <v>-1.3124484439638842</v>
      </c>
      <c r="U207" s="2730">
        <f>-E_EQNO2*X_AHO/X_BIO</f>
        <v>-0.65622422198194208</v>
      </c>
      <c r="V207" s="2730">
        <f>-E_EQNO2*X_CASTO/X_BIO</f>
        <v>-1.3124484439638842</v>
      </c>
      <c r="W207" s="2730">
        <f>-E_EQNO2*X_MEOLO/X_BIO</f>
        <v>-2.6248968879277685E-3</v>
      </c>
      <c r="X207" s="2730">
        <f>-E_EQNO2*X_AOB/X_BIO</f>
        <v>-8.6621597301616352E-2</v>
      </c>
      <c r="Y207" s="2730">
        <f>-E_EQNO2*X_NOB/X_BIO</f>
        <v>-5.2497937758555366E-2</v>
      </c>
      <c r="Z207" s="2730">
        <f>-E_EQNO2*X_AMX/X_BIO</f>
        <v>-2.6248968879277685E-3</v>
      </c>
      <c r="AA207" s="2730">
        <f>-E_EQNO2*X_AMETO/X_BIO</f>
        <v>-7.8746906637833052E-4</v>
      </c>
      <c r="AB207" s="2730">
        <f>-E_EQNO2*X_HMETO/X_BIO</f>
        <v>-5.2497937758555371E-4</v>
      </c>
      <c r="AC207" s="2730">
        <f>-E_EQNO2*X_ALGAE/X_BIO</f>
        <v>0</v>
      </c>
      <c r="AD207" s="2750">
        <f>1+(i_N_BIO*(X_BIO-X_ALGAE-X_AHO)+i_N_AHO*X_AHO+i_N_ALGAE*X_ALGAE)*E_EQNO2/X_BIO</f>
        <v>1.2595629287627375</v>
      </c>
      <c r="AE207" s="2750">
        <f>-1</f>
        <v>-1</v>
      </c>
      <c r="AF207" s="2750">
        <f>0</f>
        <v>0</v>
      </c>
      <c r="AG207" s="2750">
        <f>0</f>
        <v>0</v>
      </c>
      <c r="AH207" s="2750">
        <f>0</f>
        <v>0</v>
      </c>
      <c r="AI207" s="2750">
        <f>0</f>
        <v>0</v>
      </c>
      <c r="AJ207" s="2693">
        <f>0</f>
        <v>0</v>
      </c>
      <c r="AK207" s="2750">
        <f>0</f>
        <v>0</v>
      </c>
      <c r="AL207" s="2750">
        <f>(i_P_BIO*(X_BIO-X_ALGAE-X_AHO)+i_P_AHO*X_AHO+i_P_ALGAE*X_ALGAE)*E_EQNO2/X_BIO</f>
        <v>7.8379421073523164E-2</v>
      </c>
      <c r="AM207" s="2691">
        <f>0</f>
        <v>0</v>
      </c>
      <c r="AN207" s="2691">
        <f>0</f>
        <v>0</v>
      </c>
      <c r="AO207" s="2691">
        <f>0</f>
        <v>0</v>
      </c>
      <c r="AP207" s="2693">
        <f>0</f>
        <v>0</v>
      </c>
      <c r="AQ207" s="2691">
        <f>0</f>
        <v>0</v>
      </c>
      <c r="AR207" s="2691">
        <f>0</f>
        <v>0</v>
      </c>
      <c r="AS207" s="2691">
        <f>0</f>
        <v>0</v>
      </c>
      <c r="AT207" s="2691">
        <f>0</f>
        <v>0</v>
      </c>
      <c r="AU207" s="2750">
        <f>(i_CIT_BIO*E_EQNO2*(X_BIO-X_ALGAE)+i_CIT_ALGAE*E_EQNO2*X_ALGAE)/X_BIO</f>
        <v>1.2062346162907749</v>
      </c>
      <c r="AV207" s="2691">
        <f>0</f>
        <v>0</v>
      </c>
      <c r="AW207" s="2691">
        <f>0</f>
        <v>0</v>
      </c>
      <c r="AX207" s="2691">
        <f>0</f>
        <v>0</v>
      </c>
      <c r="AY207" s="2691">
        <f>0</f>
        <v>0</v>
      </c>
      <c r="AZ207" s="2691">
        <f>0</f>
        <v>0</v>
      </c>
      <c r="BA207" s="2691">
        <f>0</f>
        <v>0</v>
      </c>
      <c r="BB207" s="2691">
        <f>0</f>
        <v>0</v>
      </c>
      <c r="BC207" s="2691">
        <f>0</f>
        <v>0</v>
      </c>
      <c r="BD207" s="2691">
        <f>0</f>
        <v>0</v>
      </c>
      <c r="BE207" s="2691">
        <f>0</f>
        <v>0</v>
      </c>
      <c r="BF207" s="2691">
        <f>0</f>
        <v>0</v>
      </c>
      <c r="BG207" s="2691">
        <f>0</f>
        <v>0</v>
      </c>
      <c r="BH207" s="2691">
        <f>0</f>
        <v>0</v>
      </c>
      <c r="BI207" s="2691">
        <f>0</f>
        <v>0</v>
      </c>
      <c r="BJ207" s="2698">
        <f>0</f>
        <v>0</v>
      </c>
      <c r="BK207" s="2698">
        <f>0</f>
        <v>0</v>
      </c>
      <c r="BL207" s="2698">
        <f>0</f>
        <v>0</v>
      </c>
      <c r="BM207" s="2698">
        <f>0</f>
        <v>0</v>
      </c>
      <c r="BN207" s="2698">
        <f>0</f>
        <v>0</v>
      </c>
      <c r="BO207" s="2698">
        <f>0</f>
        <v>0</v>
      </c>
      <c r="BP207" s="2698">
        <f>0</f>
        <v>0</v>
      </c>
      <c r="BQ207" s="2691">
        <f>0</f>
        <v>0</v>
      </c>
      <c r="BR207" s="2691">
        <f>0</f>
        <v>0</v>
      </c>
      <c r="BS207" s="2698">
        <f>0</f>
        <v>0</v>
      </c>
      <c r="BT207" s="2691">
        <f>0</f>
        <v>0</v>
      </c>
      <c r="BU207" s="2691">
        <f>0</f>
        <v>0</v>
      </c>
      <c r="BV207" s="2693">
        <f>0</f>
        <v>0</v>
      </c>
      <c r="BW207" s="2693">
        <f>0</f>
        <v>0</v>
      </c>
      <c r="BX207" s="2693">
        <f>0</f>
        <v>0</v>
      </c>
      <c r="BY207" s="2693">
        <f>0</f>
        <v>0</v>
      </c>
      <c r="BZ207" s="2691">
        <f>0</f>
        <v>0</v>
      </c>
      <c r="CA207" s="2691">
        <f>0</f>
        <v>0</v>
      </c>
      <c r="CB207" s="2807">
        <f>0</f>
        <v>0</v>
      </c>
      <c r="CC207" s="2691">
        <f>0</f>
        <v>0</v>
      </c>
      <c r="CD207" s="2691">
        <f>0</f>
        <v>0</v>
      </c>
      <c r="CE207" s="2691">
        <f>0</f>
        <v>0</v>
      </c>
      <c r="CF207" s="2691">
        <f>0</f>
        <v>0</v>
      </c>
      <c r="CG207" s="2691">
        <f>0</f>
        <v>0</v>
      </c>
      <c r="CH207" s="2691">
        <f>0</f>
        <v>0</v>
      </c>
      <c r="CI207" s="2691">
        <f>0</f>
        <v>0</v>
      </c>
      <c r="CJ207" s="2691">
        <f>0</f>
        <v>0</v>
      </c>
      <c r="CK207" s="2691">
        <f>0</f>
        <v>0</v>
      </c>
      <c r="CL207" s="2691">
        <f>0</f>
        <v>0</v>
      </c>
      <c r="CM207" s="2691">
        <f>0</f>
        <v>0</v>
      </c>
      <c r="CN207" s="2691">
        <f>0</f>
        <v>0</v>
      </c>
      <c r="CO207" s="2840">
        <f>q_ASSIM_T*X_BIO*M_satSNO2_KNO2_ASSIM*M_inhSNHx_KiNHx_ASSIM</f>
        <v>0.64596414663955171</v>
      </c>
      <c r="CQ207" s="2650">
        <f>E248*E207+F248*F207+G248*G207+H248*H207+I248*I207+J248*J207+K248*K207+L248*L207+M248*M207+N248*N207+O248*O207+P248*P207+Q248*Q207+R248*R207+S248*S207+T248*T207+U248*U207+V248*V207+W248*W207+X248*X207+Y248*Y207+Z248*Z207+AA248*AA207+AB248*AB207+AC248*AC207+AD248*AD207+AE248*AE207+AF248*AF207+AG248*AG207+AH248*AH207+AI248*AI207+AJ248*AJ207+AK248*AK207+AL248*AL207+AM248*AM207+AN248*AN207+AO248*AO207+AP248*AP207+AQ248*AQ207+AR248*AR207+AS248*AS207+AT248*AT207+AU248*AU207+AV248*AV207+AW248*AW207+AX248*AX207+AY248*AY207+AZ248*AZ207+BA248*BA207+BB248*BB207+BC248*BC207+BD248*BD207+BE248*BE207+BF248*BF207+BG248*BG207+BH248*BH207+BI248*BI207+BJ248*BJ207+BK248*BK207+BL248*BL207+BM248*BM207+BN248*BN207+BO248*BO207+BP248*BP207+BQ248*BQ207+BR248*BR207+BS248*BS207+BT248*BT207+BU248*BU207+BV248*BV207+BW248*BW207+BX248*BX207+BY248*BY207+BZ248*BZ207+CA248*CA207+CB248*CB207+CC248*CC207+CD248*CD207+CE248*CE207+CF248*CF207+CG248*CG207+CH248*CH207+CI248*CI207+CJ248*CJ207+CK248*CK207+CL248*CL207+CM248*CM207+CN248*CN207</f>
        <v>-4.4408920985006262E-16</v>
      </c>
      <c r="CR207" s="2650">
        <f>E249*E207+F249*F207+G249*G207+H249*H207+I249*I207+J249*J207+K249*K207+L249*L207+M249*M207+N249*N207+O249*O207+P249*P207+Q249*Q207+R249*R207+S249*S207+T249*T207+U249*U207+V249*V207+W249*W207+X249*X207+Y249*Y207+Z249*Z207+AA249*AA207+AB249*AB207+AC249*AC207+AD249*AD207+AE249*AE207+AF249*AF207+AG249*AG207+AH249*AH207+AI249*AI207+AJ249*AJ207+AK249*AK207+AL249*AL207+AM249*AM207+AN249*AN207+AO249*AO207+AP249*AP207+AQ249*AQ207+AR249*AR207+AS249*AS207+AT249*AT207+AU249*AU207+AV249*AV207+AW249*AW207+AX249*AX207+AY249*AY207+AZ249*AZ207+BA249*BA207+BB249*BB207+BC249*BC207+BD249*BD207+BE249*BE207+BF249*BF207+BG249*BG207+BH249*BH207+BI249*BI207+BJ249*BJ207+BK249*BK207+BL249*BL207+BM249*BM207+BN249*BN207+BO249*BO207+BP249*BP207+BQ249*BQ207+BR249*BR207+BS249*BS207+BT249*BT207+BU249*BU207+BV249*BV207+BW249*BW207+BX249*BX207+BY249*BY207+BZ249*BZ207+CA249*CA207+CB249*CB207+CC249*CC207+CD249*CD207+CE249*CE207+CF249*CF207+CG249*CG207+CH249*CH207+CI249*CI207+CJ249*CJ207+CK249*CK207+CL249*CL207+CM249*CM207+CN249*CN207</f>
        <v>-2.2204460492503131E-16</v>
      </c>
      <c r="CS207" s="2651">
        <f>E250*E207+F250*F207+G250*G207+H250*H207+I250*I207+J250*J207+K250*K207+L250*L207+M250*M207+N250*N207+O250*O207+P250*P207+Q250*Q207+R250*R207+S250*S207+T250*T207+U250*U207+V250*V207+W250*W207+X250*X207+Y250*Y207+Z250*Z207+AA250*AA207+AB250*AB207+AC250*AC207+AD250*AD207+AE250*AE207+AF250*AF207+AG250*AG207+AH250*AH207+AI250*AI207+AJ250*AJ207+AK250*AK207+AL250*AL207+AM250*AM207+AN250*AN207+AO250*AO207+AP250*AP207+AQ250*AQ207+AR250*AR207+AS250*AS207+AT250*AT207+AU250*AU207+AV250*AV207+AW250*AW207+AX250*AX207+AY250*AY207+AZ250*AZ207+BA250*BA207+BB250*BB207+BC250*BC207+BD250*BD207+BE250*BE207+BF250*BF207+BG250*BG207+BH250*BH207+BI250*BI207+BJ250*BJ207+BK250*BK207+BL250*BL207+BM250*BM207+BN250*BN207+BO250*BO207+BP250*BP207+BQ250*BQ207+BR250*BR207+BS250*BS207+BT250*BT207+BU250*BU207+BV250*BV207+BW250*BW207+BX250*BX207+BY250*BY207+BZ250*BZ207+CA250*CA207+CB250*CB207+CC250*CC207+CD250*CD207+CE250*CE207+CF250*CF207+CG250*CG207+CH250*CH207+CI250*CI207+CJ250*CJ207+CK250*CK207+CL250*CL207+CM250*CM207+CN250*CN207</f>
        <v>0</v>
      </c>
      <c r="CT207" s="2652">
        <f>E251*E207+F251*F207+G251*G207+H251*H207+I251*I207+J251*J207+K251*K207+L251*L207+M251*M207+N251*N207+O251*O207+P251*P207+Q251*Q207+R251*R207+S251*S207+T251*T207+U251*U207+V251*V207+W251*W207+X251*X207+Y251*Y207+Z251*Z207+AA251*AA207+AB251*AB207+AC251*AC207+AD251*AD207+AE251*AE207+AF251*AF207+AG251*AG207+AH251*AH207+AI251*AI207+AJ251*AJ207+AK251*AK207+AL251*AL207+AM251*AM207+AN251*AN207+AO251*AO207+AP251*AP207+AQ251*AQ207+AR251*AR207+AS251*AS207+AT251*AT207+AU251*AU207+AV251*AV207+AW251*AW207+AX251*AX207+AY251*AY207+AZ251*AZ207+BA251*BA207+BB251*BB207+BC251*BC207+BD251*BD207+BE251*BE207+BF251*BF207+BG251*BG207+BH251*BH207+BI251*BI207+BJ251*BJ207+BK251*BK207+BL251*BL207+BM251*BM207+BN251*BN207+BO251*BO207+BP251*BP207+BQ251*BQ207+BR251*BR207+BS251*BS207+BT251*BT207+BU251*BU207+BV251*BV207+BW251*BW207+BX251*BX207+BY251*BY207+BZ251*BZ207+CA251*CA207+CB251*CB207+CC251*CC207+CD251*CD207+CE251*CE207+CF251*CF207+CG251*CG207+CH251*CH207+CI251*CI207+CJ251*CJ207+CK251*CK207+CL251*CL207+CM251*CM207+CN251*CN207</f>
        <v>0</v>
      </c>
      <c r="CU207" s="2652">
        <f>E252*E207+F252*F207+G252*G207+H252*H207+I252*I207+J252*J207+K252*K207+L252*L207+M252*M207+N252*N207+O252*O207+P252*P207+Q252*Q207+R252*R207+S252*S207+T252*T207+U252*U207+V252*V207+W252*W207+X252*X207+Y252*Y207+Z252*Z207+AA252*AA207+AB252*AB207+AC252*AC207+AD252*AD207+AE252*AE207+AF252*AF207+AG252*AG207+AH252*AH207+AI252*AI207+AJ252*AJ207+AK252*AK207+AL252*AL207+AM252*AM207+AN252*AN207+AO252*AO207+AP252*AP207+AQ252*AQ207+AR252*AR207+AS252*AS207+AT252*AT207+AU252*AU207+AV252*AV207+AW252*AW207+AX252*AX207+AY252*AY207+AZ252*AZ207+BA252*BA207+BB252*BB207+BC252*BC207+BD252*BD207+BE252*BE207+BF252*BF207+BG252*BG207+BH252*BH207+BI252*BI207+BJ252*BJ207+BK252*BK207+BL252*BL207+BM252*BM207+BN252*BN207+BO252*BO207+BP252*BP207+BQ252*BQ207+BR252*BR207+BS252*BS207+BT252*BT207+BU252*BU207+BV252*BV207+BW252*BW207+BX252*BX207+BY252*BY207+BZ252*BZ207+CA252*CA207+CB252*CB207+CC252*CC207+CD252*CD207+CE252*CE207+CF252*CF207+CG252*CG207+CH252*CH207+CI252*CI207+CJ252*CJ207+CK252*CK207+CL252*CL207+CM252*CM207+CN252*CN207</f>
        <v>0</v>
      </c>
      <c r="CV207" s="2652">
        <f>E253*E207+F253*F207+G253*G207+H253*H207+I253*I207+J253*J207+K253*K207+L253*L207+M253*M207+N253*N207+O253*O207+P253*P207+Q253*Q207+R253*R207+S253*S207+T253*T207+U253*U207+V253*V207+W253*W207+X253*X207+Y253*Y207+Z253*Z207+AA253*AA207+AB253*AB207+AC253*AC207+AD253*AD207+AE253*AE207+AF253*AF207+AG253*AG207+AH253*AH207+AI253*AI207+AJ253*AJ207+AK253*AK207+AL253*AL207+AM253*AM207+AN253*AN207+AO253*AO207+AP253*AP207+AQ253*AQ207+AR253*AR207+AS253*AS207+AT253*AT207+AU253*AU207+AV253*AV207+AW253*AW207+AX253*AX207+AY253*AY207+AZ253*AZ207+BA253*BA207+BB253*BB207+BC253*BC207+BD253*BD207+BE253*BE207+BF253*BF207+BG253*BG207+BH253*BH207+BI253*BI207+BJ253*BJ207+BK253*BK207+BL253*BL207+BM253*BM207+BN253*BN207+BO253*BO207+BP253*BP207+BQ253*BQ207+BR253*BR207+BS253*BS207+BT253*BT207+BU253*BU207+BV253*BV207+BW253*BW207+BX253*BX207+BY253*BY207+BZ253*BZ207+CA253*CA207+CB253*CB207+CC253*CC207+CD253*CD207+CE253*CE207+CF253*CF207+CG253*CG207+CH253*CH207+CI253*CI207+CJ253*CJ207+CK253*CK207+CL253*CL207+CM253*CM207+CN253*CN207</f>
        <v>0</v>
      </c>
      <c r="CW207" s="2652">
        <f>E254*E207+F254*F207+G254*G207+H254*H207+I254*I207+J254*J207+K254*K207+L254*L207+M254*M207+N254*N207+O254*O207+P254*P207+Q254*Q207+R254*R207+S254*S207+T254*T207+U254*U207+V254*V207+W254*W207+X254*X207+Y254*Y207+Z254*Z207+AA254*AA207+AB254*AB207+AC254*AC207+AD254*AD207+AE254*AE207+AF254*AF207+AG254*AG207+AH254*AH207+AI254*AI207+AJ254*AJ207+AK254*AK207+AL254*AL207+AM254*AM207+AN254*AN207+AO254*AO207+AP254*AP207+AQ254*AQ207+AR254*AR207+AS254*AS207+AT254*AT207+AU254*AU207+AV254*AV207+AW254*AW207+AX254*AX207+AY254*AY207+AZ254*AZ207+BA254*BA207+BB254*BB207+BC254*BC207+BD254*BD207+BE254*BE207+BF254*BF207+BG254*BG207+BH254*BH207+BI254*BI207+BJ254*BJ207+BK254*BK207+BL254*BL207+BM254*BM207+BN254*BN207+BO254*BO207+BP254*BP207+BQ254*BQ207+BR254*BR207+BS254*BS207+BT254*BT207+BU254*BU207+BV254*BV207+BW254*BW207+BX254*BX207+BY254*BY207+BZ254*BZ207+CA254*CA207+CB254*CB207+CC254*CC207+CD254*CD207+CE254*CE207+CF254*CF207+CG254*CG207+CH254*CH207+CI254*CI207+CJ254*CJ207+CK254*CK207+CL254*CL207+CM254*CM207+CN254*CN207</f>
        <v>0</v>
      </c>
      <c r="CX207" s="2652">
        <f>E255*E207+F255*F207+G255*G207+H255*H207+I255*I207+J255*J207+K255*K207+L255*L207+M255*M207+N255*N207+O255*O207+P255*P207+Q255*Q207+R255*R207+S255*S207+T255*T207+U255*U207+V255*V207+W255*W207+X255*X207+Y255*Y207+Z255*Z207+AA255*AA207+AB255*AB207+AC255*AC207+AD255*AD207+AE255*AE207+AF255*AF207+AG255*AG207+AH255*AH207+AI255*AI207+AJ255*AJ207+AK255*AK207+AL255*AL207+AM255*AM207+AN255*AN207+AO255*AO207+AP255*AP207+AQ255*AQ207+AR255*AR207+AS255*AS207+AT255*AT207+AU255*AU207+AV255*AV207+AW255*AW207+AX255*AX207+AY255*AY207+AZ255*AZ207+BA255*BA207+BB255*BB207+BC255*BC207+BD255*BD207+BE255*BE207+BF255*BF207+BG255*BG207+BH255*BH207+BI255*BI207+BJ255*BJ207+BK255*BK207+BL255*BL207+BM255*BM207+BN255*BN207+BO255*BO207+BP255*BP207+BQ255*BQ207+BR255*BR207+BS255*BS207+BT255*BT207+BU255*BU207+BV255*BV207+BW255*BW207+BX255*BX207+BY255*BY207+BZ255*BZ207+CA255*CA207+CB255*CB207+CC255*CC207+CD255*CD207+CE255*CE207+CF255*CF207+CG255*CG207+CH255*CH207+CI255*CI207+CJ255*CJ207+CK255*CK207+CL255*CL207+CM255*CM207+CN255*CN207</f>
        <v>0</v>
      </c>
      <c r="CY207" s="2652">
        <f>E256*E207+F256*F207+G256*G207+H256*H207+I256*I207+J256*J207+K256*K207+L256*L207+M256*M207+N256*N207+O256*O207+P256*P207+Q256*Q207+R256*R207+S256*S207+T256*T207+U256*U207+V256*V207+W256*W207+X256*X207+Y256*Y207+Z256*Z207+AA256*AA207+AB256*AB207+AC256*AC207+AD256*AD207+AE256*AE207+AF256*AF207+AG256*AG207+AH256*AH207+AI256*AI207+AJ256*AJ207+AK256*AK207+AL256*AL207+AM256*AM207+AN256*AN207+AO256*AO207+AP256*AP207+AQ256*AQ207+AR256*AR207+AS256*AS207+AT256*AT207+AU256*AU207+AV256*AV207+AW256*AW207+AX256*AX207+AY256*AY207+AZ256*AZ207+BA256*BA207+BB256*BB207+BC256*BC207+BD256*BD207+BE256*BE207+BF256*BF207+BG256*BG207+BH256*BH207+BI256*BI207+BJ256*BJ207+BK256*BK207+BL256*BL207+BM256*BM207+BN256*BN207+BO256*BO207+BP256*BP207+BQ256*BQ207+BR256*BR207+BS256*BS207+BT256*BT207+BU256*BU207+BV256*BV207+BW256*BW207+BX256*BX207+BY256*BY207+BZ256*BZ207+CA256*CA207+CB256*CB207+CC256*CC207+CD256*CD207+CE256*CE207+CF256*CF207+CG256*CG207+CH256*CH207+CI256*CI207+CJ256*CJ207+CK256*CK207+CL256*CL207+CM256*CM207+CN256*CN207</f>
        <v>0</v>
      </c>
      <c r="CZ207" s="2652">
        <f>E257*E207+F257*F207+G257*G207+H257*H207+I257*I207+J257*J207+K257*K207+L257*L207+M257*M207+N257*N207+O257*O207+P257*P207+Q257*Q207+R257*R207+S257*S207+T257*T207+U257*U207+V257*V207+W257*W207+X257*X207+Y257*Y207+Z257*Z207+AA257*AA207+AB257*AB207+AC257*AC207+AD257*AD207+AE257*AE207+AF257*AF207+AG257*AG207+AH257*AH207+AI257*AI207+AJ257*AJ207+AK257*AK207+AL257*AL207+AM257*AM207+AN257*AN207+AO257*AO207+AP257*AP207+AQ257*AQ207+AR257*AR207+AS257*AS207+AT257*AT207+AU257*AU207+AV257*AV207+AW257*AW207+AX257*AX207+AY257*AY207+AZ257*AZ207+BA257*BA207+BB257*BB207+BC257*BC207+BD257*BD207+BE257*BE207+BF257*BF207+BG257*BG207+BH257*BH207+BI257*BI207+BJ257*BJ207+BK257*BK207+BL257*BL207+BM257*BM207+BN257*BN207+BO257*BO207+BP257*BP207+BQ257*BQ207+BR257*BR207+BS257*BS207+BT257*BT207+BU257*BU207+BV257*BV207+BW257*BW207+BX257*BX207+BY257*BY207+BZ257*BZ207+CA257*CA207+CB257*CB207+CC257*CC207+CD257*CD207+CE257*CE207+CF257*CF207+CG257*CG207+CH257*CH207+CI257*CI207+CJ257*CJ207+CK257*CK207+CL257*CL207+CM257*CM207+CN257*CN207</f>
        <v>0</v>
      </c>
      <c r="DA207" s="2652">
        <f>E258*E207+F258*F207+G258*G207+H258*H207+I258*I207+J258*J207+K258*K207+L258*L207+M258*M207+N258*N207+O258*O207+P258*P207+Q258*Q207+R258*R207+S258*S207+T258*T207+U258*U207+V258*V207+W258*W207+X258*X207+Y258*Y207+Z258*Z207+AA258*AA207+AB258*AB207+AC258*AC207+AD258*AD207+AE258*AE207+AF258*AF207+AG258*AG207+AH258*AH207+AI258*AI207+AJ258*AJ207+AK258*AK207+AL258*AL207+AM258*AM207+AN258*AN207+AO258*AO207+AP258*AP207+AQ258*AQ207+AR258*AR207+AS258*AS207+AT258*AT207+AU258*AU207+AV258*AV207+AW258*AW207+AX258*AX207+AY258*AY207+AZ258*AZ207+BA258*BA207+BB258*BB207+BC258*BC207+BD258*BD207+BE258*BE207+BF258*BF207+BG258*BG207+BH258*BH207+BI258*BI207+BJ258*BJ207+BK258*BK207+BL258*BL207+BM258*BM207+BN258*BN207+BO258*BO207+BP258*BP207+BQ258*BQ207+BR258*BR207+BS258*BS207+BT258*BT207+BU258*BU207+BV258*BV207+BW258*BW207+BX258*BX207+BY258*BY207+BZ258*BZ207+CA258*CA207+CB258*CB207+CC258*CC207+CD258*CD207+CE258*CE207+CF258*CF207+CG258*CG207+CH258*CH207+CI258*CI207+CJ258*CJ207+CK258*CK207+CL258*CL207+CM258*CM207+CN258*CN207</f>
        <v>0</v>
      </c>
    </row>
    <row r="208" spans="2:105" ht="18" x14ac:dyDescent="0.35">
      <c r="B208" s="1089">
        <v>75</v>
      </c>
      <c r="C208" s="1079" t="s">
        <v>2942</v>
      </c>
      <c r="D208" s="837" t="s">
        <v>1695</v>
      </c>
      <c r="E208" s="2691">
        <f>0</f>
        <v>0</v>
      </c>
      <c r="F208" s="2691">
        <f>0</f>
        <v>0</v>
      </c>
      <c r="G208" s="2691">
        <f>0</f>
        <v>0</v>
      </c>
      <c r="H208" s="2691">
        <f>0</f>
        <v>0</v>
      </c>
      <c r="I208" s="2691">
        <f>0</f>
        <v>0</v>
      </c>
      <c r="J208" s="2691">
        <f>0</f>
        <v>0</v>
      </c>
      <c r="K208" s="2693">
        <f>0</f>
        <v>0</v>
      </c>
      <c r="L208" s="2691">
        <f>0</f>
        <v>0</v>
      </c>
      <c r="M208" s="2691">
        <f>0</f>
        <v>0</v>
      </c>
      <c r="N208" s="2691">
        <f>0</f>
        <v>0</v>
      </c>
      <c r="O208" s="2691">
        <f>0</f>
        <v>0</v>
      </c>
      <c r="P208" s="2691">
        <f>0</f>
        <v>0</v>
      </c>
      <c r="Q208" s="2691">
        <f>0</f>
        <v>0</v>
      </c>
      <c r="R208" s="2691">
        <f>0</f>
        <v>0</v>
      </c>
      <c r="S208" s="2691">
        <f>0</f>
        <v>0</v>
      </c>
      <c r="T208" s="2730">
        <f>-E_EQNO3*X_OHO/X_BIO</f>
        <v>-1.7499312586185123</v>
      </c>
      <c r="U208" s="2730">
        <f>-E_EQNO3*X_AHO/X_BIO</f>
        <v>-0.87496562930925614</v>
      </c>
      <c r="V208" s="2730">
        <f>-E_EQNO3*X_CASTO/X_BIO</f>
        <v>-1.7499312586185123</v>
      </c>
      <c r="W208" s="2730">
        <f>-E_EQNO3*X_MEOLO/X_BIO</f>
        <v>-3.4998625172370243E-3</v>
      </c>
      <c r="X208" s="2730">
        <f>-E_EQNO3*X_AOB/X_BIO</f>
        <v>-0.1154954630688218</v>
      </c>
      <c r="Y208" s="2730">
        <f>-E_EQNO3*X_NOB/X_BIO</f>
        <v>-6.9997250344740483E-2</v>
      </c>
      <c r="Z208" s="2730">
        <f>-E_EQNO3*X_AMX/X_BIO</f>
        <v>-3.4998625172370243E-3</v>
      </c>
      <c r="AA208" s="2730">
        <f>-E_EQNO3*X_AMETO/X_BIO</f>
        <v>-1.0499587551711074E-3</v>
      </c>
      <c r="AB208" s="2730">
        <f>-E_EQNO3*X_HMETO/X_BIO</f>
        <v>-6.9997250344740495E-4</v>
      </c>
      <c r="AC208" s="2730">
        <f>-E_EQNO3*X_ALGAE/X_BIO</f>
        <v>0</v>
      </c>
      <c r="AD208" s="2750">
        <f>1+(i_N_BIO*(X_BIO-X_ALGAE-X_AHO)+i_N_AHO*X_AHO+i_N_ALGAE*X_ALGAE)*E_EQNO3/X_BIO</f>
        <v>1.3460839050169833</v>
      </c>
      <c r="AE208" s="2750">
        <f>0</f>
        <v>0</v>
      </c>
      <c r="AF208" s="2750">
        <f>-1</f>
        <v>-1</v>
      </c>
      <c r="AG208" s="2750">
        <f>0</f>
        <v>0</v>
      </c>
      <c r="AH208" s="2750">
        <f>0</f>
        <v>0</v>
      </c>
      <c r="AI208" s="2750">
        <f>0</f>
        <v>0</v>
      </c>
      <c r="AJ208" s="2693">
        <f>0</f>
        <v>0</v>
      </c>
      <c r="AK208" s="2750">
        <f>0</f>
        <v>0</v>
      </c>
      <c r="AL208" s="2750">
        <f>(i_P_BIO*(X_BIO-X_ALGAE-X_AHO)+i_P_AHO*X_AHO+i_P_ALGAE*X_ALGAE)*E_EQNO3/X_BIO</f>
        <v>0.10450589476469754</v>
      </c>
      <c r="AM208" s="2691">
        <f>0</f>
        <v>0</v>
      </c>
      <c r="AN208" s="2691">
        <f>0</f>
        <v>0</v>
      </c>
      <c r="AO208" s="2691">
        <f>0</f>
        <v>0</v>
      </c>
      <c r="AP208" s="2693">
        <f>0</f>
        <v>0</v>
      </c>
      <c r="AQ208" s="2691">
        <f>0</f>
        <v>0</v>
      </c>
      <c r="AR208" s="2691">
        <f>0</f>
        <v>0</v>
      </c>
      <c r="AS208" s="2691">
        <f>0</f>
        <v>0</v>
      </c>
      <c r="AT208" s="2691">
        <f>0</f>
        <v>0</v>
      </c>
      <c r="AU208" s="2750">
        <f>(i_CIT_BIO*E_EQNO3*(X_BIO-X_ALGAE)+i_CIT_ALGAE*E_EQNO3*X_ALGAE)/X_BIO</f>
        <v>1.6083128217210332</v>
      </c>
      <c r="AV208" s="2691">
        <f>0</f>
        <v>0</v>
      </c>
      <c r="AW208" s="2691">
        <f>0</f>
        <v>0</v>
      </c>
      <c r="AX208" s="2691">
        <f>0</f>
        <v>0</v>
      </c>
      <c r="AY208" s="2691">
        <f>0</f>
        <v>0</v>
      </c>
      <c r="AZ208" s="2691">
        <f>0</f>
        <v>0</v>
      </c>
      <c r="BA208" s="2691">
        <f>0</f>
        <v>0</v>
      </c>
      <c r="BB208" s="2691">
        <f>0</f>
        <v>0</v>
      </c>
      <c r="BC208" s="2691">
        <f>0</f>
        <v>0</v>
      </c>
      <c r="BD208" s="2691">
        <f>0</f>
        <v>0</v>
      </c>
      <c r="BE208" s="2691">
        <f>0</f>
        <v>0</v>
      </c>
      <c r="BF208" s="2691">
        <f>0</f>
        <v>0</v>
      </c>
      <c r="BG208" s="2691">
        <f>0</f>
        <v>0</v>
      </c>
      <c r="BH208" s="2691">
        <f>0</f>
        <v>0</v>
      </c>
      <c r="BI208" s="2691">
        <f>0</f>
        <v>0</v>
      </c>
      <c r="BJ208" s="2698">
        <f>0</f>
        <v>0</v>
      </c>
      <c r="BK208" s="2698">
        <f>0</f>
        <v>0</v>
      </c>
      <c r="BL208" s="2698">
        <f>0</f>
        <v>0</v>
      </c>
      <c r="BM208" s="2698">
        <f>0</f>
        <v>0</v>
      </c>
      <c r="BN208" s="2698">
        <f>0</f>
        <v>0</v>
      </c>
      <c r="BO208" s="2698">
        <f>0</f>
        <v>0</v>
      </c>
      <c r="BP208" s="2698">
        <f>0</f>
        <v>0</v>
      </c>
      <c r="BQ208" s="2691">
        <f>0</f>
        <v>0</v>
      </c>
      <c r="BR208" s="2691">
        <f>0</f>
        <v>0</v>
      </c>
      <c r="BS208" s="2698">
        <f>0</f>
        <v>0</v>
      </c>
      <c r="BT208" s="2691">
        <f>0</f>
        <v>0</v>
      </c>
      <c r="BU208" s="2691">
        <f>0</f>
        <v>0</v>
      </c>
      <c r="BV208" s="2693">
        <f>0</f>
        <v>0</v>
      </c>
      <c r="BW208" s="2693">
        <f>0</f>
        <v>0</v>
      </c>
      <c r="BX208" s="2693">
        <f>0</f>
        <v>0</v>
      </c>
      <c r="BY208" s="2693">
        <f>0</f>
        <v>0</v>
      </c>
      <c r="BZ208" s="2691">
        <f>0</f>
        <v>0</v>
      </c>
      <c r="CA208" s="2691">
        <f>0</f>
        <v>0</v>
      </c>
      <c r="CB208" s="2807">
        <f>0</f>
        <v>0</v>
      </c>
      <c r="CC208" s="2691">
        <f>0</f>
        <v>0</v>
      </c>
      <c r="CD208" s="2691">
        <f>0</f>
        <v>0</v>
      </c>
      <c r="CE208" s="2691">
        <f>0</f>
        <v>0</v>
      </c>
      <c r="CF208" s="2691">
        <f>0</f>
        <v>0</v>
      </c>
      <c r="CG208" s="2691">
        <f>0</f>
        <v>0</v>
      </c>
      <c r="CH208" s="2691">
        <f>0</f>
        <v>0</v>
      </c>
      <c r="CI208" s="2691">
        <f>0</f>
        <v>0</v>
      </c>
      <c r="CJ208" s="2691">
        <f>0</f>
        <v>0</v>
      </c>
      <c r="CK208" s="2691">
        <f>0</f>
        <v>0</v>
      </c>
      <c r="CL208" s="2691">
        <f>0</f>
        <v>0</v>
      </c>
      <c r="CM208" s="2691">
        <f>0</f>
        <v>0</v>
      </c>
      <c r="CN208" s="2691">
        <f>0</f>
        <v>0</v>
      </c>
      <c r="CO208" s="2840">
        <f>q_ASSIM_T*X_BIO*M_satSNO3_KNO3_ASSIM*M_inhSNO2_KNO2_ASSIM*M_inhSNHx_KiNHx_ASSIM</f>
        <v>6.4583497964362281E-3</v>
      </c>
      <c r="CQ208" s="2650">
        <f>E248*E208+F248*F208+G248*G208+H248*H208+I248*I208+J248*J208+K248*K208+L248*L208+M248*M208+N248*N208+O248*O208+P248*P208+Q248*Q208+R248*R208+S248*S208+T248*T208+U248*U208+V248*V208+W248*W208+X248*X208+Y248*Y208+Z248*Z208+AA248*AA208+AB248*AB208+AC248*AC208+AD248*AD208+AE248*AE208+AF248*AF208+AG248*AG208+AH248*AH208+AI248*AI208+AJ248*AJ208+AK248*AK208+AL248*AL208+AM248*AM208+AN248*AN208+AO248*AO208+AP248*AP208+AQ248*AQ208+AR248*AR208+AS248*AS208+AT248*AT208+AU248*AU208+AV248*AV208+AW248*AW208+AX248*AX208+AY248*AY208+AZ248*AZ208+BA248*BA208+BB248*BB208+BC248*BC208+BD248*BD208+BE248*BE208+BF248*BF208+BG248*BG208+BH248*BH208+BI248*BI208+BJ248*BJ208+BK248*BK208+BL248*BL208+BM248*BM208+BN248*BN208+BO248*BO208+BP248*BP208+BQ248*BQ208+BR248*BR208+BS248*BS208+BT248*BT208+BU248*BU208+BV248*BV208+BW248*BW208+BX248*BX208+BY248*BY208+BZ248*BZ208+CA248*CA208+CB248*CB208+CC248*CC208+CD248*CD208+CE248*CE208+CF248*CF208+CG248*CG208+CH248*CH208+CI248*CI208+CJ248*CJ208+CK248*CK208+CL248*CL208+CM248*CM208+CN248*CN208</f>
        <v>0</v>
      </c>
      <c r="CR208" s="2650">
        <f>E249*E208+F249*F208+G249*G208+H249*H208+I249*I208+J249*J208+K249*K208+L249*L208+M249*M208+N249*N208+O249*O208+P249*P208+Q249*Q208+R249*R208+S249*S208+T249*T208+U249*U208+V249*V208+W249*W208+X249*X208+Y249*Y208+Z249*Z208+AA249*AA208+AB249*AB208+AC249*AC208+AD249*AD208+AE249*AE208+AF249*AF208+AG249*AG208+AH249*AH208+AI249*AI208+AJ249*AJ208+AK249*AK208+AL249*AL208+AM249*AM208+AN249*AN208+AO249*AO208+AP249*AP208+AQ249*AQ208+AR249*AR208+AS249*AS208+AT249*AT208+AU249*AU208+AV249*AV208+AW249*AW208+AX249*AX208+AY249*AY208+AZ249*AZ208+BA249*BA208+BB249*BB208+BC249*BC208+BD249*BD208+BE249*BE208+BF249*BF208+BG249*BG208+BH249*BH208+BI249*BI208+BJ249*BJ208+BK249*BK208+BL249*BL208+BM249*BM208+BN249*BN208+BO249*BO208+BP249*BP208+BQ249*BQ208+BR249*BR208+BS249*BS208+BT249*BT208+BU249*BU208+BV249*BV208+BW249*BW208+BX249*BX208+BY249*BY208+BZ249*BZ208+CA249*CA208+CB249*CB208+CC249*CC208+CD249*CD208+CE249*CE208+CF249*CF208+CG249*CG208+CH249*CH208+CI249*CI208+CJ249*CJ208+CK249*CK208+CL249*CL208+CM249*CM208+CN249*CN208</f>
        <v>2.2204460492503131E-16</v>
      </c>
      <c r="CS208" s="2651">
        <f>E250*E208+F250*F208+G250*G208+H250*H208+I250*I208+J250*J208+K250*K208+L250*L208+M250*M208+N250*N208+O250*O208+P250*P208+Q250*Q208+R250*R208+S250*S208+T250*T208+U250*U208+V250*V208+W250*W208+X250*X208+Y250*Y208+Z250*Z208+AA250*AA208+AB250*AB208+AC250*AC208+AD250*AD208+AE250*AE208+AF250*AF208+AG250*AG208+AH250*AH208+AI250*AI208+AJ250*AJ208+AK250*AK208+AL250*AL208+AM250*AM208+AN250*AN208+AO250*AO208+AP250*AP208+AQ250*AQ208+AR250*AR208+AS250*AS208+AT250*AT208+AU250*AU208+AV250*AV208+AW250*AW208+AX250*AX208+AY250*AY208+AZ250*AZ208+BA250*BA208+BB250*BB208+BC250*BC208+BD250*BD208+BE250*BE208+BF250*BF208+BG250*BG208+BH250*BH208+BI250*BI208+BJ250*BJ208+BK250*BK208+BL250*BL208+BM250*BM208+BN250*BN208+BO250*BO208+BP250*BP208+BQ250*BQ208+BR250*BR208+BS250*BS208+BT250*BT208+BU250*BU208+BV250*BV208+BW250*BW208+BX250*BX208+BY250*BY208+BZ250*BZ208+CA250*CA208+CB250*CB208+CC250*CC208+CD250*CD208+CE250*CE208+CF250*CF208+CG250*CG208+CH250*CH208+CI250*CI208+CJ250*CJ208+CK250*CK208+CL250*CL208+CM250*CM208+CN250*CN208</f>
        <v>0</v>
      </c>
      <c r="CT208" s="2652">
        <f>E251*E208+F251*F208+G251*G208+H251*H208+I251*I208+J251*J208+K251*K208+L251*L208+M251*M208+N251*N208+O251*O208+P251*P208+Q251*Q208+R251*R208+S251*S208+T251*T208+U251*U208+V251*V208+W251*W208+X251*X208+Y251*Y208+Z251*Z208+AA251*AA208+AB251*AB208+AC251*AC208+AD251*AD208+AE251*AE208+AF251*AF208+AG251*AG208+AH251*AH208+AI251*AI208+AJ251*AJ208+AK251*AK208+AL251*AL208+AM251*AM208+AN251*AN208+AO251*AO208+AP251*AP208+AQ251*AQ208+AR251*AR208+AS251*AS208+AT251*AT208+AU251*AU208+AV251*AV208+AW251*AW208+AX251*AX208+AY251*AY208+AZ251*AZ208+BA251*BA208+BB251*BB208+BC251*BC208+BD251*BD208+BE251*BE208+BF251*BF208+BG251*BG208+BH251*BH208+BI251*BI208+BJ251*BJ208+BK251*BK208+BL251*BL208+BM251*BM208+BN251*BN208+BO251*BO208+BP251*BP208+BQ251*BQ208+BR251*BR208+BS251*BS208+BT251*BT208+BU251*BU208+BV251*BV208+BW251*BW208+BX251*BX208+BY251*BY208+BZ251*BZ208+CA251*CA208+CB251*CB208+CC251*CC208+CD251*CD208+CE251*CE208+CF251*CF208+CG251*CG208+CH251*CH208+CI251*CI208+CJ251*CJ208+CK251*CK208+CL251*CL208+CM251*CM208+CN251*CN208</f>
        <v>-4.163336342344337E-17</v>
      </c>
      <c r="CU208" s="2652">
        <f>E252*E208+F252*F208+G252*G208+H252*H208+I252*I208+J252*J208+K252*K208+L252*L208+M252*M208+N252*N208+O252*O208+P252*P208+Q252*Q208+R252*R208+S252*S208+T252*T208+U252*U208+V252*V208+W252*W208+X252*X208+Y252*Y208+Z252*Z208+AA252*AA208+AB252*AB208+AC252*AC208+AD252*AD208+AE252*AE208+AF252*AF208+AG252*AG208+AH252*AH208+AI252*AI208+AJ252*AJ208+AK252*AK208+AL252*AL208+AM252*AM208+AN252*AN208+AO252*AO208+AP252*AP208+AQ252*AQ208+AR252*AR208+AS252*AS208+AT252*AT208+AU252*AU208+AV252*AV208+AW252*AW208+AX252*AX208+AY252*AY208+AZ252*AZ208+BA252*BA208+BB252*BB208+BC252*BC208+BD252*BD208+BE252*BE208+BF252*BF208+BG252*BG208+BH252*BH208+BI252*BI208+BJ252*BJ208+BK252*BK208+BL252*BL208+BM252*BM208+BN252*BN208+BO252*BO208+BP252*BP208+BQ252*BQ208+BR252*BR208+BS252*BS208+BT252*BT208+BU252*BU208+BV252*BV208+BW252*BW208+BX252*BX208+BY252*BY208+BZ252*BZ208+CA252*CA208+CB252*CB208+CC252*CC208+CD252*CD208+CE252*CE208+CF252*CF208+CG252*CG208+CH252*CH208+CI252*CI208+CJ252*CJ208+CK252*CK208+CL252*CL208+CM252*CM208+CN252*CN208</f>
        <v>0</v>
      </c>
      <c r="CV208" s="2652">
        <f>E253*E208+F253*F208+G253*G208+H253*H208+I253*I208+J253*J208+K253*K208+L253*L208+M253*M208+N253*N208+O253*O208+P253*P208+Q253*Q208+R253*R208+S253*S208+T253*T208+U253*U208+V253*V208+W253*W208+X253*X208+Y253*Y208+Z253*Z208+AA253*AA208+AB253*AB208+AC253*AC208+AD253*AD208+AE253*AE208+AF253*AF208+AG253*AG208+AH253*AH208+AI253*AI208+AJ253*AJ208+AK253*AK208+AL253*AL208+AM253*AM208+AN253*AN208+AO253*AO208+AP253*AP208+AQ253*AQ208+AR253*AR208+AS253*AS208+AT253*AT208+AU253*AU208+AV253*AV208+AW253*AW208+AX253*AX208+AY253*AY208+AZ253*AZ208+BA253*BA208+BB253*BB208+BC253*BC208+BD253*BD208+BE253*BE208+BF253*BF208+BG253*BG208+BH253*BH208+BI253*BI208+BJ253*BJ208+BK253*BK208+BL253*BL208+BM253*BM208+BN253*BN208+BO253*BO208+BP253*BP208+BQ253*BQ208+BR253*BR208+BS253*BS208+BT253*BT208+BU253*BU208+BV253*BV208+BW253*BW208+BX253*BX208+BY253*BY208+BZ253*BZ208+CA253*CA208+CB253*CB208+CC253*CC208+CD253*CD208+CE253*CE208+CF253*CF208+CG253*CG208+CH253*CH208+CI253*CI208+CJ253*CJ208+CK253*CK208+CL253*CL208+CM253*CM208+CN253*CN208</f>
        <v>0</v>
      </c>
      <c r="CW208" s="2652">
        <f>E254*E208+F254*F208+G254*G208+H254*H208+I254*I208+J254*J208+K254*K208+L254*L208+M254*M208+N254*N208+O254*O208+P254*P208+Q254*Q208+R254*R208+S254*S208+T254*T208+U254*U208+V254*V208+W254*W208+X254*X208+Y254*Y208+Z254*Z208+AA254*AA208+AB254*AB208+AC254*AC208+AD254*AD208+AE254*AE208+AF254*AF208+AG254*AG208+AH254*AH208+AI254*AI208+AJ254*AJ208+AK254*AK208+AL254*AL208+AM254*AM208+AN254*AN208+AO254*AO208+AP254*AP208+AQ254*AQ208+AR254*AR208+AS254*AS208+AT254*AT208+AU254*AU208+AV254*AV208+AW254*AW208+AX254*AX208+AY254*AY208+AZ254*AZ208+BA254*BA208+BB254*BB208+BC254*BC208+BD254*BD208+BE254*BE208+BF254*BF208+BG254*BG208+BH254*BH208+BI254*BI208+BJ254*BJ208+BK254*BK208+BL254*BL208+BM254*BM208+BN254*BN208+BO254*BO208+BP254*BP208+BQ254*BQ208+BR254*BR208+BS254*BS208+BT254*BT208+BU254*BU208+BV254*BV208+BW254*BW208+BX254*BX208+BY254*BY208+BZ254*BZ208+CA254*CA208+CB254*CB208+CC254*CC208+CD254*CD208+CE254*CE208+CF254*CF208+CG254*CG208+CH254*CH208+CI254*CI208+CJ254*CJ208+CK254*CK208+CL254*CL208+CM254*CM208+CN254*CN208</f>
        <v>0</v>
      </c>
      <c r="CX208" s="2652">
        <f>E255*E208+F255*F208+G255*G208+H255*H208+I255*I208+J255*J208+K255*K208+L255*L208+M255*M208+N255*N208+O255*O208+P255*P208+Q255*Q208+R255*R208+S255*S208+T255*T208+U255*U208+V255*V208+W255*W208+X255*X208+Y255*Y208+Z255*Z208+AA255*AA208+AB255*AB208+AC255*AC208+AD255*AD208+AE255*AE208+AF255*AF208+AG255*AG208+AH255*AH208+AI255*AI208+AJ255*AJ208+AK255*AK208+AL255*AL208+AM255*AM208+AN255*AN208+AO255*AO208+AP255*AP208+AQ255*AQ208+AR255*AR208+AS255*AS208+AT255*AT208+AU255*AU208+AV255*AV208+AW255*AW208+AX255*AX208+AY255*AY208+AZ255*AZ208+BA255*BA208+BB255*BB208+BC255*BC208+BD255*BD208+BE255*BE208+BF255*BF208+BG255*BG208+BH255*BH208+BI255*BI208+BJ255*BJ208+BK255*BK208+BL255*BL208+BM255*BM208+BN255*BN208+BO255*BO208+BP255*BP208+BQ255*BQ208+BR255*BR208+BS255*BS208+BT255*BT208+BU255*BU208+BV255*BV208+BW255*BW208+BX255*BX208+BY255*BY208+BZ255*BZ208+CA255*CA208+CB255*CB208+CC255*CC208+CD255*CD208+CE255*CE208+CF255*CF208+CG255*CG208+CH255*CH208+CI255*CI208+CJ255*CJ208+CK255*CK208+CL255*CL208+CM255*CM208+CN255*CN208</f>
        <v>0</v>
      </c>
      <c r="CY208" s="2652">
        <f>E256*E208+F256*F208+G256*G208+H256*H208+I256*I208+J256*J208+K256*K208+L256*L208+M256*M208+N256*N208+O256*O208+P256*P208+Q256*Q208+R256*R208+S256*S208+T256*T208+U256*U208+V256*V208+W256*W208+X256*X208+Y256*Y208+Z256*Z208+AA256*AA208+AB256*AB208+AC256*AC208+AD256*AD208+AE256*AE208+AF256*AF208+AG256*AG208+AH256*AH208+AI256*AI208+AJ256*AJ208+AK256*AK208+AL256*AL208+AM256*AM208+AN256*AN208+AO256*AO208+AP256*AP208+AQ256*AQ208+AR256*AR208+AS256*AS208+AT256*AT208+AU256*AU208+AV256*AV208+AW256*AW208+AX256*AX208+AY256*AY208+AZ256*AZ208+BA256*BA208+BB256*BB208+BC256*BC208+BD256*BD208+BE256*BE208+BF256*BF208+BG256*BG208+BH256*BH208+BI256*BI208+BJ256*BJ208+BK256*BK208+BL256*BL208+BM256*BM208+BN256*BN208+BO256*BO208+BP256*BP208+BQ256*BQ208+BR256*BR208+BS256*BS208+BT256*BT208+BU256*BU208+BV256*BV208+BW256*BW208+BX256*BX208+BY256*BY208+BZ256*BZ208+CA256*CA208+CB256*CB208+CC256*CC208+CD256*CD208+CE256*CE208+CF256*CF208+CG256*CG208+CH256*CH208+CI256*CI208+CJ256*CJ208+CK256*CK208+CL256*CL208+CM256*CM208+CN256*CN208</f>
        <v>0</v>
      </c>
      <c r="CZ208" s="2652">
        <f>E257*E208+F257*F208+G257*G208+H257*H208+I257*I208+J257*J208+K257*K208+L257*L208+M257*M208+N257*N208+O257*O208+P257*P208+Q257*Q208+R257*R208+S257*S208+T257*T208+U257*U208+V257*V208+W257*W208+X257*X208+Y257*Y208+Z257*Z208+AA257*AA208+AB257*AB208+AC257*AC208+AD257*AD208+AE257*AE208+AF257*AF208+AG257*AG208+AH257*AH208+AI257*AI208+AJ257*AJ208+AK257*AK208+AL257*AL208+AM257*AM208+AN257*AN208+AO257*AO208+AP257*AP208+AQ257*AQ208+AR257*AR208+AS257*AS208+AT257*AT208+AU257*AU208+AV257*AV208+AW257*AW208+AX257*AX208+AY257*AY208+AZ257*AZ208+BA257*BA208+BB257*BB208+BC257*BC208+BD257*BD208+BE257*BE208+BF257*BF208+BG257*BG208+BH257*BH208+BI257*BI208+BJ257*BJ208+BK257*BK208+BL257*BL208+BM257*BM208+BN257*BN208+BO257*BO208+BP257*BP208+BQ257*BQ208+BR257*BR208+BS257*BS208+BT257*BT208+BU257*BU208+BV257*BV208+BW257*BW208+BX257*BX208+BY257*BY208+BZ257*BZ208+CA257*CA208+CB257*CB208+CC257*CC208+CD257*CD208+CE257*CE208+CF257*CF208+CG257*CG208+CH257*CH208+CI257*CI208+CJ257*CJ208+CK257*CK208+CL257*CL208+CM257*CM208+CN257*CN208</f>
        <v>0</v>
      </c>
      <c r="DA208" s="2652">
        <f>E258*E208+F258*F208+G258*G208+H258*H208+I258*I208+J258*J208+K258*K208+L258*L208+M258*M208+N258*N208+O258*O208+P258*P208+Q258*Q208+R258*R208+S258*S208+T258*T208+U258*U208+V258*V208+W258*W208+X258*X208+Y258*Y208+Z258*Z208+AA258*AA208+AB258*AB208+AC258*AC208+AD258*AD208+AE258*AE208+AF258*AF208+AG258*AG208+AH258*AH208+AI258*AI208+AJ258*AJ208+AK258*AK208+AL258*AL208+AM258*AM208+AN258*AN208+AO258*AO208+AP258*AP208+AQ258*AQ208+AR258*AR208+AS258*AS208+AT258*AT208+AU258*AU208+AV258*AV208+AW258*AW208+AX258*AX208+AY258*AY208+AZ258*AZ208+BA258*BA208+BB258*BB208+BC258*BC208+BD258*BD208+BE258*BE208+BF258*BF208+BG258*BG208+BH258*BH208+BI258*BI208+BJ258*BJ208+BK258*BK208+BL258*BL208+BM258*BM208+BN258*BN208+BO258*BO208+BP258*BP208+BQ258*BQ208+BR258*BR208+BS258*BS208+BT258*BT208+BU258*BU208+BV258*BV208+BW258*BW208+BX258*BX208+BY258*BY208+BZ258*BZ208+CA258*CA208+CB258*CB208+CC258*CC208+CD258*CD208+CE258*CE208+CF258*CF208+CG258*CG208+CH258*CH208+CI258*CI208+CJ258*CJ208+CK258*CK208+CL258*CL208+CM258*CM208+CN258*CN208</f>
        <v>0</v>
      </c>
    </row>
    <row r="209" spans="2:105" ht="18" x14ac:dyDescent="0.25">
      <c r="B209" s="2175">
        <v>76</v>
      </c>
      <c r="C209" s="2176" t="s">
        <v>2943</v>
      </c>
      <c r="D209" s="843" t="s">
        <v>2836</v>
      </c>
      <c r="E209" s="2695">
        <f>0</f>
        <v>0</v>
      </c>
      <c r="F209" s="2695">
        <f>0</f>
        <v>0</v>
      </c>
      <c r="G209" s="2695">
        <f>0</f>
        <v>0</v>
      </c>
      <c r="H209" s="2695">
        <f>0</f>
        <v>0</v>
      </c>
      <c r="I209" s="2695">
        <f>0</f>
        <v>0</v>
      </c>
      <c r="J209" s="2695">
        <f>0</f>
        <v>0</v>
      </c>
      <c r="K209" s="2720">
        <f>0</f>
        <v>0</v>
      </c>
      <c r="L209" s="2695">
        <f>0</f>
        <v>0</v>
      </c>
      <c r="M209" s="2695">
        <f>0</f>
        <v>0</v>
      </c>
      <c r="N209" s="2695">
        <f>0</f>
        <v>0</v>
      </c>
      <c r="O209" s="2695">
        <f>0</f>
        <v>0</v>
      </c>
      <c r="P209" s="2695">
        <f>0</f>
        <v>0</v>
      </c>
      <c r="Q209" s="2695">
        <f>0</f>
        <v>0</v>
      </c>
      <c r="R209" s="2695">
        <f>0</f>
        <v>0</v>
      </c>
      <c r="S209" s="2695">
        <f>0</f>
        <v>0</v>
      </c>
      <c r="T209" s="2731">
        <f>0</f>
        <v>0</v>
      </c>
      <c r="U209" s="2731">
        <f>0</f>
        <v>0</v>
      </c>
      <c r="V209" s="2695">
        <f>0</f>
        <v>0</v>
      </c>
      <c r="W209" s="2695">
        <f>0</f>
        <v>0</v>
      </c>
      <c r="X209" s="2695">
        <f>0</f>
        <v>0</v>
      </c>
      <c r="Y209" s="2695">
        <f>0</f>
        <v>0</v>
      </c>
      <c r="Z209" s="2695">
        <f>0</f>
        <v>0</v>
      </c>
      <c r="AA209" s="2695">
        <f>0</f>
        <v>0</v>
      </c>
      <c r="AB209" s="2695">
        <f>0</f>
        <v>0</v>
      </c>
      <c r="AC209" s="2720">
        <f>0</f>
        <v>0</v>
      </c>
      <c r="AD209" s="2695">
        <f>0</f>
        <v>0</v>
      </c>
      <c r="AE209" s="2695">
        <f>0</f>
        <v>0</v>
      </c>
      <c r="AF209" s="2695">
        <f>0</f>
        <v>0</v>
      </c>
      <c r="AG209" s="2695">
        <f>0</f>
        <v>0</v>
      </c>
      <c r="AH209" s="2695">
        <f>0</f>
        <v>0</v>
      </c>
      <c r="AI209" s="2695">
        <f>0</f>
        <v>0</v>
      </c>
      <c r="AJ209" s="2720">
        <f>0</f>
        <v>0</v>
      </c>
      <c r="AK209" s="2695">
        <f>0</f>
        <v>0</v>
      </c>
      <c r="AL209" s="2695">
        <f>0</f>
        <v>0</v>
      </c>
      <c r="AM209" s="2695">
        <f>0</f>
        <v>0</v>
      </c>
      <c r="AN209" s="2695">
        <f>0</f>
        <v>0</v>
      </c>
      <c r="AO209" s="2695">
        <f>0</f>
        <v>0</v>
      </c>
      <c r="AP209" s="2720">
        <f>0</f>
        <v>0</v>
      </c>
      <c r="AQ209" s="2695">
        <f>0</f>
        <v>0</v>
      </c>
      <c r="AR209" s="2695">
        <f>0</f>
        <v>0</v>
      </c>
      <c r="AS209" s="2695">
        <f>0</f>
        <v>0</v>
      </c>
      <c r="AT209" s="2695">
        <f>0</f>
        <v>0</v>
      </c>
      <c r="AU209" s="2695">
        <f>0</f>
        <v>0</v>
      </c>
      <c r="AV209" s="2695">
        <f>0</f>
        <v>0</v>
      </c>
      <c r="AW209" s="2695">
        <f>0</f>
        <v>0</v>
      </c>
      <c r="AX209" s="2695">
        <f>0</f>
        <v>0</v>
      </c>
      <c r="AY209" s="2695">
        <f>0</f>
        <v>0</v>
      </c>
      <c r="AZ209" s="2695">
        <f>0</f>
        <v>0</v>
      </c>
      <c r="BA209" s="2695">
        <f>0</f>
        <v>0</v>
      </c>
      <c r="BB209" s="2695">
        <f>0</f>
        <v>0</v>
      </c>
      <c r="BC209" s="2759">
        <f>-X_HFO_H/(X_HFO_H+X_HFO_H_P)</f>
        <v>-0.5</v>
      </c>
      <c r="BD209" s="2759">
        <f>X_HFO_H/(X_HFO_H+X_HFO_H_P)</f>
        <v>0.5</v>
      </c>
      <c r="BE209" s="2695">
        <f>0</f>
        <v>0</v>
      </c>
      <c r="BF209" s="2759">
        <f>-X_HFO_H_P/(X_HFO_H+X_HFO_H_P)</f>
        <v>-0.5</v>
      </c>
      <c r="BG209" s="2695">
        <f>0</f>
        <v>0</v>
      </c>
      <c r="BH209" s="2759">
        <f>X_HFO_H_P/(X_HFO_H+X_HFO_H_P)</f>
        <v>0.5</v>
      </c>
      <c r="BI209" s="2695">
        <f>0</f>
        <v>0</v>
      </c>
      <c r="BJ209" s="2776">
        <f>0</f>
        <v>0</v>
      </c>
      <c r="BK209" s="2776">
        <f>0</f>
        <v>0</v>
      </c>
      <c r="BL209" s="2776">
        <f>0</f>
        <v>0</v>
      </c>
      <c r="BM209" s="2776">
        <f>0</f>
        <v>0</v>
      </c>
      <c r="BN209" s="2776">
        <f>0</f>
        <v>0</v>
      </c>
      <c r="BO209" s="2776">
        <f>0</f>
        <v>0</v>
      </c>
      <c r="BP209" s="2776">
        <f>0</f>
        <v>0</v>
      </c>
      <c r="BQ209" s="2695">
        <f>0</f>
        <v>0</v>
      </c>
      <c r="BR209" s="2695">
        <f>0</f>
        <v>0</v>
      </c>
      <c r="BS209" s="2776">
        <f>0</f>
        <v>0</v>
      </c>
      <c r="BT209" s="2731">
        <f>0</f>
        <v>0</v>
      </c>
      <c r="BU209" s="2695">
        <f>0</f>
        <v>0</v>
      </c>
      <c r="BV209" s="2720">
        <f>0</f>
        <v>0</v>
      </c>
      <c r="BW209" s="2720">
        <f>0</f>
        <v>0</v>
      </c>
      <c r="BX209" s="2720">
        <f>0</f>
        <v>0</v>
      </c>
      <c r="BY209" s="2720">
        <f>0</f>
        <v>0</v>
      </c>
      <c r="BZ209" s="2695">
        <f>0</f>
        <v>0</v>
      </c>
      <c r="CA209" s="2695">
        <f>0</f>
        <v>0</v>
      </c>
      <c r="CB209" s="2808">
        <f>0</f>
        <v>0</v>
      </c>
      <c r="CC209" s="2731">
        <f>0</f>
        <v>0</v>
      </c>
      <c r="CD209" s="2731">
        <f>0</f>
        <v>0</v>
      </c>
      <c r="CE209" s="2731">
        <f>0</f>
        <v>0</v>
      </c>
      <c r="CF209" s="2731">
        <f>0</f>
        <v>0</v>
      </c>
      <c r="CG209" s="2731">
        <f>0</f>
        <v>0</v>
      </c>
      <c r="CH209" s="2731">
        <f>0</f>
        <v>0</v>
      </c>
      <c r="CI209" s="2731">
        <f>0</f>
        <v>0</v>
      </c>
      <c r="CJ209" s="2731">
        <f>0</f>
        <v>0</v>
      </c>
      <c r="CK209" s="2731">
        <f>0</f>
        <v>0</v>
      </c>
      <c r="CL209" s="2731">
        <f>0</f>
        <v>0</v>
      </c>
      <c r="CM209" s="2731">
        <f>0</f>
        <v>0</v>
      </c>
      <c r="CN209" s="2731">
        <f>0</f>
        <v>0</v>
      </c>
      <c r="CO209" s="2841">
        <f>q_HFOH_AGING*(X_HFO_H+X_HFO_H_P)</f>
        <v>4.9999999999999999E-48</v>
      </c>
      <c r="CQ209" s="2650">
        <f>E248*E209+F248*F209+G248*G209+H248*H209+I248*I209+J248*J209+K248*K209+L248*L209+M248*M209+N248*N209+O248*O209+P248*P209+Q248*Q209+R248*R209+S248*S209+T248*T209+U248*U209+V248*V209+W248*W209+X248*X209+Y248*Y209+Z248*Z209+AA248*AA209+AB248*AB209+AC248*AC209+AD248*AD209+AE248*AE209+AF248*AF209+AG248*AG209+AH248*AH209+AI248*AI209+AJ248*AJ209+AK248*AK209+AL248*AL209+AM248*AM209+AN248*AN209+AO248*AO209+AP248*AP209+AQ248*AQ209+AR248*AR209+AS248*AS209+AT248*AT209+AU248*AU209+AV248*AV209+AW248*AW209+AX248*AX209+AY248*AY209+AZ248*AZ209+BA248*BA209+BB248*BB209+BC248*BC209+BD248*BD209+BE248*BE209+BF248*BF209+BG248*BG209+BH248*BH209+BI248*BI209+BJ248*BJ209+BK248*BK209+BL248*BL209+BM248*BM209+BN248*BN209+BO248*BO209+BP248*BP209+BQ248*BQ209+BR248*BR209+BS248*BS209+BT248*BT209+BU248*BU209+BV248*BV209+BW248*BW209+BX248*BX209+BY248*BY209+BZ248*BZ209+CA248*CA209+CB248*CB209+CC248*CC209+CD248*CD209+CE248*CE209+CF248*CF209+CG248*CG209+CH248*CH209+CI248*CI209+CJ248*CJ209+CK248*CK209+CL248*CL209+CM248*CM209+CN248*CN209</f>
        <v>0</v>
      </c>
      <c r="CR209" s="2650">
        <f>E249*E209+F249*F209+G249*G209+H249*H209+I249*I209+J249*J209+K249*K209+L249*L209+M249*M209+N249*N209+O249*O209+P249*P209+Q249*Q209+R249*R209+S249*S209+T249*T209+U249*U209+V249*V209+W249*W209+X249*X209+Y249*Y209+Z249*Z209+AA249*AA209+AB249*AB209+AC249*AC209+AD249*AD209+AE249*AE209+AF249*AF209+AG249*AG209+AH249*AH209+AI249*AI209+AJ249*AJ209+AK249*AK209+AL249*AL209+AM249*AM209+AN249*AN209+AO249*AO209+AP249*AP209+AQ249*AQ209+AR249*AR209+AS249*AS209+AT249*AT209+AU249*AU209+AV249*AV209+AW249*AW209+AX249*AX209+AY249*AY209+AZ249*AZ209+BA249*BA209+BB249*BB209+BC249*BC209+BD249*BD209+BE249*BE209+BF249*BF209+BG249*BG209+BH249*BH209+BI249*BI209+BJ249*BJ209+BK249*BK209+BL249*BL209+BM249*BM209+BN249*BN209+BO249*BO209+BP249*BP209+BQ249*BQ209+BR249*BR209+BS249*BS209+BT249*BT209+BU249*BU209+BV249*BV209+BW249*BW209+BX249*BX209+BY249*BY209+BZ249*BZ209+CA249*CA209+CB249*CB209+CC249*CC209+CD249*CD209+CE249*CE209+CF249*CF209+CG249*CG209+CH249*CH209+CI249*CI209+CJ249*CJ209+CK249*CK209+CL249*CL209+CM249*CM209+CN249*CN209</f>
        <v>0</v>
      </c>
      <c r="CS209" s="2651">
        <f>E250*E209+F250*F209+G250*G209+H250*H209+I250*I209+J250*J209+K250*K209+L250*L209+M250*M209+N250*N209+O250*O209+P250*P209+Q250*Q209+R250*R209+S250*S209+T250*T209+U250*U209+V250*V209+W250*W209+X250*X209+Y250*Y209+Z250*Z209+AA250*AA209+AB250*AB209+AC250*AC209+AD250*AD209+AE250*AE209+AF250*AF209+AG250*AG209+AH250*AH209+AI250*AI209+AJ250*AJ209+AK250*AK209+AL250*AL209+AM250*AM209+AN250*AN209+AO250*AO209+AP250*AP209+AQ250*AQ209+AR250*AR209+AS250*AS209+AT250*AT209+AU250*AU209+AV250*AV209+AW250*AW209+AX250*AX209+AY250*AY209+AZ250*AZ209+BA250*BA209+BB250*BB209+BC250*BC209+BD250*BD209+BE250*BE209+BF250*BF209+BG250*BG209+BH250*BH209+BI250*BI209+BJ250*BJ209+BK250*BK209+BL250*BL209+BM250*BM209+BN250*BN209+BO250*BO209+BP250*BP209+BQ250*BQ209+BR250*BR209+BS250*BS209+BT250*BT209+BU250*BU209+BV250*BV209+BW250*BW209+BX250*BX209+BY250*BY209+BZ250*BZ209+CA250*CA209+CB250*CB209+CC250*CC209+CD250*CD209+CE250*CE209+CF250*CF209+CG250*CG209+CH250*CH209+CI250*CI209+CJ250*CJ209+CK250*CK209+CL250*CL209+CM250*CM209+CN250*CN209</f>
        <v>0</v>
      </c>
      <c r="CT209" s="2652">
        <f>E251*E209+F251*F209+G251*G209+H251*H209+I251*I209+J251*J209+K251*K209+L251*L209+M251*M209+N251*N209+O251*O209+P251*P209+Q251*Q209+R251*R209+S251*S209+T251*T209+U251*U209+V251*V209+W251*W209+X251*X209+Y251*Y209+Z251*Z209+AA251*AA209+AB251*AB209+AC251*AC209+AD251*AD209+AE251*AE209+AF251*AF209+AG251*AG209+AH251*AH209+AI251*AI209+AJ251*AJ209+AK251*AK209+AL251*AL209+AM251*AM209+AN251*AN209+AO251*AO209+AP251*AP209+AQ251*AQ209+AR251*AR209+AS251*AS209+AT251*AT209+AU251*AU209+AV251*AV209+AW251*AW209+AX251*AX209+AY251*AY209+AZ251*AZ209+BA251*BA209+BB251*BB209+BC251*BC209+BD251*BD209+BE251*BE209+BF251*BF209+BG251*BG209+BH251*BH209+BI251*BI209+BJ251*BJ209+BK251*BK209+BL251*BL209+BM251*BM209+BN251*BN209+BO251*BO209+BP251*BP209+BQ251*BQ209+BR251*BR209+BS251*BS209+BT251*BT209+BU251*BU209+BV251*BV209+BW251*BW209+BX251*BX209+BY251*BY209+BZ251*BZ209+CA251*CA209+CB251*CB209+CC251*CC209+CD251*CD209+CE251*CE209+CF251*CF209+CG251*CG209+CH251*CH209+CI251*CI209+CJ251*CJ209+CK251*CK209+CL251*CL209+CM251*CM209+CN251*CN209</f>
        <v>0</v>
      </c>
      <c r="CU209" s="2652">
        <f>E252*E209+F252*F209+G252*G209+H252*H209+I252*I209+J252*J209+K252*K209+L252*L209+M252*M209+N252*N209+O252*O209+P252*P209+Q252*Q209+R252*R209+S252*S209+T252*T209+U252*U209+V252*V209+W252*W209+X252*X209+Y252*Y209+Z252*Z209+AA252*AA209+AB252*AB209+AC252*AC209+AD252*AD209+AE252*AE209+AF252*AF209+AG252*AG209+AH252*AH209+AI252*AI209+AJ252*AJ209+AK252*AK209+AL252*AL209+AM252*AM209+AN252*AN209+AO252*AO209+AP252*AP209+AQ252*AQ209+AR252*AR209+AS252*AS209+AT252*AT209+AU252*AU209+AV252*AV209+AW252*AW209+AX252*AX209+AY252*AY209+AZ252*AZ209+BA252*BA209+BB252*BB209+BC252*BC209+BD252*BD209+BE252*BE209+BF252*BF209+BG252*BG209+BH252*BH209+BI252*BI209+BJ252*BJ209+BK252*BK209+BL252*BL209+BM252*BM209+BN252*BN209+BO252*BO209+BP252*BP209+BQ252*BQ209+BR252*BR209+BS252*BS209+BT252*BT209+BU252*BU209+BV252*BV209+BW252*BW209+BX252*BX209+BY252*BY209+BZ252*BZ209+CA252*CA209+CB252*CB209+CC252*CC209+CD252*CD209+CE252*CE209+CF252*CF209+CG252*CG209+CH252*CH209+CI252*CI209+CJ252*CJ209+CK252*CK209+CL252*CL209+CM252*CM209+CN252*CN209</f>
        <v>0</v>
      </c>
      <c r="CV209" s="2652">
        <f>E253*E209+F253*F209+G253*G209+H253*H209+I253*I209+J253*J209+K253*K209+L253*L209+M253*M209+N253*N209+O253*O209+P253*P209+Q253*Q209+R253*R209+S253*S209+T253*T209+U253*U209+V253*V209+W253*W209+X253*X209+Y253*Y209+Z253*Z209+AA253*AA209+AB253*AB209+AC253*AC209+AD253*AD209+AE253*AE209+AF253*AF209+AG253*AG209+AH253*AH209+AI253*AI209+AJ253*AJ209+AK253*AK209+AL253*AL209+AM253*AM209+AN253*AN209+AO253*AO209+AP253*AP209+AQ253*AQ209+AR253*AR209+AS253*AS209+AT253*AT209+AU253*AU209+AV253*AV209+AW253*AW209+AX253*AX209+AY253*AY209+AZ253*AZ209+BA253*BA209+BB253*BB209+BC253*BC209+BD253*BD209+BE253*BE209+BF253*BF209+BG253*BG209+BH253*BH209+BI253*BI209+BJ253*BJ209+BK253*BK209+BL253*BL209+BM253*BM209+BN253*BN209+BO253*BO209+BP253*BP209+BQ253*BQ209+BR253*BR209+BS253*BS209+BT253*BT209+BU253*BU209+BV253*BV209+BW253*BW209+BX253*BX209+BY253*BY209+BZ253*BZ209+CA253*CA209+CB253*CB209+CC253*CC209+CD253*CD209+CE253*CE209+CF253*CF209+CG253*CG209+CH253*CH209+CI253*CI209+CJ253*CJ209+CK253*CK209+CL253*CL209+CM253*CM209+CN253*CN209</f>
        <v>0</v>
      </c>
      <c r="CW209" s="2652">
        <f>E254*E209+F254*F209+G254*G209+H254*H209+I254*I209+J254*J209+K254*K209+L254*L209+M254*M209+N254*N209+O254*O209+P254*P209+Q254*Q209+R254*R209+S254*S209+T254*T209+U254*U209+V254*V209+W254*W209+X254*X209+Y254*Y209+Z254*Z209+AA254*AA209+AB254*AB209+AC254*AC209+AD254*AD209+AE254*AE209+AF254*AF209+AG254*AG209+AH254*AH209+AI254*AI209+AJ254*AJ209+AK254*AK209+AL254*AL209+AM254*AM209+AN254*AN209+AO254*AO209+AP254*AP209+AQ254*AQ209+AR254*AR209+AS254*AS209+AT254*AT209+AU254*AU209+AV254*AV209+AW254*AW209+AX254*AX209+AY254*AY209+AZ254*AZ209+BA254*BA209+BB254*BB209+BC254*BC209+BD254*BD209+BE254*BE209+BF254*BF209+BG254*BG209+BH254*BH209+BI254*BI209+BJ254*BJ209+BK254*BK209+BL254*BL209+BM254*BM209+BN254*BN209+BO254*BO209+BP254*BP209+BQ254*BQ209+BR254*BR209+BS254*BS209+BT254*BT209+BU254*BU209+BV254*BV209+BW254*BW209+BX254*BX209+BY254*BY209+BZ254*BZ209+CA254*CA209+CB254*CB209+CC254*CC209+CD254*CD209+CE254*CE209+CF254*CF209+CG254*CG209+CH254*CH209+CI254*CI209+CJ254*CJ209+CK254*CK209+CL254*CL209+CM254*CM209+CN254*CN209</f>
        <v>0</v>
      </c>
      <c r="CX209" s="2652">
        <f>E255*E209+F255*F209+G255*G209+H255*H209+I255*I209+J255*J209+K255*K209+L255*L209+M255*M209+N255*N209+O255*O209+P255*P209+Q255*Q209+R255*R209+S255*S209+T255*T209+U255*U209+V255*V209+W255*W209+X255*X209+Y255*Y209+Z255*Z209+AA255*AA209+AB255*AB209+AC255*AC209+AD255*AD209+AE255*AE209+AF255*AF209+AG255*AG209+AH255*AH209+AI255*AI209+AJ255*AJ209+AK255*AK209+AL255*AL209+AM255*AM209+AN255*AN209+AO255*AO209+AP255*AP209+AQ255*AQ209+AR255*AR209+AS255*AS209+AT255*AT209+AU255*AU209+AV255*AV209+AW255*AW209+AX255*AX209+AY255*AY209+AZ255*AZ209+BA255*BA209+BB255*BB209+BC255*BC209+BD255*BD209+BE255*BE209+BF255*BF209+BG255*BG209+BH255*BH209+BI255*BI209+BJ255*BJ209+BK255*BK209+BL255*BL209+BM255*BM209+BN255*BN209+BO255*BO209+BP255*BP209+BQ255*BQ209+BR255*BR209+BS255*BS209+BT255*BT209+BU255*BU209+BV255*BV209+BW255*BW209+BX255*BX209+BY255*BY209+BZ255*BZ209+CA255*CA209+CB255*CB209+CC255*CC209+CD255*CD209+CE255*CE209+CF255*CF209+CG255*CG209+CH255*CH209+CI255*CI209+CJ255*CJ209+CK255*CK209+CL255*CL209+CM255*CM209+CN255*CN209</f>
        <v>0</v>
      </c>
      <c r="CY209" s="2652">
        <f>E256*E209+F256*F209+G256*G209+H256*H209+I256*I209+J256*J209+K256*K209+L256*L209+M256*M209+N256*N209+O256*O209+P256*P209+Q256*Q209+R256*R209+S256*S209+T256*T209+U256*U209+V256*V209+W256*W209+X256*X209+Y256*Y209+Z256*Z209+AA256*AA209+AB256*AB209+AC256*AC209+AD256*AD209+AE256*AE209+AF256*AF209+AG256*AG209+AH256*AH209+AI256*AI209+AJ256*AJ209+AK256*AK209+AL256*AL209+AM256*AM209+AN256*AN209+AO256*AO209+AP256*AP209+AQ256*AQ209+AR256*AR209+AS256*AS209+AT256*AT209+AU256*AU209+AV256*AV209+AW256*AW209+AX256*AX209+AY256*AY209+AZ256*AZ209+BA256*BA209+BB256*BB209+BC256*BC209+BD256*BD209+BE256*BE209+BF256*BF209+BG256*BG209+BH256*BH209+BI256*BI209+BJ256*BJ209+BK256*BK209+BL256*BL209+BM256*BM209+BN256*BN209+BO256*BO209+BP256*BP209+BQ256*BQ209+BR256*BR209+BS256*BS209+BT256*BT209+BU256*BU209+BV256*BV209+BW256*BW209+BX256*BX209+BY256*BY209+BZ256*BZ209+CA256*CA209+CB256*CB209+CC256*CC209+CD256*CD209+CE256*CE209+CF256*CF209+CG256*CG209+CH256*CH209+CI256*CI209+CJ256*CJ209+CK256*CK209+CL256*CL209+CM256*CM209+CN256*CN209</f>
        <v>0</v>
      </c>
      <c r="CZ209" s="2652">
        <f>E257*E209+F257*F209+G257*G209+H257*H209+I257*I209+J257*J209+K257*K209+L257*L209+M257*M209+N257*N209+O257*O209+P257*P209+Q257*Q209+R257*R209+S257*S209+T257*T209+U257*U209+V257*V209+W257*W209+X257*X209+Y257*Y209+Z257*Z209+AA257*AA209+AB257*AB209+AC257*AC209+AD257*AD209+AE257*AE209+AF257*AF209+AG257*AG209+AH257*AH209+AI257*AI209+AJ257*AJ209+AK257*AK209+AL257*AL209+AM257*AM209+AN257*AN209+AO257*AO209+AP257*AP209+AQ257*AQ209+AR257*AR209+AS257*AS209+AT257*AT209+AU257*AU209+AV257*AV209+AW257*AW209+AX257*AX209+AY257*AY209+AZ257*AZ209+BA257*BA209+BB257*BB209+BC257*BC209+BD257*BD209+BE257*BE209+BF257*BF209+BG257*BG209+BH257*BH209+BI257*BI209+BJ257*BJ209+BK257*BK209+BL257*BL209+BM257*BM209+BN257*BN209+BO257*BO209+BP257*BP209+BQ257*BQ209+BR257*BR209+BS257*BS209+BT257*BT209+BU257*BU209+BV257*BV209+BW257*BW209+BX257*BX209+BY257*BY209+BZ257*BZ209+CA257*CA209+CB257*CB209+CC257*CC209+CD257*CD209+CE257*CE209+CF257*CF209+CG257*CG209+CH257*CH209+CI257*CI209+CJ257*CJ209+CK257*CK209+CL257*CL209+CM257*CM209+CN257*CN209</f>
        <v>0</v>
      </c>
      <c r="DA209" s="2652">
        <f>E258*E209+F258*F209+G258*G209+H258*H209+I258*I209+J258*J209+K258*K209+L258*L209+M258*M209+N258*N209+O258*O209+P258*P209+Q258*Q209+R258*R209+S258*S209+T258*T209+U258*U209+V258*V209+W258*W209+X258*X209+Y258*Y209+Z258*Z209+AA258*AA209+AB258*AB209+AC258*AC209+AD258*AD209+AE258*AE209+AF258*AF209+AG258*AG209+AH258*AH209+AI258*AI209+AJ258*AJ209+AK258*AK209+AL258*AL209+AM258*AM209+AN258*AN209+AO258*AO209+AP258*AP209+AQ258*AQ209+AR258*AR209+AS258*AS209+AT258*AT209+AU258*AU209+AV258*AV209+AW258*AW209+AX258*AX209+AY258*AY209+AZ258*AZ209+BA258*BA209+BB258*BB209+BC258*BC209+BD258*BD209+BE258*BE209+BF258*BF209+BG258*BG209+BH258*BH209+BI258*BI209+BJ258*BJ209+BK258*BK209+BL258*BL209+BM258*BM209+BN258*BN209+BO258*BO209+BP258*BP209+BQ258*BQ209+BR258*BR209+BS258*BS209+BT258*BT209+BU258*BU209+BV258*BV209+BW258*BW209+BX258*BX209+BY258*BY209+BZ258*BZ209+CA258*CA209+CB258*CB209+CC258*CC209+CD258*CD209+CE258*CE209+CF258*CF209+CG258*CG209+CH258*CH209+CI258*CI209+CJ258*CJ209+CK258*CK209+CL258*CL209+CM258*CM209+CN258*CN209</f>
        <v>0</v>
      </c>
    </row>
    <row r="210" spans="2:105" ht="18" x14ac:dyDescent="0.25">
      <c r="B210" s="2175">
        <v>77</v>
      </c>
      <c r="C210" s="2176" t="s">
        <v>2944</v>
      </c>
      <c r="D210" s="843" t="s">
        <v>2837</v>
      </c>
      <c r="E210" s="2695">
        <f>0</f>
        <v>0</v>
      </c>
      <c r="F210" s="2695">
        <f>0</f>
        <v>0</v>
      </c>
      <c r="G210" s="2695">
        <f>0</f>
        <v>0</v>
      </c>
      <c r="H210" s="2695">
        <f>0</f>
        <v>0</v>
      </c>
      <c r="I210" s="2695">
        <f>0</f>
        <v>0</v>
      </c>
      <c r="J210" s="2695">
        <f>0</f>
        <v>0</v>
      </c>
      <c r="K210" s="2720">
        <f>0</f>
        <v>0</v>
      </c>
      <c r="L210" s="2695">
        <f>0</f>
        <v>0</v>
      </c>
      <c r="M210" s="2695">
        <f>0</f>
        <v>0</v>
      </c>
      <c r="N210" s="2695">
        <f>0</f>
        <v>0</v>
      </c>
      <c r="O210" s="2695">
        <f>0</f>
        <v>0</v>
      </c>
      <c r="P210" s="2695">
        <f>0</f>
        <v>0</v>
      </c>
      <c r="Q210" s="2695">
        <f>0</f>
        <v>0</v>
      </c>
      <c r="R210" s="2695">
        <f>0</f>
        <v>0</v>
      </c>
      <c r="S210" s="2695">
        <f>0</f>
        <v>0</v>
      </c>
      <c r="T210" s="2731">
        <f>0</f>
        <v>0</v>
      </c>
      <c r="U210" s="2731">
        <f>0</f>
        <v>0</v>
      </c>
      <c r="V210" s="2695">
        <f>0</f>
        <v>0</v>
      </c>
      <c r="W210" s="2695">
        <f>0</f>
        <v>0</v>
      </c>
      <c r="X210" s="2695">
        <f>0</f>
        <v>0</v>
      </c>
      <c r="Y210" s="2695">
        <f>0</f>
        <v>0</v>
      </c>
      <c r="Z210" s="2695">
        <f>0</f>
        <v>0</v>
      </c>
      <c r="AA210" s="2695">
        <f>0</f>
        <v>0</v>
      </c>
      <c r="AB210" s="2695">
        <f>0</f>
        <v>0</v>
      </c>
      <c r="AC210" s="2720">
        <f>0</f>
        <v>0</v>
      </c>
      <c r="AD210" s="2695">
        <f>0</f>
        <v>0</v>
      </c>
      <c r="AE210" s="2695">
        <f>0</f>
        <v>0</v>
      </c>
      <c r="AF210" s="2695">
        <f>0</f>
        <v>0</v>
      </c>
      <c r="AG210" s="2695">
        <f>0</f>
        <v>0</v>
      </c>
      <c r="AH210" s="2695">
        <f>0</f>
        <v>0</v>
      </c>
      <c r="AI210" s="2695">
        <f>0</f>
        <v>0</v>
      </c>
      <c r="AJ210" s="2720">
        <f>0</f>
        <v>0</v>
      </c>
      <c r="AK210" s="2695">
        <f>0</f>
        <v>0</v>
      </c>
      <c r="AL210" s="2695">
        <f>0</f>
        <v>0</v>
      </c>
      <c r="AM210" s="2695">
        <f>0</f>
        <v>0</v>
      </c>
      <c r="AN210" s="2695">
        <f>0</f>
        <v>0</v>
      </c>
      <c r="AO210" s="2695">
        <f>0</f>
        <v>0</v>
      </c>
      <c r="AP210" s="2720">
        <f>0</f>
        <v>0</v>
      </c>
      <c r="AQ210" s="2695">
        <f>0</f>
        <v>0</v>
      </c>
      <c r="AR210" s="2695">
        <f>0</f>
        <v>0</v>
      </c>
      <c r="AS210" s="2695">
        <f>0</f>
        <v>0</v>
      </c>
      <c r="AT210" s="2695">
        <f>0</f>
        <v>0</v>
      </c>
      <c r="AU210" s="2695">
        <f>0</f>
        <v>0</v>
      </c>
      <c r="AV210" s="2695">
        <f>0</f>
        <v>0</v>
      </c>
      <c r="AW210" s="2695">
        <f>0</f>
        <v>0</v>
      </c>
      <c r="AX210" s="2695">
        <f>0</f>
        <v>0</v>
      </c>
      <c r="AY210" s="2695">
        <f>0</f>
        <v>0</v>
      </c>
      <c r="AZ210" s="2695">
        <f>0</f>
        <v>0</v>
      </c>
      <c r="BA210" s="2695">
        <f>0</f>
        <v>0</v>
      </c>
      <c r="BB210" s="2695">
        <f>0</f>
        <v>0</v>
      </c>
      <c r="BC210" s="2695">
        <f>0</f>
        <v>0</v>
      </c>
      <c r="BD210" s="2759">
        <f>-X_HFO_L/(X_HFO_L+X_HFO_L_P)</f>
        <v>-0.5</v>
      </c>
      <c r="BE210" s="2759">
        <f>X_HFO_L/(X_HFO_L+X_HFO_L_P)</f>
        <v>0.5</v>
      </c>
      <c r="BF210" s="2759">
        <f>0</f>
        <v>0</v>
      </c>
      <c r="BG210" s="2759">
        <f>-X_HFO_L_P/(X_HFO_L+X_HFO_L_P)</f>
        <v>-0.5</v>
      </c>
      <c r="BH210" s="2759">
        <f>0</f>
        <v>0</v>
      </c>
      <c r="BI210" s="2759">
        <f>X_HFO_L_P/(X_HFO_L+X_HFO_L_P)</f>
        <v>0.5</v>
      </c>
      <c r="BJ210" s="2777">
        <f>0</f>
        <v>0</v>
      </c>
      <c r="BK210" s="2777">
        <f>0</f>
        <v>0</v>
      </c>
      <c r="BL210" s="2777">
        <f>0</f>
        <v>0</v>
      </c>
      <c r="BM210" s="2777">
        <f>0</f>
        <v>0</v>
      </c>
      <c r="BN210" s="2777">
        <f>0</f>
        <v>0</v>
      </c>
      <c r="BO210" s="2777">
        <f>0</f>
        <v>0</v>
      </c>
      <c r="BP210" s="2777">
        <f>0</f>
        <v>0</v>
      </c>
      <c r="BQ210" s="2695">
        <f>0</f>
        <v>0</v>
      </c>
      <c r="BR210" s="2695">
        <f>0</f>
        <v>0</v>
      </c>
      <c r="BS210" s="2776">
        <f>0</f>
        <v>0</v>
      </c>
      <c r="BT210" s="2731">
        <f>0</f>
        <v>0</v>
      </c>
      <c r="BU210" s="2695">
        <f>0</f>
        <v>0</v>
      </c>
      <c r="BV210" s="2720">
        <f>0</f>
        <v>0</v>
      </c>
      <c r="BW210" s="2720">
        <f>0</f>
        <v>0</v>
      </c>
      <c r="BX210" s="2720">
        <f>0</f>
        <v>0</v>
      </c>
      <c r="BY210" s="2720">
        <f>0</f>
        <v>0</v>
      </c>
      <c r="BZ210" s="2695">
        <f>0</f>
        <v>0</v>
      </c>
      <c r="CA210" s="2695">
        <f>0</f>
        <v>0</v>
      </c>
      <c r="CB210" s="2808">
        <f>0</f>
        <v>0</v>
      </c>
      <c r="CC210" s="2731">
        <f>0</f>
        <v>0</v>
      </c>
      <c r="CD210" s="2731">
        <f>0</f>
        <v>0</v>
      </c>
      <c r="CE210" s="2731">
        <f>0</f>
        <v>0</v>
      </c>
      <c r="CF210" s="2731">
        <f>0</f>
        <v>0</v>
      </c>
      <c r="CG210" s="2731">
        <f>0</f>
        <v>0</v>
      </c>
      <c r="CH210" s="2731">
        <f>0</f>
        <v>0</v>
      </c>
      <c r="CI210" s="2731">
        <f>0</f>
        <v>0</v>
      </c>
      <c r="CJ210" s="2731">
        <f>0</f>
        <v>0</v>
      </c>
      <c r="CK210" s="2731">
        <f>0</f>
        <v>0</v>
      </c>
      <c r="CL210" s="2731">
        <f>0</f>
        <v>0</v>
      </c>
      <c r="CM210" s="2731">
        <f>0</f>
        <v>0</v>
      </c>
      <c r="CN210" s="2731">
        <f>0</f>
        <v>0</v>
      </c>
      <c r="CO210" s="2841">
        <f>q_HFOL_AGING*(X_HFO_L+X_HFO_L_P)</f>
        <v>2E-50</v>
      </c>
      <c r="CQ210" s="2650">
        <f>E248*E210+F248*F210+G248*G210+H248*H210+I248*I210+J248*J210+K248*K210+L248*L210+M248*M210+N248*N210+O248*O210+P248*P210+Q248*Q210+R248*R210+S248*S210+T248*T210+U248*U210+V248*V210+W248*W210+X248*X210+Y248*Y210+Z248*Z210+AA248*AA210+AB248*AB210+AC248*AC210+AD248*AD210+AE248*AE210+AF248*AF210+AG248*AG210+AH248*AH210+AI248*AI210+AJ248*AJ210+AK248*AK210+AL248*AL210+AM248*AM210+AN248*AN210+AO248*AO210+AP248*AP210+AQ248*AQ210+AR248*AR210+AS248*AS210+AT248*AT210+AU248*AU210+AV248*AV210+AW248*AW210+AX248*AX210+AY248*AY210+AZ248*AZ210+BA248*BA210+BB248*BB210+BC248*BC210+BD248*BD210+BE248*BE210+BF248*BF210+BG248*BG210+BH248*BH210+BI248*BI210+BJ248*BJ210+BK248*BK210+BL248*BL210+BM248*BM210+BN248*BN210+BO248*BO210+BP248*BP210+BQ248*BQ210+BR248*BR210+BS248*BS210+BT248*BT210+BU248*BU210+BV248*BV210+BW248*BW210+BX248*BX210+BY248*BY210+BZ248*BZ210+CA248*CA210+CB248*CB210+CC248*CC210+CD248*CD210+CE248*CE210+CF248*CF210+CG248*CG210+CH248*CH210+CI248*CI210+CJ248*CJ210+CK248*CK210+CL248*CL210+CM248*CM210+CN248*CN210</f>
        <v>0</v>
      </c>
      <c r="CR210" s="2650">
        <f>E249*E210+F249*F210+G249*G210+H249*H210+I249*I210+J249*J210+K249*K210+L249*L210+M249*M210+N249*N210+O249*O210+P249*P210+Q249*Q210+R249*R210+S249*S210+T249*T210+U249*U210+V249*V210+W249*W210+X249*X210+Y249*Y210+Z249*Z210+AA249*AA210+AB249*AB210+AC249*AC210+AD249*AD210+AE249*AE210+AF249*AF210+AG249*AG210+AH249*AH210+AI249*AI210+AJ249*AJ210+AK249*AK210+AL249*AL210+AM249*AM210+AN249*AN210+AO249*AO210+AP249*AP210+AQ249*AQ210+AR249*AR210+AS249*AS210+AT249*AT210+AU249*AU210+AV249*AV210+AW249*AW210+AX249*AX210+AY249*AY210+AZ249*AZ210+BA249*BA210+BB249*BB210+BC249*BC210+BD249*BD210+BE249*BE210+BF249*BF210+BG249*BG210+BH249*BH210+BI249*BI210+BJ249*BJ210+BK249*BK210+BL249*BL210+BM249*BM210+BN249*BN210+BO249*BO210+BP249*BP210+BQ249*BQ210+BR249*BR210+BS249*BS210+BT249*BT210+BU249*BU210+BV249*BV210+BW249*BW210+BX249*BX210+BY249*BY210+BZ249*BZ210+CA249*CA210+CB249*CB210+CC249*CC210+CD249*CD210+CE249*CE210+CF249*CF210+CG249*CG210+CH249*CH210+CI249*CI210+CJ249*CJ210+CK249*CK210+CL249*CL210+CM249*CM210+CN249*CN210</f>
        <v>0</v>
      </c>
      <c r="CS210" s="2651">
        <f>E250*E210+F250*F210+G250*G210+H250*H210+I250*I210+J250*J210+K250*K210+L250*L210+M250*M210+N250*N210+O250*O210+P250*P210+Q250*Q210+R250*R210+S250*S210+T250*T210+U250*U210+V250*V210+W250*W210+X250*X210+Y250*Y210+Z250*Z210+AA250*AA210+AB250*AB210+AC250*AC210+AD250*AD210+AE250*AE210+AF250*AF210+AG250*AG210+AH250*AH210+AI250*AI210+AJ250*AJ210+AK250*AK210+AL250*AL210+AM250*AM210+AN250*AN210+AO250*AO210+AP250*AP210+AQ250*AQ210+AR250*AR210+AS250*AS210+AT250*AT210+AU250*AU210+AV250*AV210+AW250*AW210+AX250*AX210+AY250*AY210+AZ250*AZ210+BA250*BA210+BB250*BB210+BC250*BC210+BD250*BD210+BE250*BE210+BF250*BF210+BG250*BG210+BH250*BH210+BI250*BI210+BJ250*BJ210+BK250*BK210+BL250*BL210+BM250*BM210+BN250*BN210+BO250*BO210+BP250*BP210+BQ250*BQ210+BR250*BR210+BS250*BS210+BT250*BT210+BU250*BU210+BV250*BV210+BW250*BW210+BX250*BX210+BY250*BY210+BZ250*BZ210+CA250*CA210+CB250*CB210+CC250*CC210+CD250*CD210+CE250*CE210+CF250*CF210+CG250*CG210+CH250*CH210+CI250*CI210+CJ250*CJ210+CK250*CK210+CL250*CL210+CM250*CM210+CN250*CN210</f>
        <v>0</v>
      </c>
      <c r="CT210" s="2652">
        <f>E251*E210+F251*F210+G251*G210+H251*H210+I251*I210+J251*J210+K251*K210+L251*L210+M251*M210+N251*N210+O251*O210+P251*P210+Q251*Q210+R251*R210+S251*S210+T251*T210+U251*U210+V251*V210+W251*W210+X251*X210+Y251*Y210+Z251*Z210+AA251*AA210+AB251*AB210+AC251*AC210+AD251*AD210+AE251*AE210+AF251*AF210+AG251*AG210+AH251*AH210+AI251*AI210+AJ251*AJ210+AK251*AK210+AL251*AL210+AM251*AM210+AN251*AN210+AO251*AO210+AP251*AP210+AQ251*AQ210+AR251*AR210+AS251*AS210+AT251*AT210+AU251*AU210+AV251*AV210+AW251*AW210+AX251*AX210+AY251*AY210+AZ251*AZ210+BA251*BA210+BB251*BB210+BC251*BC210+BD251*BD210+BE251*BE210+BF251*BF210+BG251*BG210+BH251*BH210+BI251*BI210+BJ251*BJ210+BK251*BK210+BL251*BL210+BM251*BM210+BN251*BN210+BO251*BO210+BP251*BP210+BQ251*BQ210+BR251*BR210+BS251*BS210+BT251*BT210+BU251*BU210+BV251*BV210+BW251*BW210+BX251*BX210+BY251*BY210+BZ251*BZ210+CA251*CA210+CB251*CB210+CC251*CC210+CD251*CD210+CE251*CE210+CF251*CF210+CG251*CG210+CH251*CH210+CI251*CI210+CJ251*CJ210+CK251*CK210+CL251*CL210+CM251*CM210+CN251*CN210</f>
        <v>0</v>
      </c>
      <c r="CU210" s="2652">
        <f>E252*E210+F252*F210+G252*G210+H252*H210+I252*I210+J252*J210+K252*K210+L252*L210+M252*M210+N252*N210+O252*O210+P252*P210+Q252*Q210+R252*R210+S252*S210+T252*T210+U252*U210+V252*V210+W252*W210+X252*X210+Y252*Y210+Z252*Z210+AA252*AA210+AB252*AB210+AC252*AC210+AD252*AD210+AE252*AE210+AF252*AF210+AG252*AG210+AH252*AH210+AI252*AI210+AJ252*AJ210+AK252*AK210+AL252*AL210+AM252*AM210+AN252*AN210+AO252*AO210+AP252*AP210+AQ252*AQ210+AR252*AR210+AS252*AS210+AT252*AT210+AU252*AU210+AV252*AV210+AW252*AW210+AX252*AX210+AY252*AY210+AZ252*AZ210+BA252*BA210+BB252*BB210+BC252*BC210+BD252*BD210+BE252*BE210+BF252*BF210+BG252*BG210+BH252*BH210+BI252*BI210+BJ252*BJ210+BK252*BK210+BL252*BL210+BM252*BM210+BN252*BN210+BO252*BO210+BP252*BP210+BQ252*BQ210+BR252*BR210+BS252*BS210+BT252*BT210+BU252*BU210+BV252*BV210+BW252*BW210+BX252*BX210+BY252*BY210+BZ252*BZ210+CA252*CA210+CB252*CB210+CC252*CC210+CD252*CD210+CE252*CE210+CF252*CF210+CG252*CG210+CH252*CH210+CI252*CI210+CJ252*CJ210+CK252*CK210+CL252*CL210+CM252*CM210+CN252*CN210</f>
        <v>0</v>
      </c>
      <c r="CV210" s="2652">
        <f>E253*E210+F253*F210+G253*G210+H253*H210+I253*I210+J253*J210+K253*K210+L253*L210+M253*M210+N253*N210+O253*O210+P253*P210+Q253*Q210+R253*R210+S253*S210+T253*T210+U253*U210+V253*V210+W253*W210+X253*X210+Y253*Y210+Z253*Z210+AA253*AA210+AB253*AB210+AC253*AC210+AD253*AD210+AE253*AE210+AF253*AF210+AG253*AG210+AH253*AH210+AI253*AI210+AJ253*AJ210+AK253*AK210+AL253*AL210+AM253*AM210+AN253*AN210+AO253*AO210+AP253*AP210+AQ253*AQ210+AR253*AR210+AS253*AS210+AT253*AT210+AU253*AU210+AV253*AV210+AW253*AW210+AX253*AX210+AY253*AY210+AZ253*AZ210+BA253*BA210+BB253*BB210+BC253*BC210+BD253*BD210+BE253*BE210+BF253*BF210+BG253*BG210+BH253*BH210+BI253*BI210+BJ253*BJ210+BK253*BK210+BL253*BL210+BM253*BM210+BN253*BN210+BO253*BO210+BP253*BP210+BQ253*BQ210+BR253*BR210+BS253*BS210+BT253*BT210+BU253*BU210+BV253*BV210+BW253*BW210+BX253*BX210+BY253*BY210+BZ253*BZ210+CA253*CA210+CB253*CB210+CC253*CC210+CD253*CD210+CE253*CE210+CF253*CF210+CG253*CG210+CH253*CH210+CI253*CI210+CJ253*CJ210+CK253*CK210+CL253*CL210+CM253*CM210+CN253*CN210</f>
        <v>0</v>
      </c>
      <c r="CW210" s="2652">
        <f>E254*E210+F254*F210+G254*G210+H254*H210+I254*I210+J254*J210+K254*K210+L254*L210+M254*M210+N254*N210+O254*O210+P254*P210+Q254*Q210+R254*R210+S254*S210+T254*T210+U254*U210+V254*V210+W254*W210+X254*X210+Y254*Y210+Z254*Z210+AA254*AA210+AB254*AB210+AC254*AC210+AD254*AD210+AE254*AE210+AF254*AF210+AG254*AG210+AH254*AH210+AI254*AI210+AJ254*AJ210+AK254*AK210+AL254*AL210+AM254*AM210+AN254*AN210+AO254*AO210+AP254*AP210+AQ254*AQ210+AR254*AR210+AS254*AS210+AT254*AT210+AU254*AU210+AV254*AV210+AW254*AW210+AX254*AX210+AY254*AY210+AZ254*AZ210+BA254*BA210+BB254*BB210+BC254*BC210+BD254*BD210+BE254*BE210+BF254*BF210+BG254*BG210+BH254*BH210+BI254*BI210+BJ254*BJ210+BK254*BK210+BL254*BL210+BM254*BM210+BN254*BN210+BO254*BO210+BP254*BP210+BQ254*BQ210+BR254*BR210+BS254*BS210+BT254*BT210+BU254*BU210+BV254*BV210+BW254*BW210+BX254*BX210+BY254*BY210+BZ254*BZ210+CA254*CA210+CB254*CB210+CC254*CC210+CD254*CD210+CE254*CE210+CF254*CF210+CG254*CG210+CH254*CH210+CI254*CI210+CJ254*CJ210+CK254*CK210+CL254*CL210+CM254*CM210+CN254*CN210</f>
        <v>0</v>
      </c>
      <c r="CX210" s="2652">
        <f>E255*E210+F255*F210+G255*G210+H255*H210+I255*I210+J255*J210+K255*K210+L255*L210+M255*M210+N255*N210+O255*O210+P255*P210+Q255*Q210+R255*R210+S255*S210+T255*T210+U255*U210+V255*V210+W255*W210+X255*X210+Y255*Y210+Z255*Z210+AA255*AA210+AB255*AB210+AC255*AC210+AD255*AD210+AE255*AE210+AF255*AF210+AG255*AG210+AH255*AH210+AI255*AI210+AJ255*AJ210+AK255*AK210+AL255*AL210+AM255*AM210+AN255*AN210+AO255*AO210+AP255*AP210+AQ255*AQ210+AR255*AR210+AS255*AS210+AT255*AT210+AU255*AU210+AV255*AV210+AW255*AW210+AX255*AX210+AY255*AY210+AZ255*AZ210+BA255*BA210+BB255*BB210+BC255*BC210+BD255*BD210+BE255*BE210+BF255*BF210+BG255*BG210+BH255*BH210+BI255*BI210+BJ255*BJ210+BK255*BK210+BL255*BL210+BM255*BM210+BN255*BN210+BO255*BO210+BP255*BP210+BQ255*BQ210+BR255*BR210+BS255*BS210+BT255*BT210+BU255*BU210+BV255*BV210+BW255*BW210+BX255*BX210+BY255*BY210+BZ255*BZ210+CA255*CA210+CB255*CB210+CC255*CC210+CD255*CD210+CE255*CE210+CF255*CF210+CG255*CG210+CH255*CH210+CI255*CI210+CJ255*CJ210+CK255*CK210+CL255*CL210+CM255*CM210+CN255*CN210</f>
        <v>0</v>
      </c>
      <c r="CY210" s="2652">
        <f>E256*E210+F256*F210+G256*G210+H256*H210+I256*I210+J256*J210+K256*K210+L256*L210+M256*M210+N256*N210+O256*O210+P256*P210+Q256*Q210+R256*R210+S256*S210+T256*T210+U256*U210+V256*V210+W256*W210+X256*X210+Y256*Y210+Z256*Z210+AA256*AA210+AB256*AB210+AC256*AC210+AD256*AD210+AE256*AE210+AF256*AF210+AG256*AG210+AH256*AH210+AI256*AI210+AJ256*AJ210+AK256*AK210+AL256*AL210+AM256*AM210+AN256*AN210+AO256*AO210+AP256*AP210+AQ256*AQ210+AR256*AR210+AS256*AS210+AT256*AT210+AU256*AU210+AV256*AV210+AW256*AW210+AX256*AX210+AY256*AY210+AZ256*AZ210+BA256*BA210+BB256*BB210+BC256*BC210+BD256*BD210+BE256*BE210+BF256*BF210+BG256*BG210+BH256*BH210+BI256*BI210+BJ256*BJ210+BK256*BK210+BL256*BL210+BM256*BM210+BN256*BN210+BO256*BO210+BP256*BP210+BQ256*BQ210+BR256*BR210+BS256*BS210+BT256*BT210+BU256*BU210+BV256*BV210+BW256*BW210+BX256*BX210+BY256*BY210+BZ256*BZ210+CA256*CA210+CB256*CB210+CC256*CC210+CD256*CD210+CE256*CE210+CF256*CF210+CG256*CG210+CH256*CH210+CI256*CI210+CJ256*CJ210+CK256*CK210+CL256*CL210+CM256*CM210+CN256*CN210</f>
        <v>0</v>
      </c>
      <c r="CZ210" s="2652">
        <f>E257*E210+F257*F210+G257*G210+H257*H210+I257*I210+J257*J210+K257*K210+L257*L210+M257*M210+N257*N210+O257*O210+P257*P210+Q257*Q210+R257*R210+S257*S210+T257*T210+U257*U210+V257*V210+W257*W210+X257*X210+Y257*Y210+Z257*Z210+AA257*AA210+AB257*AB210+AC257*AC210+AD257*AD210+AE257*AE210+AF257*AF210+AG257*AG210+AH257*AH210+AI257*AI210+AJ257*AJ210+AK257*AK210+AL257*AL210+AM257*AM210+AN257*AN210+AO257*AO210+AP257*AP210+AQ257*AQ210+AR257*AR210+AS257*AS210+AT257*AT210+AU257*AU210+AV257*AV210+AW257*AW210+AX257*AX210+AY257*AY210+AZ257*AZ210+BA257*BA210+BB257*BB210+BC257*BC210+BD257*BD210+BE257*BE210+BF257*BF210+BG257*BG210+BH257*BH210+BI257*BI210+BJ257*BJ210+BK257*BK210+BL257*BL210+BM257*BM210+BN257*BN210+BO257*BO210+BP257*BP210+BQ257*BQ210+BR257*BR210+BS257*BS210+BT257*BT210+BU257*BU210+BV257*BV210+BW257*BW210+BX257*BX210+BY257*BY210+BZ257*BZ210+CA257*CA210+CB257*CB210+CC257*CC210+CD257*CD210+CE257*CE210+CF257*CF210+CG257*CG210+CH257*CH210+CI257*CI210+CJ257*CJ210+CK257*CK210+CL257*CL210+CM257*CM210+CN257*CN210</f>
        <v>0</v>
      </c>
      <c r="DA210" s="2652">
        <f>E258*E210+F258*F210+G258*G210+H258*H210+I258*I210+J258*J210+K258*K210+L258*L210+M258*M210+N258*N210+O258*O210+P258*P210+Q258*Q210+R258*R210+S258*S210+T258*T210+U258*U210+V258*V210+W258*W210+X258*X210+Y258*Y210+Z258*Z210+AA258*AA210+AB258*AB210+AC258*AC210+AD258*AD210+AE258*AE210+AF258*AF210+AG258*AG210+AH258*AH210+AI258*AI210+AJ258*AJ210+AK258*AK210+AL258*AL210+AM258*AM210+AN258*AN210+AO258*AO210+AP258*AP210+AQ258*AQ210+AR258*AR210+AS258*AS210+AT258*AT210+AU258*AU210+AV258*AV210+AW258*AW210+AX258*AX210+AY258*AY210+AZ258*AZ210+BA258*BA210+BB258*BB210+BC258*BC210+BD258*BD210+BE258*BE210+BF258*BF210+BG258*BG210+BH258*BH210+BI258*BI210+BJ258*BJ210+BK258*BK210+BL258*BL210+BM258*BM210+BN258*BN210+BO258*BO210+BP258*BP210+BQ258*BQ210+BR258*BR210+BS258*BS210+BT258*BT210+BU258*BU210+BV258*BV210+BW258*BW210+BX258*BX210+BY258*BY210+BZ258*BZ210+CA258*CA210+CB258*CB210+CC258*CC210+CD258*CD210+CE258*CE210+CF258*CF210+CG258*CG210+CH258*CH210+CI258*CI210+CJ258*CJ210+CK258*CK210+CL258*CL210+CM258*CM210+CN258*CN210</f>
        <v>0</v>
      </c>
    </row>
    <row r="211" spans="2:105" ht="18" x14ac:dyDescent="0.25">
      <c r="B211" s="2175">
        <v>78</v>
      </c>
      <c r="C211" s="2176" t="s">
        <v>2945</v>
      </c>
      <c r="D211" s="843" t="s">
        <v>2838</v>
      </c>
      <c r="E211" s="2695">
        <f>0</f>
        <v>0</v>
      </c>
      <c r="F211" s="2695">
        <f>0</f>
        <v>0</v>
      </c>
      <c r="G211" s="2695">
        <f>0</f>
        <v>0</v>
      </c>
      <c r="H211" s="2695">
        <f>0</f>
        <v>0</v>
      </c>
      <c r="I211" s="2695">
        <f>0</f>
        <v>0</v>
      </c>
      <c r="J211" s="2695">
        <f>0</f>
        <v>0</v>
      </c>
      <c r="K211" s="2720">
        <f>0</f>
        <v>0</v>
      </c>
      <c r="L211" s="2695">
        <f>0</f>
        <v>0</v>
      </c>
      <c r="M211" s="2695">
        <f>0</f>
        <v>0</v>
      </c>
      <c r="N211" s="2695">
        <f>0</f>
        <v>0</v>
      </c>
      <c r="O211" s="2695">
        <f>0</f>
        <v>0</v>
      </c>
      <c r="P211" s="2695">
        <f>0</f>
        <v>0</v>
      </c>
      <c r="Q211" s="2695">
        <f>0</f>
        <v>0</v>
      </c>
      <c r="R211" s="2695">
        <f>0</f>
        <v>0</v>
      </c>
      <c r="S211" s="2695">
        <f>0</f>
        <v>0</v>
      </c>
      <c r="T211" s="2731">
        <f>0</f>
        <v>0</v>
      </c>
      <c r="U211" s="2731">
        <f>0</f>
        <v>0</v>
      </c>
      <c r="V211" s="2695">
        <f>0</f>
        <v>0</v>
      </c>
      <c r="W211" s="2695">
        <f>0</f>
        <v>0</v>
      </c>
      <c r="X211" s="2695">
        <f>0</f>
        <v>0</v>
      </c>
      <c r="Y211" s="2695">
        <f>0</f>
        <v>0</v>
      </c>
      <c r="Z211" s="2695">
        <f>0</f>
        <v>0</v>
      </c>
      <c r="AA211" s="2695">
        <f>0</f>
        <v>0</v>
      </c>
      <c r="AB211" s="2695">
        <f>0</f>
        <v>0</v>
      </c>
      <c r="AC211" s="2720">
        <f>0</f>
        <v>0</v>
      </c>
      <c r="AD211" s="2695">
        <f>0</f>
        <v>0</v>
      </c>
      <c r="AE211" s="2695">
        <f>0</f>
        <v>0</v>
      </c>
      <c r="AF211" s="2695">
        <f>0</f>
        <v>0</v>
      </c>
      <c r="AG211" s="2695">
        <f>0</f>
        <v>0</v>
      </c>
      <c r="AH211" s="2695">
        <f>0</f>
        <v>0</v>
      </c>
      <c r="AI211" s="2695">
        <f>0</f>
        <v>0</v>
      </c>
      <c r="AJ211" s="2720">
        <f>0</f>
        <v>0</v>
      </c>
      <c r="AK211" s="2695">
        <f>0</f>
        <v>0</v>
      </c>
      <c r="AL211" s="2695">
        <f>-1</f>
        <v>-1</v>
      </c>
      <c r="AM211" s="2695">
        <f>0</f>
        <v>0</v>
      </c>
      <c r="AN211" s="2695">
        <f>0</f>
        <v>0</v>
      </c>
      <c r="AO211" s="2695">
        <f>0</f>
        <v>0</v>
      </c>
      <c r="AP211" s="2720">
        <f>0</f>
        <v>0</v>
      </c>
      <c r="AQ211" s="2695">
        <f>0</f>
        <v>0</v>
      </c>
      <c r="AR211" s="2695">
        <f>0</f>
        <v>0</v>
      </c>
      <c r="AS211" s="2695">
        <f>0</f>
        <v>0</v>
      </c>
      <c r="AT211" s="2695">
        <f>0</f>
        <v>0</v>
      </c>
      <c r="AU211" s="2695">
        <f>0</f>
        <v>0</v>
      </c>
      <c r="AV211" s="2695">
        <f>0</f>
        <v>0</v>
      </c>
      <c r="AW211" s="2695">
        <f>0</f>
        <v>0</v>
      </c>
      <c r="AX211" s="2695">
        <f>0</f>
        <v>0</v>
      </c>
      <c r="AY211" s="2695">
        <f>0</f>
        <v>0</v>
      </c>
      <c r="AZ211" s="2695">
        <f>0</f>
        <v>0</v>
      </c>
      <c r="BA211" s="2695">
        <f>0</f>
        <v>0</v>
      </c>
      <c r="BB211" s="2695">
        <f>0</f>
        <v>0</v>
      </c>
      <c r="BC211" s="2731">
        <f>-1/(A_SFHFO_H*(A_MP/A_MFe))</f>
        <v>-1.5024813485524857</v>
      </c>
      <c r="BD211" s="2695">
        <f>0</f>
        <v>0</v>
      </c>
      <c r="BE211" s="2695">
        <f>0</f>
        <v>0</v>
      </c>
      <c r="BF211" s="2731">
        <f>1/(A_SFHFO_H*(A_MP/A_MFe))</f>
        <v>1.5024813485524857</v>
      </c>
      <c r="BG211" s="2695">
        <f>0</f>
        <v>0</v>
      </c>
      <c r="BH211" s="2731">
        <f>0</f>
        <v>0</v>
      </c>
      <c r="BI211" s="2731">
        <f>0</f>
        <v>0</v>
      </c>
      <c r="BJ211" s="2778">
        <f>0</f>
        <v>0</v>
      </c>
      <c r="BK211" s="2778">
        <f>0</f>
        <v>0</v>
      </c>
      <c r="BL211" s="2778">
        <f>0</f>
        <v>0</v>
      </c>
      <c r="BM211" s="2778">
        <f>0</f>
        <v>0</v>
      </c>
      <c r="BN211" s="2778">
        <f>0</f>
        <v>0</v>
      </c>
      <c r="BO211" s="2778">
        <f>0</f>
        <v>0</v>
      </c>
      <c r="BP211" s="2778">
        <f>0</f>
        <v>0</v>
      </c>
      <c r="BQ211" s="2695">
        <f>0</f>
        <v>0</v>
      </c>
      <c r="BR211" s="2695">
        <f>0</f>
        <v>0</v>
      </c>
      <c r="BS211" s="2776">
        <f>0</f>
        <v>0</v>
      </c>
      <c r="BT211" s="2731">
        <f>0</f>
        <v>0</v>
      </c>
      <c r="BU211" s="2695">
        <f>0</f>
        <v>0</v>
      </c>
      <c r="BV211" s="2720">
        <f>0</f>
        <v>0</v>
      </c>
      <c r="BW211" s="2720">
        <f>0</f>
        <v>0</v>
      </c>
      <c r="BX211" s="2720">
        <f>0</f>
        <v>0</v>
      </c>
      <c r="BY211" s="2720">
        <f>0</f>
        <v>0</v>
      </c>
      <c r="BZ211" s="2695">
        <f>0</f>
        <v>0</v>
      </c>
      <c r="CA211" s="2695">
        <f>0</f>
        <v>0</v>
      </c>
      <c r="CB211" s="2808">
        <f>0</f>
        <v>0</v>
      </c>
      <c r="CC211" s="2731">
        <f>0</f>
        <v>0</v>
      </c>
      <c r="CD211" s="2731">
        <f>0</f>
        <v>0</v>
      </c>
      <c r="CE211" s="2731">
        <f>0</f>
        <v>0</v>
      </c>
      <c r="CF211" s="2731">
        <f>0</f>
        <v>0</v>
      </c>
      <c r="CG211" s="2731">
        <f>0</f>
        <v>0</v>
      </c>
      <c r="CH211" s="2731">
        <f>0</f>
        <v>0</v>
      </c>
      <c r="CI211" s="2731">
        <f>0</f>
        <v>0</v>
      </c>
      <c r="CJ211" s="2731">
        <f>0</f>
        <v>0</v>
      </c>
      <c r="CK211" s="2731">
        <f>0</f>
        <v>0</v>
      </c>
      <c r="CL211" s="2731">
        <f>0</f>
        <v>0</v>
      </c>
      <c r="CM211" s="2731">
        <f>0</f>
        <v>0</v>
      </c>
      <c r="CN211" s="2731">
        <f>0</f>
        <v>0</v>
      </c>
      <c r="CO211" s="2841">
        <f>q_P_HFO_COPREC*X_HFO_H*M_satSPO4_KP_HFO_BIND</f>
        <v>1.25E-48</v>
      </c>
      <c r="CQ211" s="2650">
        <f>E248*E211+F248*F211+G248*G211+H248*H211+I248*I211+J248*J211+K248*K211+L248*L211+M248*M211+N248*N211+O248*O211+P248*P211+Q248*Q211+R248*R211+S248*S211+T248*T211+U248*U211+V248*V211+W248*W211+X248*X211+Y248*Y211+Z248*Z211+AA248*AA211+AB248*AB211+AC248*AC211+AD248*AD211+AE248*AE211+AF248*AF211+AG248*AG211+AH248*AH211+AI248*AI211+AJ248*AJ211+AK248*AK211+AL248*AL211+AM248*AM211+AN248*AN211+AO248*AO211+AP248*AP211+AQ248*AQ211+AR248*AR211+AS248*AS211+AT248*AT211+AU248*AU211+AV248*AV211+AW248*AW211+AX248*AX211+AY248*AY211+AZ248*AZ211+BA248*BA211+BB248*BB211+BC248*BC211+BD248*BD211+BE248*BE211+BF248*BF211+BG248*BG211+BH248*BH211+BI248*BI211+BJ248*BJ211+BK248*BK211+BL248*BL211+BM248*BM211+BN248*BN211+BO248*BO211+BP248*BP211+BQ248*BQ211+BR248*BR211+BS248*BS211+BT248*BT211+BU248*BU211+BV248*BV211+BW248*BW211+BX248*BX211+BY248*BY211+BZ248*BZ211+CA248*CA211+CB248*CB211+CC248*CC211+CD248*CD211+CE248*CE211+CF248*CF211+CG248*CG211+CH248*CH211+CI248*CI211+CJ248*CJ211+CK248*CK211+CL248*CL211+CM248*CM211+CN248*CN211</f>
        <v>0</v>
      </c>
      <c r="CR211" s="2650">
        <f>E249*E211+F249*F211+G249*G211+H249*H211+I249*I211+J249*J211+K249*K211+L249*L211+M249*M211+N249*N211+O249*O211+P249*P211+Q249*Q211+R249*R211+S249*S211+T249*T211+U249*U211+V249*V211+W249*W211+X249*X211+Y249*Y211+Z249*Z211+AA249*AA211+AB249*AB211+AC249*AC211+AD249*AD211+AE249*AE211+AF249*AF211+AG249*AG211+AH249*AH211+AI249*AI211+AJ249*AJ211+AK249*AK211+AL249*AL211+AM249*AM211+AN249*AN211+AO249*AO211+AP249*AP211+AQ249*AQ211+AR249*AR211+AS249*AS211+AT249*AT211+AU249*AU211+AV249*AV211+AW249*AW211+AX249*AX211+AY249*AY211+AZ249*AZ211+BA249*BA211+BB249*BB211+BC249*BC211+BD249*BD211+BE249*BE211+BF249*BF211+BG249*BG211+BH249*BH211+BI249*BI211+BJ249*BJ211+BK249*BK211+BL249*BL211+BM249*BM211+BN249*BN211+BO249*BO211+BP249*BP211+BQ249*BQ211+BR249*BR211+BS249*BS211+BT249*BT211+BU249*BU211+BV249*BV211+BW249*BW211+BX249*BX211+BY249*BY211+BZ249*BZ211+CA249*CA211+CB249*CB211+CC249*CC211+CD249*CD211+CE249*CE211+CF249*CF211+CG249*CG211+CH249*CH211+CI249*CI211+CJ249*CJ211+CK249*CK211+CL249*CL211+CM249*CM211+CN249*CN211</f>
        <v>0</v>
      </c>
      <c r="CS211" s="2651">
        <f>E250*E211+F250*F211+G250*G211+H250*H211+I250*I211+J250*J211+K250*K211+L250*L211+M250*M211+N250*N211+O250*O211+P250*P211+Q250*Q211+R250*R211+S250*S211+T250*T211+U250*U211+V250*V211+W250*W211+X250*X211+Y250*Y211+Z250*Z211+AA250*AA211+AB250*AB211+AC250*AC211+AD250*AD211+AE250*AE211+AF250*AF211+AG250*AG211+AH250*AH211+AI250*AI211+AJ250*AJ211+AK250*AK211+AL250*AL211+AM250*AM211+AN250*AN211+AO250*AO211+AP250*AP211+AQ250*AQ211+AR250*AR211+AS250*AS211+AT250*AT211+AU250*AU211+AV250*AV211+AW250*AW211+AX250*AX211+AY250*AY211+AZ250*AZ211+BA250*BA211+BB250*BB211+BC250*BC211+BD250*BD211+BE250*BE211+BF250*BF211+BG250*BG211+BH250*BH211+BI250*BI211+BJ250*BJ211+BK250*BK211+BL250*BL211+BM250*BM211+BN250*BN211+BO250*BO211+BP250*BP211+BQ250*BQ211+BR250*BR211+BS250*BS211+BT250*BT211+BU250*BU211+BV250*BV211+BW250*BW211+BX250*BX211+BY250*BY211+BZ250*BZ211+CA250*CA211+CB250*CB211+CC250*CC211+CD250*CD211+CE250*CE211+CF250*CF211+CG250*CG211+CH250*CH211+CI250*CI211+CJ250*CJ211+CK250*CK211+CL250*CL211+CM250*CM211+CN250*CN211</f>
        <v>0</v>
      </c>
      <c r="CT211" s="2652">
        <f>E251*E211+F251*F211+G251*G211+H251*H211+I251*I211+J251*J211+K251*K211+L251*L211+M251*M211+N251*N211+O251*O211+P251*P211+Q251*Q211+R251*R211+S251*S211+T251*T211+U251*U211+V251*V211+W251*W211+X251*X211+Y251*Y211+Z251*Z211+AA251*AA211+AB251*AB211+AC251*AC211+AD251*AD211+AE251*AE211+AF251*AF211+AG251*AG211+AH251*AH211+AI251*AI211+AJ251*AJ211+AK251*AK211+AL251*AL211+AM251*AM211+AN251*AN211+AO251*AO211+AP251*AP211+AQ251*AQ211+AR251*AR211+AS251*AS211+AT251*AT211+AU251*AU211+AV251*AV211+AW251*AW211+AX251*AX211+AY251*AY211+AZ251*AZ211+BA251*BA211+BB251*BB211+BC251*BC211+BD251*BD211+BE251*BE211+BF251*BF211+BG251*BG211+BH251*BH211+BI251*BI211+BJ251*BJ211+BK251*BK211+BL251*BL211+BM251*BM211+BN251*BN211+BO251*BO211+BP251*BP211+BQ251*BQ211+BR251*BR211+BS251*BS211+BT251*BT211+BU251*BU211+BV251*BV211+BW251*BW211+BX251*BX211+BY251*BY211+BZ251*BZ211+CA251*CA211+CB251*CB211+CC251*CC211+CD251*CD211+CE251*CE211+CF251*CF211+CG251*CG211+CH251*CH211+CI251*CI211+CJ251*CJ211+CK251*CK211+CL251*CL211+CM251*CM211+CN251*CN211</f>
        <v>0</v>
      </c>
      <c r="CU211" s="2652">
        <f>E252*E211+F252*F211+G252*G211+H252*H211+I252*I211+J252*J211+K252*K211+L252*L211+M252*M211+N252*N211+O252*O211+P252*P211+Q252*Q211+R252*R211+S252*S211+T252*T211+U252*U211+V252*V211+W252*W211+X252*X211+Y252*Y211+Z252*Z211+AA252*AA211+AB252*AB211+AC252*AC211+AD252*AD211+AE252*AE211+AF252*AF211+AG252*AG211+AH252*AH211+AI252*AI211+AJ252*AJ211+AK252*AK211+AL252*AL211+AM252*AM211+AN252*AN211+AO252*AO211+AP252*AP211+AQ252*AQ211+AR252*AR211+AS252*AS211+AT252*AT211+AU252*AU211+AV252*AV211+AW252*AW211+AX252*AX211+AY252*AY211+AZ252*AZ211+BA252*BA211+BB252*BB211+BC252*BC211+BD252*BD211+BE252*BE211+BF252*BF211+BG252*BG211+BH252*BH211+BI252*BI211+BJ252*BJ211+BK252*BK211+BL252*BL211+BM252*BM211+BN252*BN211+BO252*BO211+BP252*BP211+BQ252*BQ211+BR252*BR211+BS252*BS211+BT252*BT211+BU252*BU211+BV252*BV211+BW252*BW211+BX252*BX211+BY252*BY211+BZ252*BZ211+CA252*CA211+CB252*CB211+CC252*CC211+CD252*CD211+CE252*CE211+CF252*CF211+CG252*CG211+CH252*CH211+CI252*CI211+CJ252*CJ211+CK252*CK211+CL252*CL211+CM252*CM211+CN252*CN211</f>
        <v>0</v>
      </c>
      <c r="CV211" s="2652">
        <f>E253*E211+F253*F211+G253*G211+H253*H211+I253*I211+J253*J211+K253*K211+L253*L211+M253*M211+N253*N211+O253*O211+P253*P211+Q253*Q211+R253*R211+S253*S211+T253*T211+U253*U211+V253*V211+W253*W211+X253*X211+Y253*Y211+Z253*Z211+AA253*AA211+AB253*AB211+AC253*AC211+AD253*AD211+AE253*AE211+AF253*AF211+AG253*AG211+AH253*AH211+AI253*AI211+AJ253*AJ211+AK253*AK211+AL253*AL211+AM253*AM211+AN253*AN211+AO253*AO211+AP253*AP211+AQ253*AQ211+AR253*AR211+AS253*AS211+AT253*AT211+AU253*AU211+AV253*AV211+AW253*AW211+AX253*AX211+AY253*AY211+AZ253*AZ211+BA253*BA211+BB253*BB211+BC253*BC211+BD253*BD211+BE253*BE211+BF253*BF211+BG253*BG211+BH253*BH211+BI253*BI211+BJ253*BJ211+BK253*BK211+BL253*BL211+BM253*BM211+BN253*BN211+BO253*BO211+BP253*BP211+BQ253*BQ211+BR253*BR211+BS253*BS211+BT253*BT211+BU253*BU211+BV253*BV211+BW253*BW211+BX253*BX211+BY253*BY211+BZ253*BZ211+CA253*CA211+CB253*CB211+CC253*CC211+CD253*CD211+CE253*CE211+CF253*CF211+CG253*CG211+CH253*CH211+CI253*CI211+CJ253*CJ211+CK253*CK211+CL253*CL211+CM253*CM211+CN253*CN211</f>
        <v>0</v>
      </c>
      <c r="CW211" s="2652">
        <f>E254*E211+F254*F211+G254*G211+H254*H211+I254*I211+J254*J211+K254*K211+L254*L211+M254*M211+N254*N211+O254*O211+P254*P211+Q254*Q211+R254*R211+S254*S211+T254*T211+U254*U211+V254*V211+W254*W211+X254*X211+Y254*Y211+Z254*Z211+AA254*AA211+AB254*AB211+AC254*AC211+AD254*AD211+AE254*AE211+AF254*AF211+AG254*AG211+AH254*AH211+AI254*AI211+AJ254*AJ211+AK254*AK211+AL254*AL211+AM254*AM211+AN254*AN211+AO254*AO211+AP254*AP211+AQ254*AQ211+AR254*AR211+AS254*AS211+AT254*AT211+AU254*AU211+AV254*AV211+AW254*AW211+AX254*AX211+AY254*AY211+AZ254*AZ211+BA254*BA211+BB254*BB211+BC254*BC211+BD254*BD211+BE254*BE211+BF254*BF211+BG254*BG211+BH254*BH211+BI254*BI211+BJ254*BJ211+BK254*BK211+BL254*BL211+BM254*BM211+BN254*BN211+BO254*BO211+BP254*BP211+BQ254*BQ211+BR254*BR211+BS254*BS211+BT254*BT211+BU254*BU211+BV254*BV211+BW254*BW211+BX254*BX211+BY254*BY211+BZ254*BZ211+CA254*CA211+CB254*CB211+CC254*CC211+CD254*CD211+CE254*CE211+CF254*CF211+CG254*CG211+CH254*CH211+CI254*CI211+CJ254*CJ211+CK254*CK211+CL254*CL211+CM254*CM211+CN254*CN211</f>
        <v>0</v>
      </c>
      <c r="CX211" s="2652">
        <f>E255*E211+F255*F211+G255*G211+H255*H211+I255*I211+J255*J211+K255*K211+L255*L211+M255*M211+N255*N211+O255*O211+P255*P211+Q255*Q211+R255*R211+S255*S211+T255*T211+U255*U211+V255*V211+W255*W211+X255*X211+Y255*Y211+Z255*Z211+AA255*AA211+AB255*AB211+AC255*AC211+AD255*AD211+AE255*AE211+AF255*AF211+AG255*AG211+AH255*AH211+AI255*AI211+AJ255*AJ211+AK255*AK211+AL255*AL211+AM255*AM211+AN255*AN211+AO255*AO211+AP255*AP211+AQ255*AQ211+AR255*AR211+AS255*AS211+AT255*AT211+AU255*AU211+AV255*AV211+AW255*AW211+AX255*AX211+AY255*AY211+AZ255*AZ211+BA255*BA211+BB255*BB211+BC255*BC211+BD255*BD211+BE255*BE211+BF255*BF211+BG255*BG211+BH255*BH211+BI255*BI211+BJ255*BJ211+BK255*BK211+BL255*BL211+BM255*BM211+BN255*BN211+BO255*BO211+BP255*BP211+BQ255*BQ211+BR255*BR211+BS255*BS211+BT255*BT211+BU255*BU211+BV255*BV211+BW255*BW211+BX255*BX211+BY255*BY211+BZ255*BZ211+CA255*CA211+CB255*CB211+CC255*CC211+CD255*CD211+CE255*CE211+CF255*CF211+CG255*CG211+CH255*CH211+CI255*CI211+CJ255*CJ211+CK255*CK211+CL255*CL211+CM255*CM211+CN255*CN211</f>
        <v>0</v>
      </c>
      <c r="CY211" s="2652">
        <f>E256*E211+F256*F211+G256*G211+H256*H211+I256*I211+J256*J211+K256*K211+L256*L211+M256*M211+N256*N211+O256*O211+P256*P211+Q256*Q211+R256*R211+S256*S211+T256*T211+U256*U211+V256*V211+W256*W211+X256*X211+Y256*Y211+Z256*Z211+AA256*AA211+AB256*AB211+AC256*AC211+AD256*AD211+AE256*AE211+AF256*AF211+AG256*AG211+AH256*AH211+AI256*AI211+AJ256*AJ211+AK256*AK211+AL256*AL211+AM256*AM211+AN256*AN211+AO256*AO211+AP256*AP211+AQ256*AQ211+AR256*AR211+AS256*AS211+AT256*AT211+AU256*AU211+AV256*AV211+AW256*AW211+AX256*AX211+AY256*AY211+AZ256*AZ211+BA256*BA211+BB256*BB211+BC256*BC211+BD256*BD211+BE256*BE211+BF256*BF211+BG256*BG211+BH256*BH211+BI256*BI211+BJ256*BJ211+BK256*BK211+BL256*BL211+BM256*BM211+BN256*BN211+BO256*BO211+BP256*BP211+BQ256*BQ211+BR256*BR211+BS256*BS211+BT256*BT211+BU256*BU211+BV256*BV211+BW256*BW211+BX256*BX211+BY256*BY211+BZ256*BZ211+CA256*CA211+CB256*CB211+CC256*CC211+CD256*CD211+CE256*CE211+CF256*CF211+CG256*CG211+CH256*CH211+CI256*CI211+CJ256*CJ211+CK256*CK211+CL256*CL211+CM256*CM211+CN256*CN211</f>
        <v>0</v>
      </c>
      <c r="CZ211" s="2652">
        <f>E257*E211+F257*F211+G257*G211+H257*H211+I257*I211+J257*J211+K257*K211+L257*L211+M257*M211+N257*N211+O257*O211+P257*P211+Q257*Q211+R257*R211+S257*S211+T257*T211+U257*U211+V257*V211+W257*W211+X257*X211+Y257*Y211+Z257*Z211+AA257*AA211+AB257*AB211+AC257*AC211+AD257*AD211+AE257*AE211+AF257*AF211+AG257*AG211+AH257*AH211+AI257*AI211+AJ257*AJ211+AK257*AK211+AL257*AL211+AM257*AM211+AN257*AN211+AO257*AO211+AP257*AP211+AQ257*AQ211+AR257*AR211+AS257*AS211+AT257*AT211+AU257*AU211+AV257*AV211+AW257*AW211+AX257*AX211+AY257*AY211+AZ257*AZ211+BA257*BA211+BB257*BB211+BC257*BC211+BD257*BD211+BE257*BE211+BF257*BF211+BG257*BG211+BH257*BH211+BI257*BI211+BJ257*BJ211+BK257*BK211+BL257*BL211+BM257*BM211+BN257*BN211+BO257*BO211+BP257*BP211+BQ257*BQ211+BR257*BR211+BS257*BS211+BT257*BT211+BU257*BU211+BV257*BV211+BW257*BW211+BX257*BX211+BY257*BY211+BZ257*BZ211+CA257*CA211+CB257*CB211+CC257*CC211+CD257*CD211+CE257*CE211+CF257*CF211+CG257*CG211+CH257*CH211+CI257*CI211+CJ257*CJ211+CK257*CK211+CL257*CL211+CM257*CM211+CN257*CN211</f>
        <v>0</v>
      </c>
      <c r="DA211" s="2652">
        <f>E258*E211+F258*F211+G258*G211+H258*H211+I258*I211+J258*J211+K258*K211+L258*L211+M258*M211+N258*N211+O258*O211+P258*P211+Q258*Q211+R258*R211+S258*S211+T258*T211+U258*U211+V258*V211+W258*W211+X258*X211+Y258*Y211+Z258*Z211+AA258*AA211+AB258*AB211+AC258*AC211+AD258*AD211+AE258*AE211+AF258*AF211+AG258*AG211+AH258*AH211+AI258*AI211+AJ258*AJ211+AK258*AK211+AL258*AL211+AM258*AM211+AN258*AN211+AO258*AO211+AP258*AP211+AQ258*AQ211+AR258*AR211+AS258*AS211+AT258*AT211+AU258*AU211+AV258*AV211+AW258*AW211+AX258*AX211+AY258*AY211+AZ258*AZ211+BA258*BA211+BB258*BB211+BC258*BC211+BD258*BD211+BE258*BE211+BF258*BF211+BG258*BG211+BH258*BH211+BI258*BI211+BJ258*BJ211+BK258*BK211+BL258*BL211+BM258*BM211+BN258*BN211+BO258*BO211+BP258*BP211+BQ258*BQ211+BR258*BR211+BS258*BS211+BT258*BT211+BU258*BU211+BV258*BV211+BW258*BW211+BX258*BX211+BY258*BY211+BZ258*BZ211+CA258*CA211+CB258*CB211+CC258*CC211+CD258*CD211+CE258*CE211+CF258*CF211+CG258*CG211+CH258*CH211+CI258*CI211+CJ258*CJ211+CK258*CK211+CL258*CL211+CM258*CM211+CN258*CN211</f>
        <v>0</v>
      </c>
    </row>
    <row r="212" spans="2:105" ht="18" x14ac:dyDescent="0.25">
      <c r="B212" s="2175">
        <v>79</v>
      </c>
      <c r="C212" s="2176" t="s">
        <v>2946</v>
      </c>
      <c r="D212" s="843" t="s">
        <v>2839</v>
      </c>
      <c r="E212" s="2695">
        <f>0</f>
        <v>0</v>
      </c>
      <c r="F212" s="2695">
        <f>0</f>
        <v>0</v>
      </c>
      <c r="G212" s="2695">
        <f>0</f>
        <v>0</v>
      </c>
      <c r="H212" s="2695">
        <f>0</f>
        <v>0</v>
      </c>
      <c r="I212" s="2695">
        <f>0</f>
        <v>0</v>
      </c>
      <c r="J212" s="2695">
        <f>0</f>
        <v>0</v>
      </c>
      <c r="K212" s="2720">
        <f>0</f>
        <v>0</v>
      </c>
      <c r="L212" s="2695">
        <f>0</f>
        <v>0</v>
      </c>
      <c r="M212" s="2695">
        <f>0</f>
        <v>0</v>
      </c>
      <c r="N212" s="2695">
        <f>0</f>
        <v>0</v>
      </c>
      <c r="O212" s="2695">
        <f>0</f>
        <v>0</v>
      </c>
      <c r="P212" s="2695">
        <f>0</f>
        <v>0</v>
      </c>
      <c r="Q212" s="2695">
        <f>0</f>
        <v>0</v>
      </c>
      <c r="R212" s="2695">
        <f>0</f>
        <v>0</v>
      </c>
      <c r="S212" s="2695">
        <f>0</f>
        <v>0</v>
      </c>
      <c r="T212" s="2731">
        <f>0</f>
        <v>0</v>
      </c>
      <c r="U212" s="2731">
        <f>0</f>
        <v>0</v>
      </c>
      <c r="V212" s="2695">
        <f>0</f>
        <v>0</v>
      </c>
      <c r="W212" s="2695">
        <f>0</f>
        <v>0</v>
      </c>
      <c r="X212" s="2695">
        <f>0</f>
        <v>0</v>
      </c>
      <c r="Y212" s="2695">
        <f>0</f>
        <v>0</v>
      </c>
      <c r="Z212" s="2695">
        <f>0</f>
        <v>0</v>
      </c>
      <c r="AA212" s="2695">
        <f>0</f>
        <v>0</v>
      </c>
      <c r="AB212" s="2695">
        <f>0</f>
        <v>0</v>
      </c>
      <c r="AC212" s="2720">
        <f>0</f>
        <v>0</v>
      </c>
      <c r="AD212" s="2695">
        <f>0</f>
        <v>0</v>
      </c>
      <c r="AE212" s="2695">
        <f>0</f>
        <v>0</v>
      </c>
      <c r="AF212" s="2695">
        <f>0</f>
        <v>0</v>
      </c>
      <c r="AG212" s="2695">
        <f>0</f>
        <v>0</v>
      </c>
      <c r="AH212" s="2695">
        <f>0</f>
        <v>0</v>
      </c>
      <c r="AI212" s="2695">
        <f>0</f>
        <v>0</v>
      </c>
      <c r="AJ212" s="2720">
        <f>0</f>
        <v>0</v>
      </c>
      <c r="AK212" s="2695">
        <f>0</f>
        <v>0</v>
      </c>
      <c r="AL212" s="2695">
        <f>-1</f>
        <v>-1</v>
      </c>
      <c r="AM212" s="2695">
        <f>0</f>
        <v>0</v>
      </c>
      <c r="AN212" s="2695">
        <f>0</f>
        <v>0</v>
      </c>
      <c r="AO212" s="2695">
        <f>0</f>
        <v>0</v>
      </c>
      <c r="AP212" s="2720">
        <f>0</f>
        <v>0</v>
      </c>
      <c r="AQ212" s="2695">
        <f>0</f>
        <v>0</v>
      </c>
      <c r="AR212" s="2695">
        <f>0</f>
        <v>0</v>
      </c>
      <c r="AS212" s="2695">
        <f>0</f>
        <v>0</v>
      </c>
      <c r="AT212" s="2695">
        <f>0</f>
        <v>0</v>
      </c>
      <c r="AU212" s="2695">
        <f>0</f>
        <v>0</v>
      </c>
      <c r="AV212" s="2695">
        <f>0</f>
        <v>0</v>
      </c>
      <c r="AW212" s="2695">
        <f>0</f>
        <v>0</v>
      </c>
      <c r="AX212" s="2695">
        <f>0</f>
        <v>0</v>
      </c>
      <c r="AY212" s="2695">
        <f>0</f>
        <v>0</v>
      </c>
      <c r="AZ212" s="2695">
        <f>0</f>
        <v>0</v>
      </c>
      <c r="BA212" s="2695">
        <f>0</f>
        <v>0</v>
      </c>
      <c r="BB212" s="2695">
        <f>0</f>
        <v>0</v>
      </c>
      <c r="BC212" s="2695">
        <f>0</f>
        <v>0</v>
      </c>
      <c r="BD212" s="2731">
        <f>-1/(A_SFHFO_L*(A_MP/A_MFe))</f>
        <v>-9.0148880913149121</v>
      </c>
      <c r="BE212" s="2695">
        <f>0</f>
        <v>0</v>
      </c>
      <c r="BF212" s="2695">
        <f>0</f>
        <v>0</v>
      </c>
      <c r="BG212" s="2731">
        <f>1/(A_SFHFO_L*(A_MP/A_MFe))</f>
        <v>9.0148880913149121</v>
      </c>
      <c r="BH212" s="2695">
        <f>0</f>
        <v>0</v>
      </c>
      <c r="BI212" s="2695">
        <f>0</f>
        <v>0</v>
      </c>
      <c r="BJ212" s="2776">
        <f>0</f>
        <v>0</v>
      </c>
      <c r="BK212" s="2776">
        <f>0</f>
        <v>0</v>
      </c>
      <c r="BL212" s="2776">
        <f>0</f>
        <v>0</v>
      </c>
      <c r="BM212" s="2776">
        <f>0</f>
        <v>0</v>
      </c>
      <c r="BN212" s="2776">
        <f>0</f>
        <v>0</v>
      </c>
      <c r="BO212" s="2776">
        <f>0</f>
        <v>0</v>
      </c>
      <c r="BP212" s="2776">
        <f>0</f>
        <v>0</v>
      </c>
      <c r="BQ212" s="2695">
        <f>0</f>
        <v>0</v>
      </c>
      <c r="BR212" s="2695">
        <f>0</f>
        <v>0</v>
      </c>
      <c r="BS212" s="2776">
        <f>0</f>
        <v>0</v>
      </c>
      <c r="BT212" s="2731">
        <f>0</f>
        <v>0</v>
      </c>
      <c r="BU212" s="2695">
        <f>0</f>
        <v>0</v>
      </c>
      <c r="BV212" s="2720">
        <f>0</f>
        <v>0</v>
      </c>
      <c r="BW212" s="2720">
        <f>0</f>
        <v>0</v>
      </c>
      <c r="BX212" s="2720">
        <f>0</f>
        <v>0</v>
      </c>
      <c r="BY212" s="2720">
        <f>0</f>
        <v>0</v>
      </c>
      <c r="BZ212" s="2695">
        <f>0</f>
        <v>0</v>
      </c>
      <c r="CA212" s="2695">
        <f>0</f>
        <v>0</v>
      </c>
      <c r="CB212" s="2808">
        <f>0</f>
        <v>0</v>
      </c>
      <c r="CC212" s="2731">
        <f>0</f>
        <v>0</v>
      </c>
      <c r="CD212" s="2731">
        <f>0</f>
        <v>0</v>
      </c>
      <c r="CE212" s="2731">
        <f>0</f>
        <v>0</v>
      </c>
      <c r="CF212" s="2731">
        <f>0</f>
        <v>0</v>
      </c>
      <c r="CG212" s="2731">
        <f>0</f>
        <v>0</v>
      </c>
      <c r="CH212" s="2731">
        <f>0</f>
        <v>0</v>
      </c>
      <c r="CI212" s="2731">
        <f>0</f>
        <v>0</v>
      </c>
      <c r="CJ212" s="2731">
        <f>0</f>
        <v>0</v>
      </c>
      <c r="CK212" s="2731">
        <f>0</f>
        <v>0</v>
      </c>
      <c r="CL212" s="2731">
        <f>0</f>
        <v>0</v>
      </c>
      <c r="CM212" s="2731">
        <f>0</f>
        <v>0</v>
      </c>
      <c r="CN212" s="2731">
        <f>0</f>
        <v>0</v>
      </c>
      <c r="CO212" s="2841">
        <f>q_P_HFO_BIND*X_HFO_L*M_satSPO4_KP_HFO_BIND</f>
        <v>8.3333333333333332E-51</v>
      </c>
      <c r="CQ212" s="2650">
        <f>E248*E212+F248*F212+G248*G212+H248*H212+I248*I212+J248*J212+K248*K212+L248*L212+M248*M212+N248*N212+O248*O212+P248*P212+Q248*Q212+R248*R212+S248*S212+T248*T212+U248*U212+V248*V212+W248*W212+X248*X212+Y248*Y212+Z248*Z212+AA248*AA212+AB248*AB212+AC248*AC212+AD248*AD212+AE248*AE212+AF248*AF212+AG248*AG212+AH248*AH212+AI248*AI212+AJ248*AJ212+AK248*AK212+AL248*AL212+AM248*AM212+AN248*AN212+AO248*AO212+AP248*AP212+AQ248*AQ212+AR248*AR212+AS248*AS212+AT248*AT212+AU248*AU212+AV248*AV212+AW248*AW212+AX248*AX212+AY248*AY212+AZ248*AZ212+BA248*BA212+BB248*BB212+BC248*BC212+BD248*BD212+BE248*BE212+BF248*BF212+BG248*BG212+BH248*BH212+BI248*BI212+BJ248*BJ212+BK248*BK212+BL248*BL212+BM248*BM212+BN248*BN212+BO248*BO212+BP248*BP212+BQ248*BQ212+BR248*BR212+BS248*BS212+BT248*BT212+BU248*BU212+BV248*BV212+BW248*BW212+BX248*BX212+BY248*BY212+BZ248*BZ212+CA248*CA212+CB248*CB212+CC248*CC212+CD248*CD212+CE248*CE212+CF248*CF212+CG248*CG212+CH248*CH212+CI248*CI212+CJ248*CJ212+CK248*CK212+CL248*CL212+CM248*CM212+CN248*CN212</f>
        <v>0</v>
      </c>
      <c r="CR212" s="2650">
        <f>E249*E212+F249*F212+G249*G212+H249*H212+I249*I212+J249*J212+K249*K212+L249*L212+M249*M212+N249*N212+O249*O212+P249*P212+Q249*Q212+R249*R212+S249*S212+T249*T212+U249*U212+V249*V212+W249*W212+X249*X212+Y249*Y212+Z249*Z212+AA249*AA212+AB249*AB212+AC249*AC212+AD249*AD212+AE249*AE212+AF249*AF212+AG249*AG212+AH249*AH212+AI249*AI212+AJ249*AJ212+AK249*AK212+AL249*AL212+AM249*AM212+AN249*AN212+AO249*AO212+AP249*AP212+AQ249*AQ212+AR249*AR212+AS249*AS212+AT249*AT212+AU249*AU212+AV249*AV212+AW249*AW212+AX249*AX212+AY249*AY212+AZ249*AZ212+BA249*BA212+BB249*BB212+BC249*BC212+BD249*BD212+BE249*BE212+BF249*BF212+BG249*BG212+BH249*BH212+BI249*BI212+BJ249*BJ212+BK249*BK212+BL249*BL212+BM249*BM212+BN249*BN212+BO249*BO212+BP249*BP212+BQ249*BQ212+BR249*BR212+BS249*BS212+BT249*BT212+BU249*BU212+BV249*BV212+BW249*BW212+BX249*BX212+BY249*BY212+BZ249*BZ212+CA249*CA212+CB249*CB212+CC249*CC212+CD249*CD212+CE249*CE212+CF249*CF212+CG249*CG212+CH249*CH212+CI249*CI212+CJ249*CJ212+CK249*CK212+CL249*CL212+CM249*CM212+CN249*CN212</f>
        <v>0</v>
      </c>
      <c r="CS212" s="2651">
        <f>E250*E212+F250*F212+G250*G212+H250*H212+I250*I212+J250*J212+K250*K212+L250*L212+M250*M212+N250*N212+O250*O212+P250*P212+Q250*Q212+R250*R212+S250*S212+T250*T212+U250*U212+V250*V212+W250*W212+X250*X212+Y250*Y212+Z250*Z212+AA250*AA212+AB250*AB212+AC250*AC212+AD250*AD212+AE250*AE212+AF250*AF212+AG250*AG212+AH250*AH212+AI250*AI212+AJ250*AJ212+AK250*AK212+AL250*AL212+AM250*AM212+AN250*AN212+AO250*AO212+AP250*AP212+AQ250*AQ212+AR250*AR212+AS250*AS212+AT250*AT212+AU250*AU212+AV250*AV212+AW250*AW212+AX250*AX212+AY250*AY212+AZ250*AZ212+BA250*BA212+BB250*BB212+BC250*BC212+BD250*BD212+BE250*BE212+BF250*BF212+BG250*BG212+BH250*BH212+BI250*BI212+BJ250*BJ212+BK250*BK212+BL250*BL212+BM250*BM212+BN250*BN212+BO250*BO212+BP250*BP212+BQ250*BQ212+BR250*BR212+BS250*BS212+BT250*BT212+BU250*BU212+BV250*BV212+BW250*BW212+BX250*BX212+BY250*BY212+BZ250*BZ212+CA250*CA212+CB250*CB212+CC250*CC212+CD250*CD212+CE250*CE212+CF250*CF212+CG250*CG212+CH250*CH212+CI250*CI212+CJ250*CJ212+CK250*CK212+CL250*CL212+CM250*CM212+CN250*CN212</f>
        <v>0</v>
      </c>
      <c r="CT212" s="2652">
        <f>E251*E212+F251*F212+G251*G212+H251*H212+I251*I212+J251*J212+K251*K212+L251*L212+M251*M212+N251*N212+O251*O212+P251*P212+Q251*Q212+R251*R212+S251*S212+T251*T212+U251*U212+V251*V212+W251*W212+X251*X212+Y251*Y212+Z251*Z212+AA251*AA212+AB251*AB212+AC251*AC212+AD251*AD212+AE251*AE212+AF251*AF212+AG251*AG212+AH251*AH212+AI251*AI212+AJ251*AJ212+AK251*AK212+AL251*AL212+AM251*AM212+AN251*AN212+AO251*AO212+AP251*AP212+AQ251*AQ212+AR251*AR212+AS251*AS212+AT251*AT212+AU251*AU212+AV251*AV212+AW251*AW212+AX251*AX212+AY251*AY212+AZ251*AZ212+BA251*BA212+BB251*BB212+BC251*BC212+BD251*BD212+BE251*BE212+BF251*BF212+BG251*BG212+BH251*BH212+BI251*BI212+BJ251*BJ212+BK251*BK212+BL251*BL212+BM251*BM212+BN251*BN212+BO251*BO212+BP251*BP212+BQ251*BQ212+BR251*BR212+BS251*BS212+BT251*BT212+BU251*BU212+BV251*BV212+BW251*BW212+BX251*BX212+BY251*BY212+BZ251*BZ212+CA251*CA212+CB251*CB212+CC251*CC212+CD251*CD212+CE251*CE212+CF251*CF212+CG251*CG212+CH251*CH212+CI251*CI212+CJ251*CJ212+CK251*CK212+CL251*CL212+CM251*CM212+CN251*CN212</f>
        <v>0</v>
      </c>
      <c r="CU212" s="2652">
        <f>E252*E212+F252*F212+G252*G212+H252*H212+I252*I212+J252*J212+K252*K212+L252*L212+M252*M212+N252*N212+O252*O212+P252*P212+Q252*Q212+R252*R212+S252*S212+T252*T212+U252*U212+V252*V212+W252*W212+X252*X212+Y252*Y212+Z252*Z212+AA252*AA212+AB252*AB212+AC252*AC212+AD252*AD212+AE252*AE212+AF252*AF212+AG252*AG212+AH252*AH212+AI252*AI212+AJ252*AJ212+AK252*AK212+AL252*AL212+AM252*AM212+AN252*AN212+AO252*AO212+AP252*AP212+AQ252*AQ212+AR252*AR212+AS252*AS212+AT252*AT212+AU252*AU212+AV252*AV212+AW252*AW212+AX252*AX212+AY252*AY212+AZ252*AZ212+BA252*BA212+BB252*BB212+BC252*BC212+BD252*BD212+BE252*BE212+BF252*BF212+BG252*BG212+BH252*BH212+BI252*BI212+BJ252*BJ212+BK252*BK212+BL252*BL212+BM252*BM212+BN252*BN212+BO252*BO212+BP252*BP212+BQ252*BQ212+BR252*BR212+BS252*BS212+BT252*BT212+BU252*BU212+BV252*BV212+BW252*BW212+BX252*BX212+BY252*BY212+BZ252*BZ212+CA252*CA212+CB252*CB212+CC252*CC212+CD252*CD212+CE252*CE212+CF252*CF212+CG252*CG212+CH252*CH212+CI252*CI212+CJ252*CJ212+CK252*CK212+CL252*CL212+CM252*CM212+CN252*CN212</f>
        <v>0</v>
      </c>
      <c r="CV212" s="2652">
        <f>E253*E212+F253*F212+G253*G212+H253*H212+I253*I212+J253*J212+K253*K212+L253*L212+M253*M212+N253*N212+O253*O212+P253*P212+Q253*Q212+R253*R212+S253*S212+T253*T212+U253*U212+V253*V212+W253*W212+X253*X212+Y253*Y212+Z253*Z212+AA253*AA212+AB253*AB212+AC253*AC212+AD253*AD212+AE253*AE212+AF253*AF212+AG253*AG212+AH253*AH212+AI253*AI212+AJ253*AJ212+AK253*AK212+AL253*AL212+AM253*AM212+AN253*AN212+AO253*AO212+AP253*AP212+AQ253*AQ212+AR253*AR212+AS253*AS212+AT253*AT212+AU253*AU212+AV253*AV212+AW253*AW212+AX253*AX212+AY253*AY212+AZ253*AZ212+BA253*BA212+BB253*BB212+BC253*BC212+BD253*BD212+BE253*BE212+BF253*BF212+BG253*BG212+BH253*BH212+BI253*BI212+BJ253*BJ212+BK253*BK212+BL253*BL212+BM253*BM212+BN253*BN212+BO253*BO212+BP253*BP212+BQ253*BQ212+BR253*BR212+BS253*BS212+BT253*BT212+BU253*BU212+BV253*BV212+BW253*BW212+BX253*BX212+BY253*BY212+BZ253*BZ212+CA253*CA212+CB253*CB212+CC253*CC212+CD253*CD212+CE253*CE212+CF253*CF212+CG253*CG212+CH253*CH212+CI253*CI212+CJ253*CJ212+CK253*CK212+CL253*CL212+CM253*CM212+CN253*CN212</f>
        <v>0</v>
      </c>
      <c r="CW212" s="2652">
        <f>E254*E212+F254*F212+G254*G212+H254*H212+I254*I212+J254*J212+K254*K212+L254*L212+M254*M212+N254*N212+O254*O212+P254*P212+Q254*Q212+R254*R212+S254*S212+T254*T212+U254*U212+V254*V212+W254*W212+X254*X212+Y254*Y212+Z254*Z212+AA254*AA212+AB254*AB212+AC254*AC212+AD254*AD212+AE254*AE212+AF254*AF212+AG254*AG212+AH254*AH212+AI254*AI212+AJ254*AJ212+AK254*AK212+AL254*AL212+AM254*AM212+AN254*AN212+AO254*AO212+AP254*AP212+AQ254*AQ212+AR254*AR212+AS254*AS212+AT254*AT212+AU254*AU212+AV254*AV212+AW254*AW212+AX254*AX212+AY254*AY212+AZ254*AZ212+BA254*BA212+BB254*BB212+BC254*BC212+BD254*BD212+BE254*BE212+BF254*BF212+BG254*BG212+BH254*BH212+BI254*BI212+BJ254*BJ212+BK254*BK212+BL254*BL212+BM254*BM212+BN254*BN212+BO254*BO212+BP254*BP212+BQ254*BQ212+BR254*BR212+BS254*BS212+BT254*BT212+BU254*BU212+BV254*BV212+BW254*BW212+BX254*BX212+BY254*BY212+BZ254*BZ212+CA254*CA212+CB254*CB212+CC254*CC212+CD254*CD212+CE254*CE212+CF254*CF212+CG254*CG212+CH254*CH212+CI254*CI212+CJ254*CJ212+CK254*CK212+CL254*CL212+CM254*CM212+CN254*CN212</f>
        <v>0</v>
      </c>
      <c r="CX212" s="2652">
        <f>E255*E212+F255*F212+G255*G212+H255*H212+I255*I212+J255*J212+K255*K212+L255*L212+M255*M212+N255*N212+O255*O212+P255*P212+Q255*Q212+R255*R212+S255*S212+T255*T212+U255*U212+V255*V212+W255*W212+X255*X212+Y255*Y212+Z255*Z212+AA255*AA212+AB255*AB212+AC255*AC212+AD255*AD212+AE255*AE212+AF255*AF212+AG255*AG212+AH255*AH212+AI255*AI212+AJ255*AJ212+AK255*AK212+AL255*AL212+AM255*AM212+AN255*AN212+AO255*AO212+AP255*AP212+AQ255*AQ212+AR255*AR212+AS255*AS212+AT255*AT212+AU255*AU212+AV255*AV212+AW255*AW212+AX255*AX212+AY255*AY212+AZ255*AZ212+BA255*BA212+BB255*BB212+BC255*BC212+BD255*BD212+BE255*BE212+BF255*BF212+BG255*BG212+BH255*BH212+BI255*BI212+BJ255*BJ212+BK255*BK212+BL255*BL212+BM255*BM212+BN255*BN212+BO255*BO212+BP255*BP212+BQ255*BQ212+BR255*BR212+BS255*BS212+BT255*BT212+BU255*BU212+BV255*BV212+BW255*BW212+BX255*BX212+BY255*BY212+BZ255*BZ212+CA255*CA212+CB255*CB212+CC255*CC212+CD255*CD212+CE255*CE212+CF255*CF212+CG255*CG212+CH255*CH212+CI255*CI212+CJ255*CJ212+CK255*CK212+CL255*CL212+CM255*CM212+CN255*CN212</f>
        <v>0</v>
      </c>
      <c r="CY212" s="2652">
        <f>E256*E212+F256*F212+G256*G212+H256*H212+I256*I212+J256*J212+K256*K212+L256*L212+M256*M212+N256*N212+O256*O212+P256*P212+Q256*Q212+R256*R212+S256*S212+T256*T212+U256*U212+V256*V212+W256*W212+X256*X212+Y256*Y212+Z256*Z212+AA256*AA212+AB256*AB212+AC256*AC212+AD256*AD212+AE256*AE212+AF256*AF212+AG256*AG212+AH256*AH212+AI256*AI212+AJ256*AJ212+AK256*AK212+AL256*AL212+AM256*AM212+AN256*AN212+AO256*AO212+AP256*AP212+AQ256*AQ212+AR256*AR212+AS256*AS212+AT256*AT212+AU256*AU212+AV256*AV212+AW256*AW212+AX256*AX212+AY256*AY212+AZ256*AZ212+BA256*BA212+BB256*BB212+BC256*BC212+BD256*BD212+BE256*BE212+BF256*BF212+BG256*BG212+BH256*BH212+BI256*BI212+BJ256*BJ212+BK256*BK212+BL256*BL212+BM256*BM212+BN256*BN212+BO256*BO212+BP256*BP212+BQ256*BQ212+BR256*BR212+BS256*BS212+BT256*BT212+BU256*BU212+BV256*BV212+BW256*BW212+BX256*BX212+BY256*BY212+BZ256*BZ212+CA256*CA212+CB256*CB212+CC256*CC212+CD256*CD212+CE256*CE212+CF256*CF212+CG256*CG212+CH256*CH212+CI256*CI212+CJ256*CJ212+CK256*CK212+CL256*CL212+CM256*CM212+CN256*CN212</f>
        <v>0</v>
      </c>
      <c r="CZ212" s="2652">
        <f>E257*E212+F257*F212+G257*G212+H257*H212+I257*I212+J257*J212+K257*K212+L257*L212+M257*M212+N257*N212+O257*O212+P257*P212+Q257*Q212+R257*R212+S257*S212+T257*T212+U257*U212+V257*V212+W257*W212+X257*X212+Y257*Y212+Z257*Z212+AA257*AA212+AB257*AB212+AC257*AC212+AD257*AD212+AE257*AE212+AF257*AF212+AG257*AG212+AH257*AH212+AI257*AI212+AJ257*AJ212+AK257*AK212+AL257*AL212+AM257*AM212+AN257*AN212+AO257*AO212+AP257*AP212+AQ257*AQ212+AR257*AR212+AS257*AS212+AT257*AT212+AU257*AU212+AV257*AV212+AW257*AW212+AX257*AX212+AY257*AY212+AZ257*AZ212+BA257*BA212+BB257*BB212+BC257*BC212+BD257*BD212+BE257*BE212+BF257*BF212+BG257*BG212+BH257*BH212+BI257*BI212+BJ257*BJ212+BK257*BK212+BL257*BL212+BM257*BM212+BN257*BN212+BO257*BO212+BP257*BP212+BQ257*BQ212+BR257*BR212+BS257*BS212+BT257*BT212+BU257*BU212+BV257*BV212+BW257*BW212+BX257*BX212+BY257*BY212+BZ257*BZ212+CA257*CA212+CB257*CB212+CC257*CC212+CD257*CD212+CE257*CE212+CF257*CF212+CG257*CG212+CH257*CH212+CI257*CI212+CJ257*CJ212+CK257*CK212+CL257*CL212+CM257*CM212+CN257*CN212</f>
        <v>0</v>
      </c>
      <c r="DA212" s="2652">
        <f>E258*E212+F258*F212+G258*G212+H258*H212+I258*I212+J258*J212+K258*K212+L258*L212+M258*M212+N258*N212+O258*O212+P258*P212+Q258*Q212+R258*R212+S258*S212+T258*T212+U258*U212+V258*V212+W258*W212+X258*X212+Y258*Y212+Z258*Z212+AA258*AA212+AB258*AB212+AC258*AC212+AD258*AD212+AE258*AE212+AF258*AF212+AG258*AG212+AH258*AH212+AI258*AI212+AJ258*AJ212+AK258*AK212+AL258*AL212+AM258*AM212+AN258*AN212+AO258*AO212+AP258*AP212+AQ258*AQ212+AR258*AR212+AS258*AS212+AT258*AT212+AU258*AU212+AV258*AV212+AW258*AW212+AX258*AX212+AY258*AY212+AZ258*AZ212+BA258*BA212+BB258*BB212+BC258*BC212+BD258*BD212+BE258*BE212+BF258*BF212+BG258*BG212+BH258*BH212+BI258*BI212+BJ258*BJ212+BK258*BK212+BL258*BL212+BM258*BM212+BN258*BN212+BO258*BO212+BP258*BP212+BQ258*BQ212+BR258*BR212+BS258*BS212+BT258*BT212+BU258*BU212+BV258*BV212+BW258*BW212+BX258*BX212+BY258*BY212+BZ258*BZ212+CA258*CA212+CB258*CB212+CC258*CC212+CD258*CD212+CE258*CE212+CF258*CF212+CG258*CG212+CH258*CH212+CI258*CI212+CJ258*CJ212+CK258*CK212+CL258*CL212+CM258*CM212+CN258*CN212</f>
        <v>0</v>
      </c>
    </row>
    <row r="213" spans="2:105" ht="18" x14ac:dyDescent="0.35">
      <c r="B213" s="2175">
        <v>80</v>
      </c>
      <c r="C213" s="2176" t="s">
        <v>2947</v>
      </c>
      <c r="D213" s="1080" t="s">
        <v>3586</v>
      </c>
      <c r="E213" s="2695">
        <f>0</f>
        <v>0</v>
      </c>
      <c r="F213" s="2695">
        <f>0</f>
        <v>0</v>
      </c>
      <c r="G213" s="2695">
        <f>0</f>
        <v>0</v>
      </c>
      <c r="H213" s="2695">
        <f>0</f>
        <v>0</v>
      </c>
      <c r="I213" s="2695">
        <f>0</f>
        <v>0</v>
      </c>
      <c r="J213" s="2695">
        <f>0</f>
        <v>0</v>
      </c>
      <c r="K213" s="2720">
        <f>0</f>
        <v>0</v>
      </c>
      <c r="L213" s="2695">
        <f>0</f>
        <v>0</v>
      </c>
      <c r="M213" s="2695">
        <f>0</f>
        <v>0</v>
      </c>
      <c r="N213" s="2695">
        <f>0</f>
        <v>0</v>
      </c>
      <c r="O213" s="2695">
        <f>0</f>
        <v>0</v>
      </c>
      <c r="P213" s="2695">
        <f>0</f>
        <v>0</v>
      </c>
      <c r="Q213" s="2695">
        <f>0</f>
        <v>0</v>
      </c>
      <c r="R213" s="2695">
        <f>0</f>
        <v>0</v>
      </c>
      <c r="S213" s="2695">
        <f>0</f>
        <v>0</v>
      </c>
      <c r="T213" s="2731">
        <f>0</f>
        <v>0</v>
      </c>
      <c r="U213" s="2731">
        <f>0</f>
        <v>0</v>
      </c>
      <c r="V213" s="2695">
        <f>0</f>
        <v>0</v>
      </c>
      <c r="W213" s="2695">
        <f>0</f>
        <v>0</v>
      </c>
      <c r="X213" s="2695">
        <f>0</f>
        <v>0</v>
      </c>
      <c r="Y213" s="2695">
        <f>0</f>
        <v>0</v>
      </c>
      <c r="Z213" s="2695">
        <f>0</f>
        <v>0</v>
      </c>
      <c r="AA213" s="2695">
        <f>0</f>
        <v>0</v>
      </c>
      <c r="AB213" s="2695">
        <f>0</f>
        <v>0</v>
      </c>
      <c r="AC213" s="2720">
        <f>0</f>
        <v>0</v>
      </c>
      <c r="AD213" s="2695">
        <f>0</f>
        <v>0</v>
      </c>
      <c r="AE213" s="2695">
        <f>0</f>
        <v>0</v>
      </c>
      <c r="AF213" s="2695">
        <f>0</f>
        <v>0</v>
      </c>
      <c r="AG213" s="2695">
        <f>0</f>
        <v>0</v>
      </c>
      <c r="AH213" s="2695">
        <f>0</f>
        <v>0</v>
      </c>
      <c r="AI213" s="2695">
        <f>0</f>
        <v>0</v>
      </c>
      <c r="AJ213" s="2720">
        <f>0</f>
        <v>0</v>
      </c>
      <c r="AK213" s="2695">
        <f>0</f>
        <v>0</v>
      </c>
      <c r="AL213" s="2731">
        <f>(A_SFHFO_H*(A_MP/A_MFe))</f>
        <v>0.66556566639806602</v>
      </c>
      <c r="AM213" s="2695">
        <f>0</f>
        <v>0</v>
      </c>
      <c r="AN213" s="2695">
        <f>0</f>
        <v>0</v>
      </c>
      <c r="AO213" s="2695">
        <f>0</f>
        <v>0</v>
      </c>
      <c r="AP213" s="2720">
        <f>0</f>
        <v>0</v>
      </c>
      <c r="AQ213" s="2695">
        <f>0</f>
        <v>0</v>
      </c>
      <c r="AR213" s="2695">
        <f>0</f>
        <v>0</v>
      </c>
      <c r="AS213" s="2695">
        <f>0</f>
        <v>0</v>
      </c>
      <c r="AT213" s="2695">
        <f>0</f>
        <v>0</v>
      </c>
      <c r="AU213" s="2695">
        <f>0</f>
        <v>0</v>
      </c>
      <c r="AV213" s="2695">
        <f>0</f>
        <v>0</v>
      </c>
      <c r="AW213" s="2695">
        <f>0</f>
        <v>0</v>
      </c>
      <c r="AX213" s="2695">
        <f>0</f>
        <v>0</v>
      </c>
      <c r="AY213" s="2695">
        <f>0</f>
        <v>0</v>
      </c>
      <c r="AZ213" s="2695">
        <f>0</f>
        <v>0</v>
      </c>
      <c r="BA213" s="2695">
        <f>0</f>
        <v>0</v>
      </c>
      <c r="BB213" s="2731">
        <f>0</f>
        <v>0</v>
      </c>
      <c r="BC213" s="2695">
        <f>1</f>
        <v>1</v>
      </c>
      <c r="BD213" s="2695">
        <f>0</f>
        <v>0</v>
      </c>
      <c r="BE213" s="2731">
        <f>0</f>
        <v>0</v>
      </c>
      <c r="BF213" s="2731">
        <f>-1</f>
        <v>-1</v>
      </c>
      <c r="BG213" s="2695">
        <f>0</f>
        <v>0</v>
      </c>
      <c r="BH213" s="2731">
        <f>0</f>
        <v>0</v>
      </c>
      <c r="BI213" s="2731">
        <f>0</f>
        <v>0</v>
      </c>
      <c r="BJ213" s="2778">
        <f>0</f>
        <v>0</v>
      </c>
      <c r="BK213" s="2778">
        <f>0</f>
        <v>0</v>
      </c>
      <c r="BL213" s="2778">
        <f>0</f>
        <v>0</v>
      </c>
      <c r="BM213" s="2778">
        <f>0</f>
        <v>0</v>
      </c>
      <c r="BN213" s="2778">
        <f>0</f>
        <v>0</v>
      </c>
      <c r="BO213" s="2778">
        <f>0</f>
        <v>0</v>
      </c>
      <c r="BP213" s="2778">
        <f>0</f>
        <v>0</v>
      </c>
      <c r="BQ213" s="2731">
        <f>0</f>
        <v>0</v>
      </c>
      <c r="BR213" s="2731">
        <f>0</f>
        <v>0</v>
      </c>
      <c r="BS213" s="2778">
        <f>0</f>
        <v>0</v>
      </c>
      <c r="BT213" s="2731">
        <f>0</f>
        <v>0</v>
      </c>
      <c r="BU213" s="2731">
        <f>0</f>
        <v>0</v>
      </c>
      <c r="BV213" s="2790">
        <f>0</f>
        <v>0</v>
      </c>
      <c r="BW213" s="2790">
        <f>0</f>
        <v>0</v>
      </c>
      <c r="BX213" s="2790">
        <f>0</f>
        <v>0</v>
      </c>
      <c r="BY213" s="2790">
        <f>0</f>
        <v>0</v>
      </c>
      <c r="BZ213" s="2731">
        <f>0</f>
        <v>0</v>
      </c>
      <c r="CA213" s="2731">
        <f>0</f>
        <v>0</v>
      </c>
      <c r="CB213" s="2809">
        <f>0</f>
        <v>0</v>
      </c>
      <c r="CC213" s="2731">
        <f>0</f>
        <v>0</v>
      </c>
      <c r="CD213" s="2731">
        <f>0</f>
        <v>0</v>
      </c>
      <c r="CE213" s="2731">
        <f>0</f>
        <v>0</v>
      </c>
      <c r="CF213" s="2731">
        <f>0</f>
        <v>0</v>
      </c>
      <c r="CG213" s="2731">
        <f>0</f>
        <v>0</v>
      </c>
      <c r="CH213" s="2731">
        <f>0</f>
        <v>0</v>
      </c>
      <c r="CI213" s="2731">
        <f>0</f>
        <v>0</v>
      </c>
      <c r="CJ213" s="2731">
        <f>0</f>
        <v>0</v>
      </c>
      <c r="CK213" s="2731">
        <f>0</f>
        <v>0</v>
      </c>
      <c r="CL213" s="2731">
        <f>0</f>
        <v>0</v>
      </c>
      <c r="CM213" s="2731">
        <f>0</f>
        <v>0</v>
      </c>
      <c r="CN213" s="2731">
        <f>0</f>
        <v>0</v>
      </c>
      <c r="CO213" s="2841">
        <f>q_HFOH_DESORP*X_HFO_H_P*M_inhSPO4_KiP_HFO_DESORP</f>
        <v>1.6666666666666669E-49</v>
      </c>
      <c r="CQ213" s="2650">
        <f>E248*E213+F248*F213+G248*G213+H248*H213+I248*I213+J248*J213+K248*K213+L248*L213+M248*M213+N248*N213+O248*O213+P248*P213+Q248*Q213+R248*R213+S248*S213+T248*T213+U248*U213+V248*V213+W248*W213+X248*X213+Y248*Y213+Z248*Z213+AA248*AA213+AB248*AB213+AC248*AC213+AD248*AD213+AE248*AE213+AF248*AF213+AG248*AG213+AH248*AH213+AI248*AI213+AJ248*AJ213+AK248*AK213+AL248*AL213+AM248*AM213+AN248*AN213+AO248*AO213+AP248*AP213+AQ248*AQ213+AR248*AR213+AS248*AS213+AT248*AT213+AU248*AU213+AV248*AV213+AW248*AW213+AX248*AX213+AY248*AY213+AZ248*AZ213+BA248*BA213+BB248*BB213+BC248*BC213+BD248*BD213+BE248*BE213+BF248*BF213+BG248*BG213+BH248*BH213+BI248*BI213+BJ248*BJ213+BK248*BK213+BL248*BL213+BM248*BM213+BN248*BN213+BO248*BO213+BP248*BP213+BQ248*BQ213+BR248*BR213+BS248*BS213+BT248*BT213+BU248*BU213+BV248*BV213+BW248*BW213+BX248*BX213+BY248*BY213+BZ248*BZ213+CA248*CA213+CB248*CB213+CC248*CC213+CD248*CD213+CE248*CE213+CF248*CF213+CG248*CG213+CH248*CH213+CI248*CI213+CJ248*CJ213+CK248*CK213+CL248*CL213+CM248*CM213+CN248*CN213</f>
        <v>0</v>
      </c>
      <c r="CR213" s="2650">
        <f>E249*E213+F249*F213+G249*G213+H249*H213+I249*I213+J249*J213+K249*K213+L249*L213+M249*M213+N249*N213+O249*O213+P249*P213+Q249*Q213+R249*R213+S249*S213+T249*T213+U249*U213+V249*V213+W249*W213+X249*X213+Y249*Y213+Z249*Z213+AA249*AA213+AB249*AB213+AC249*AC213+AD249*AD213+AE249*AE213+AF249*AF213+AG249*AG213+AH249*AH213+AI249*AI213+AJ249*AJ213+AK249*AK213+AL249*AL213+AM249*AM213+AN249*AN213+AO249*AO213+AP249*AP213+AQ249*AQ213+AR249*AR213+AS249*AS213+AT249*AT213+AU249*AU213+AV249*AV213+AW249*AW213+AX249*AX213+AY249*AY213+AZ249*AZ213+BA249*BA213+BB249*BB213+BC249*BC213+BD249*BD213+BE249*BE213+BF249*BF213+BG249*BG213+BH249*BH213+BI249*BI213+BJ249*BJ213+BK249*BK213+BL249*BL213+BM249*BM213+BN249*BN213+BO249*BO213+BP249*BP213+BQ249*BQ213+BR249*BR213+BS249*BS213+BT249*BT213+BU249*BU213+BV249*BV213+BW249*BW213+BX249*BX213+BY249*BY213+BZ249*BZ213+CA249*CA213+CB249*CB213+CC249*CC213+CD249*CD213+CE249*CE213+CF249*CF213+CG249*CG213+CH249*CH213+CI249*CI213+CJ249*CJ213+CK249*CK213+CL249*CL213+CM249*CM213+CN249*CN213</f>
        <v>0</v>
      </c>
      <c r="CS213" s="2651">
        <f>E250*E213+F250*F213+G250*G213+H250*H213+I250*I213+J250*J213+K250*K213+L250*L213+M250*M213+N250*N213+O250*O213+P250*P213+Q250*Q213+R250*R213+S250*S213+T250*T213+U250*U213+V250*V213+W250*W213+X250*X213+Y250*Y213+Z250*Z213+AA250*AA213+AB250*AB213+AC250*AC213+AD250*AD213+AE250*AE213+AF250*AF213+AG250*AG213+AH250*AH213+AI250*AI213+AJ250*AJ213+AK250*AK213+AL250*AL213+AM250*AM213+AN250*AN213+AO250*AO213+AP250*AP213+AQ250*AQ213+AR250*AR213+AS250*AS213+AT250*AT213+AU250*AU213+AV250*AV213+AW250*AW213+AX250*AX213+AY250*AY213+AZ250*AZ213+BA250*BA213+BB250*BB213+BC250*BC213+BD250*BD213+BE250*BE213+BF250*BF213+BG250*BG213+BH250*BH213+BI250*BI213+BJ250*BJ213+BK250*BK213+BL250*BL213+BM250*BM213+BN250*BN213+BO250*BO213+BP250*BP213+BQ250*BQ213+BR250*BR213+BS250*BS213+BT250*BT213+BU250*BU213+BV250*BV213+BW250*BW213+BX250*BX213+BY250*BY213+BZ250*BZ213+CA250*CA213+CB250*CB213+CC250*CC213+CD250*CD213+CE250*CE213+CF250*CF213+CG250*CG213+CH250*CH213+CI250*CI213+CJ250*CJ213+CK250*CK213+CL250*CL213+CM250*CM213+CN250*CN213</f>
        <v>0</v>
      </c>
      <c r="CT213" s="2652">
        <f>E251*E213+F251*F213+G251*G213+H251*H213+I251*I213+J251*J213+K251*K213+L251*L213+M251*M213+N251*N213+O251*O213+P251*P213+Q251*Q213+R251*R213+S251*S213+T251*T213+U251*U213+V251*V213+W251*W213+X251*X213+Y251*Y213+Z251*Z213+AA251*AA213+AB251*AB213+AC251*AC213+AD251*AD213+AE251*AE213+AF251*AF213+AG251*AG213+AH251*AH213+AI251*AI213+AJ251*AJ213+AK251*AK213+AL251*AL213+AM251*AM213+AN251*AN213+AO251*AO213+AP251*AP213+AQ251*AQ213+AR251*AR213+AS251*AS213+AT251*AT213+AU251*AU213+AV251*AV213+AW251*AW213+AX251*AX213+AY251*AY213+AZ251*AZ213+BA251*BA213+BB251*BB213+BC251*BC213+BD251*BD213+BE251*BE213+BF251*BF213+BG251*BG213+BH251*BH213+BI251*BI213+BJ251*BJ213+BK251*BK213+BL251*BL213+BM251*BM213+BN251*BN213+BO251*BO213+BP251*BP213+BQ251*BQ213+BR251*BR213+BS251*BS213+BT251*BT213+BU251*BU213+BV251*BV213+BW251*BW213+BX251*BX213+BY251*BY213+BZ251*BZ213+CA251*CA213+CB251*CB213+CC251*CC213+CD251*CD213+CE251*CE213+CF251*CF213+CG251*CG213+CH251*CH213+CI251*CI213+CJ251*CJ213+CK251*CK213+CL251*CL213+CM251*CM213+CN251*CN213</f>
        <v>0</v>
      </c>
      <c r="CU213" s="2652">
        <f>E252*E213+F252*F213+G252*G213+H252*H213+I252*I213+J252*J213+K252*K213+L252*L213+M252*M213+N252*N213+O252*O213+P252*P213+Q252*Q213+R252*R213+S252*S213+T252*T213+U252*U213+V252*V213+W252*W213+X252*X213+Y252*Y213+Z252*Z213+AA252*AA213+AB252*AB213+AC252*AC213+AD252*AD213+AE252*AE213+AF252*AF213+AG252*AG213+AH252*AH213+AI252*AI213+AJ252*AJ213+AK252*AK213+AL252*AL213+AM252*AM213+AN252*AN213+AO252*AO213+AP252*AP213+AQ252*AQ213+AR252*AR213+AS252*AS213+AT252*AT213+AU252*AU213+AV252*AV213+AW252*AW213+AX252*AX213+AY252*AY213+AZ252*AZ213+BA252*BA213+BB252*BB213+BC252*BC213+BD252*BD213+BE252*BE213+BF252*BF213+BG252*BG213+BH252*BH213+BI252*BI213+BJ252*BJ213+BK252*BK213+BL252*BL213+BM252*BM213+BN252*BN213+BO252*BO213+BP252*BP213+BQ252*BQ213+BR252*BR213+BS252*BS213+BT252*BT213+BU252*BU213+BV252*BV213+BW252*BW213+BX252*BX213+BY252*BY213+BZ252*BZ213+CA252*CA213+CB252*CB213+CC252*CC213+CD252*CD213+CE252*CE213+CF252*CF213+CG252*CG213+CH252*CH213+CI252*CI213+CJ252*CJ213+CK252*CK213+CL252*CL213+CM252*CM213+CN252*CN213</f>
        <v>0</v>
      </c>
      <c r="CV213" s="2652">
        <f>E253*E213+F253*F213+G253*G213+H253*H213+I253*I213+J253*J213+K253*K213+L253*L213+M253*M213+N253*N213+O253*O213+P253*P213+Q253*Q213+R253*R213+S253*S213+T253*T213+U253*U213+V253*V213+W253*W213+X253*X213+Y253*Y213+Z253*Z213+AA253*AA213+AB253*AB213+AC253*AC213+AD253*AD213+AE253*AE213+AF253*AF213+AG253*AG213+AH253*AH213+AI253*AI213+AJ253*AJ213+AK253*AK213+AL253*AL213+AM253*AM213+AN253*AN213+AO253*AO213+AP253*AP213+AQ253*AQ213+AR253*AR213+AS253*AS213+AT253*AT213+AU253*AU213+AV253*AV213+AW253*AW213+AX253*AX213+AY253*AY213+AZ253*AZ213+BA253*BA213+BB253*BB213+BC253*BC213+BD253*BD213+BE253*BE213+BF253*BF213+BG253*BG213+BH253*BH213+BI253*BI213+BJ253*BJ213+BK253*BK213+BL253*BL213+BM253*BM213+BN253*BN213+BO253*BO213+BP253*BP213+BQ253*BQ213+BR253*BR213+BS253*BS213+BT253*BT213+BU253*BU213+BV253*BV213+BW253*BW213+BX253*BX213+BY253*BY213+BZ253*BZ213+CA253*CA213+CB253*CB213+CC253*CC213+CD253*CD213+CE253*CE213+CF253*CF213+CG253*CG213+CH253*CH213+CI253*CI213+CJ253*CJ213+CK253*CK213+CL253*CL213+CM253*CM213+CN253*CN213</f>
        <v>0</v>
      </c>
      <c r="CW213" s="2652">
        <f>E254*E213+F254*F213+G254*G213+H254*H213+I254*I213+J254*J213+K254*K213+L254*L213+M254*M213+N254*N213+O254*O213+P254*P213+Q254*Q213+R254*R213+S254*S213+T254*T213+U254*U213+V254*V213+W254*W213+X254*X213+Y254*Y213+Z254*Z213+AA254*AA213+AB254*AB213+AC254*AC213+AD254*AD213+AE254*AE213+AF254*AF213+AG254*AG213+AH254*AH213+AI254*AI213+AJ254*AJ213+AK254*AK213+AL254*AL213+AM254*AM213+AN254*AN213+AO254*AO213+AP254*AP213+AQ254*AQ213+AR254*AR213+AS254*AS213+AT254*AT213+AU254*AU213+AV254*AV213+AW254*AW213+AX254*AX213+AY254*AY213+AZ254*AZ213+BA254*BA213+BB254*BB213+BC254*BC213+BD254*BD213+BE254*BE213+BF254*BF213+BG254*BG213+BH254*BH213+BI254*BI213+BJ254*BJ213+BK254*BK213+BL254*BL213+BM254*BM213+BN254*BN213+BO254*BO213+BP254*BP213+BQ254*BQ213+BR254*BR213+BS254*BS213+BT254*BT213+BU254*BU213+BV254*BV213+BW254*BW213+BX254*BX213+BY254*BY213+BZ254*BZ213+CA254*CA213+CB254*CB213+CC254*CC213+CD254*CD213+CE254*CE213+CF254*CF213+CG254*CG213+CH254*CH213+CI254*CI213+CJ254*CJ213+CK254*CK213+CL254*CL213+CM254*CM213+CN254*CN213</f>
        <v>0</v>
      </c>
      <c r="CX213" s="2652">
        <f>E255*E213+F255*F213+G255*G213+H255*H213+I255*I213+J255*J213+K255*K213+L255*L213+M255*M213+N255*N213+O255*O213+P255*P213+Q255*Q213+R255*R213+S255*S213+T255*T213+U255*U213+V255*V213+W255*W213+X255*X213+Y255*Y213+Z255*Z213+AA255*AA213+AB255*AB213+AC255*AC213+AD255*AD213+AE255*AE213+AF255*AF213+AG255*AG213+AH255*AH213+AI255*AI213+AJ255*AJ213+AK255*AK213+AL255*AL213+AM255*AM213+AN255*AN213+AO255*AO213+AP255*AP213+AQ255*AQ213+AR255*AR213+AS255*AS213+AT255*AT213+AU255*AU213+AV255*AV213+AW255*AW213+AX255*AX213+AY255*AY213+AZ255*AZ213+BA255*BA213+BB255*BB213+BC255*BC213+BD255*BD213+BE255*BE213+BF255*BF213+BG255*BG213+BH255*BH213+BI255*BI213+BJ255*BJ213+BK255*BK213+BL255*BL213+BM255*BM213+BN255*BN213+BO255*BO213+BP255*BP213+BQ255*BQ213+BR255*BR213+BS255*BS213+BT255*BT213+BU255*BU213+BV255*BV213+BW255*BW213+BX255*BX213+BY255*BY213+BZ255*BZ213+CA255*CA213+CB255*CB213+CC255*CC213+CD255*CD213+CE255*CE213+CF255*CF213+CG255*CG213+CH255*CH213+CI255*CI213+CJ255*CJ213+CK255*CK213+CL255*CL213+CM255*CM213+CN255*CN213</f>
        <v>0</v>
      </c>
      <c r="CY213" s="2652">
        <f>E256*E213+F256*F213+G256*G213+H256*H213+I256*I213+J256*J213+K256*K213+L256*L213+M256*M213+N256*N213+O256*O213+P256*P213+Q256*Q213+R256*R213+S256*S213+T256*T213+U256*U213+V256*V213+W256*W213+X256*X213+Y256*Y213+Z256*Z213+AA256*AA213+AB256*AB213+AC256*AC213+AD256*AD213+AE256*AE213+AF256*AF213+AG256*AG213+AH256*AH213+AI256*AI213+AJ256*AJ213+AK256*AK213+AL256*AL213+AM256*AM213+AN256*AN213+AO256*AO213+AP256*AP213+AQ256*AQ213+AR256*AR213+AS256*AS213+AT256*AT213+AU256*AU213+AV256*AV213+AW256*AW213+AX256*AX213+AY256*AY213+AZ256*AZ213+BA256*BA213+BB256*BB213+BC256*BC213+BD256*BD213+BE256*BE213+BF256*BF213+BG256*BG213+BH256*BH213+BI256*BI213+BJ256*BJ213+BK256*BK213+BL256*BL213+BM256*BM213+BN256*BN213+BO256*BO213+BP256*BP213+BQ256*BQ213+BR256*BR213+BS256*BS213+BT256*BT213+BU256*BU213+BV256*BV213+BW256*BW213+BX256*BX213+BY256*BY213+BZ256*BZ213+CA256*CA213+CB256*CB213+CC256*CC213+CD256*CD213+CE256*CE213+CF256*CF213+CG256*CG213+CH256*CH213+CI256*CI213+CJ256*CJ213+CK256*CK213+CL256*CL213+CM256*CM213+CN256*CN213</f>
        <v>0</v>
      </c>
      <c r="CZ213" s="2652">
        <f>E257*E213+F257*F213+G257*G213+H257*H213+I257*I213+J257*J213+K257*K213+L257*L213+M257*M213+N257*N213+O257*O213+P257*P213+Q257*Q213+R257*R213+S257*S213+T257*T213+U257*U213+V257*V213+W257*W213+X257*X213+Y257*Y213+Z257*Z213+AA257*AA213+AB257*AB213+AC257*AC213+AD257*AD213+AE257*AE213+AF257*AF213+AG257*AG213+AH257*AH213+AI257*AI213+AJ257*AJ213+AK257*AK213+AL257*AL213+AM257*AM213+AN257*AN213+AO257*AO213+AP257*AP213+AQ257*AQ213+AR257*AR213+AS257*AS213+AT257*AT213+AU257*AU213+AV257*AV213+AW257*AW213+AX257*AX213+AY257*AY213+AZ257*AZ213+BA257*BA213+BB257*BB213+BC257*BC213+BD257*BD213+BE257*BE213+BF257*BF213+BG257*BG213+BH257*BH213+BI257*BI213+BJ257*BJ213+BK257*BK213+BL257*BL213+BM257*BM213+BN257*BN213+BO257*BO213+BP257*BP213+BQ257*BQ213+BR257*BR213+BS257*BS213+BT257*BT213+BU257*BU213+BV257*BV213+BW257*BW213+BX257*BX213+BY257*BY213+BZ257*BZ213+CA257*CA213+CB257*CB213+CC257*CC213+CD257*CD213+CE257*CE213+CF257*CF213+CG257*CG213+CH257*CH213+CI257*CI213+CJ257*CJ213+CK257*CK213+CL257*CL213+CM257*CM213+CN257*CN213</f>
        <v>0</v>
      </c>
      <c r="DA213" s="2652">
        <f>E258*E213+F258*F213+G258*G213+H258*H213+I258*I213+J258*J213+K258*K213+L258*L213+M258*M213+N258*N213+O258*O213+P258*P213+Q258*Q213+R258*R213+S258*S213+T258*T213+U258*U213+V258*V213+W258*W213+X258*X213+Y258*Y213+Z258*Z213+AA258*AA213+AB258*AB213+AC258*AC213+AD258*AD213+AE258*AE213+AF258*AF213+AG258*AG213+AH258*AH213+AI258*AI213+AJ258*AJ213+AK258*AK213+AL258*AL213+AM258*AM213+AN258*AN213+AO258*AO213+AP258*AP213+AQ258*AQ213+AR258*AR213+AS258*AS213+AT258*AT213+AU258*AU213+AV258*AV213+AW258*AW213+AX258*AX213+AY258*AY213+AZ258*AZ213+BA258*BA213+BB258*BB213+BC258*BC213+BD258*BD213+BE258*BE213+BF258*BF213+BG258*BG213+BH258*BH213+BI258*BI213+BJ258*BJ213+BK258*BK213+BL258*BL213+BM258*BM213+BN258*BN213+BO258*BO213+BP258*BP213+BQ258*BQ213+BR258*BR213+BS258*BS213+BT258*BT213+BU258*BU213+BV258*BV213+BW258*BW213+BX258*BX213+BY258*BY213+BZ258*BZ213+CA258*CA213+CB258*CB213+CC258*CC213+CD258*CD213+CE258*CE213+CF258*CF213+CG258*CG213+CH258*CH213+CI258*CI213+CJ258*CJ213+CK258*CK213+CL258*CL213+CM258*CM213+CN258*CN213</f>
        <v>0</v>
      </c>
    </row>
    <row r="214" spans="2:105" ht="18" x14ac:dyDescent="0.35">
      <c r="B214" s="2175">
        <v>81</v>
      </c>
      <c r="C214" s="2176" t="s">
        <v>2948</v>
      </c>
      <c r="D214" s="1080" t="s">
        <v>3587</v>
      </c>
      <c r="E214" s="2695">
        <f>0</f>
        <v>0</v>
      </c>
      <c r="F214" s="2695">
        <f>0</f>
        <v>0</v>
      </c>
      <c r="G214" s="2695">
        <f>0</f>
        <v>0</v>
      </c>
      <c r="H214" s="2695">
        <f>0</f>
        <v>0</v>
      </c>
      <c r="I214" s="2695">
        <f>0</f>
        <v>0</v>
      </c>
      <c r="J214" s="2695">
        <f>0</f>
        <v>0</v>
      </c>
      <c r="K214" s="2720">
        <f>0</f>
        <v>0</v>
      </c>
      <c r="L214" s="2695">
        <f>0</f>
        <v>0</v>
      </c>
      <c r="M214" s="2695">
        <f>0</f>
        <v>0</v>
      </c>
      <c r="N214" s="2695">
        <f>0</f>
        <v>0</v>
      </c>
      <c r="O214" s="2695">
        <f>0</f>
        <v>0</v>
      </c>
      <c r="P214" s="2695">
        <f>0</f>
        <v>0</v>
      </c>
      <c r="Q214" s="2695">
        <f>0</f>
        <v>0</v>
      </c>
      <c r="R214" s="2695">
        <f>0</f>
        <v>0</v>
      </c>
      <c r="S214" s="2695">
        <f>0</f>
        <v>0</v>
      </c>
      <c r="T214" s="2731">
        <f>0</f>
        <v>0</v>
      </c>
      <c r="U214" s="2731">
        <f>0</f>
        <v>0</v>
      </c>
      <c r="V214" s="2695">
        <f>0</f>
        <v>0</v>
      </c>
      <c r="W214" s="2695">
        <f>0</f>
        <v>0</v>
      </c>
      <c r="X214" s="2695">
        <f>0</f>
        <v>0</v>
      </c>
      <c r="Y214" s="2695">
        <f>0</f>
        <v>0</v>
      </c>
      <c r="Z214" s="2695">
        <f>0</f>
        <v>0</v>
      </c>
      <c r="AA214" s="2695">
        <f>0</f>
        <v>0</v>
      </c>
      <c r="AB214" s="2695">
        <f>0</f>
        <v>0</v>
      </c>
      <c r="AC214" s="2720">
        <f>0</f>
        <v>0</v>
      </c>
      <c r="AD214" s="2695">
        <f>0</f>
        <v>0</v>
      </c>
      <c r="AE214" s="2695">
        <f>0</f>
        <v>0</v>
      </c>
      <c r="AF214" s="2695">
        <f>0</f>
        <v>0</v>
      </c>
      <c r="AG214" s="2695">
        <f>0</f>
        <v>0</v>
      </c>
      <c r="AH214" s="2695">
        <f>0</f>
        <v>0</v>
      </c>
      <c r="AI214" s="2695">
        <f>0</f>
        <v>0</v>
      </c>
      <c r="AJ214" s="2720">
        <f>0</f>
        <v>0</v>
      </c>
      <c r="AK214" s="2695">
        <f>0</f>
        <v>0</v>
      </c>
      <c r="AL214" s="2731">
        <f>(A_SFHFO_L*(A_MP/A_MFe))</f>
        <v>0.11092761106634436</v>
      </c>
      <c r="AM214" s="2695">
        <f>0</f>
        <v>0</v>
      </c>
      <c r="AN214" s="2695">
        <f>0</f>
        <v>0</v>
      </c>
      <c r="AO214" s="2695">
        <f>0</f>
        <v>0</v>
      </c>
      <c r="AP214" s="2720">
        <f>0</f>
        <v>0</v>
      </c>
      <c r="AQ214" s="2695">
        <f>0</f>
        <v>0</v>
      </c>
      <c r="AR214" s="2695">
        <f>0</f>
        <v>0</v>
      </c>
      <c r="AS214" s="2695">
        <f>0</f>
        <v>0</v>
      </c>
      <c r="AT214" s="2695">
        <f>0</f>
        <v>0</v>
      </c>
      <c r="AU214" s="2695">
        <f>0</f>
        <v>0</v>
      </c>
      <c r="AV214" s="2695">
        <f>0</f>
        <v>0</v>
      </c>
      <c r="AW214" s="2695">
        <f>0</f>
        <v>0</v>
      </c>
      <c r="AX214" s="2695">
        <f>0</f>
        <v>0</v>
      </c>
      <c r="AY214" s="2695">
        <f>0</f>
        <v>0</v>
      </c>
      <c r="AZ214" s="2695">
        <f>0</f>
        <v>0</v>
      </c>
      <c r="BA214" s="2695">
        <f>0</f>
        <v>0</v>
      </c>
      <c r="BB214" s="2731">
        <f>0</f>
        <v>0</v>
      </c>
      <c r="BC214" s="2695">
        <f>0</f>
        <v>0</v>
      </c>
      <c r="BD214" s="2695">
        <f>1</f>
        <v>1</v>
      </c>
      <c r="BE214" s="2731">
        <f>0</f>
        <v>0</v>
      </c>
      <c r="BF214" s="2731">
        <f>0</f>
        <v>0</v>
      </c>
      <c r="BG214" s="2695">
        <f>-1</f>
        <v>-1</v>
      </c>
      <c r="BH214" s="2731">
        <f>0</f>
        <v>0</v>
      </c>
      <c r="BI214" s="2731">
        <f>0</f>
        <v>0</v>
      </c>
      <c r="BJ214" s="2778">
        <f>0</f>
        <v>0</v>
      </c>
      <c r="BK214" s="2778">
        <f>0</f>
        <v>0</v>
      </c>
      <c r="BL214" s="2778">
        <f>0</f>
        <v>0</v>
      </c>
      <c r="BM214" s="2778">
        <f>0</f>
        <v>0</v>
      </c>
      <c r="BN214" s="2778">
        <f>0</f>
        <v>0</v>
      </c>
      <c r="BO214" s="2778">
        <f>0</f>
        <v>0</v>
      </c>
      <c r="BP214" s="2778">
        <f>0</f>
        <v>0</v>
      </c>
      <c r="BQ214" s="2731">
        <f>0</f>
        <v>0</v>
      </c>
      <c r="BR214" s="2731">
        <f>0</f>
        <v>0</v>
      </c>
      <c r="BS214" s="2778">
        <f>0</f>
        <v>0</v>
      </c>
      <c r="BT214" s="2731">
        <f>0</f>
        <v>0</v>
      </c>
      <c r="BU214" s="2731">
        <f>0</f>
        <v>0</v>
      </c>
      <c r="BV214" s="2790">
        <f>0</f>
        <v>0</v>
      </c>
      <c r="BW214" s="2790">
        <f>0</f>
        <v>0</v>
      </c>
      <c r="BX214" s="2790">
        <f>0</f>
        <v>0</v>
      </c>
      <c r="BY214" s="2790">
        <f>0</f>
        <v>0</v>
      </c>
      <c r="BZ214" s="2731">
        <f>0</f>
        <v>0</v>
      </c>
      <c r="CA214" s="2731">
        <f>0</f>
        <v>0</v>
      </c>
      <c r="CB214" s="2809">
        <f>0</f>
        <v>0</v>
      </c>
      <c r="CC214" s="2731">
        <f>0</f>
        <v>0</v>
      </c>
      <c r="CD214" s="2731">
        <f>0</f>
        <v>0</v>
      </c>
      <c r="CE214" s="2731">
        <f>0</f>
        <v>0</v>
      </c>
      <c r="CF214" s="2731">
        <f>0</f>
        <v>0</v>
      </c>
      <c r="CG214" s="2731">
        <f>0</f>
        <v>0</v>
      </c>
      <c r="CH214" s="2731">
        <f>0</f>
        <v>0</v>
      </c>
      <c r="CI214" s="2731">
        <f>0</f>
        <v>0</v>
      </c>
      <c r="CJ214" s="2731">
        <f>0</f>
        <v>0</v>
      </c>
      <c r="CK214" s="2731">
        <f>0</f>
        <v>0</v>
      </c>
      <c r="CL214" s="2731">
        <f>0</f>
        <v>0</v>
      </c>
      <c r="CM214" s="2731">
        <f>0</f>
        <v>0</v>
      </c>
      <c r="CN214" s="2731">
        <f>0</f>
        <v>0</v>
      </c>
      <c r="CO214" s="2841">
        <f>q_HFOL_DESORP*X_HFO_L_P*M_inhSPO4_KiP_HFO_DESORP</f>
        <v>1.6666666666666666E-50</v>
      </c>
      <c r="CQ214" s="2650">
        <f>E248*E214+F248*F214+G248*G214+H248*H214+I248*I214+J248*J214+K248*K214+L248*L214+M248*M214+N248*N214+O248*O214+P248*P214+Q248*Q214+R248*R214+S248*S214+T248*T214+U248*U214+V248*V214+W248*W214+X248*X214+Y248*Y214+Z248*Z214+AA248*AA214+AB248*AB214+AC248*AC214+AD248*AD214+AE248*AE214+AF248*AF214+AG248*AG214+AH248*AH214+AI248*AI214+AJ248*AJ214+AK248*AK214+AL248*AL214+AM248*AM214+AN248*AN214+AO248*AO214+AP248*AP214+AQ248*AQ214+AR248*AR214+AS248*AS214+AT248*AT214+AU248*AU214+AV248*AV214+AW248*AW214+AX248*AX214+AY248*AY214+AZ248*AZ214+BA248*BA214+BB248*BB214+BC248*BC214+BD248*BD214+BE248*BE214+BF248*BF214+BG248*BG214+BH248*BH214+BI248*BI214+BJ248*BJ214+BK248*BK214+BL248*BL214+BM248*BM214+BN248*BN214+BO248*BO214+BP248*BP214+BQ248*BQ214+BR248*BR214+BS248*BS214+BT248*BT214+BU248*BU214+BV248*BV214+BW248*BW214+BX248*BX214+BY248*BY214+BZ248*BZ214+CA248*CA214+CB248*CB214+CC248*CC214+CD248*CD214+CE248*CE214+CF248*CF214+CG248*CG214+CH248*CH214+CI248*CI214+CJ248*CJ214+CK248*CK214+CL248*CL214+CM248*CM214+CN248*CN214</f>
        <v>0</v>
      </c>
      <c r="CR214" s="2650">
        <f>E249*E214+F249*F214+G249*G214+H249*H214+I249*I214+J249*J214+K249*K214+L249*L214+M249*M214+N249*N214+O249*O214+P249*P214+Q249*Q214+R249*R214+S249*S214+T249*T214+U249*U214+V249*V214+W249*W214+X249*X214+Y249*Y214+Z249*Z214+AA249*AA214+AB249*AB214+AC249*AC214+AD249*AD214+AE249*AE214+AF249*AF214+AG249*AG214+AH249*AH214+AI249*AI214+AJ249*AJ214+AK249*AK214+AL249*AL214+AM249*AM214+AN249*AN214+AO249*AO214+AP249*AP214+AQ249*AQ214+AR249*AR214+AS249*AS214+AT249*AT214+AU249*AU214+AV249*AV214+AW249*AW214+AX249*AX214+AY249*AY214+AZ249*AZ214+BA249*BA214+BB249*BB214+BC249*BC214+BD249*BD214+BE249*BE214+BF249*BF214+BG249*BG214+BH249*BH214+BI249*BI214+BJ249*BJ214+BK249*BK214+BL249*BL214+BM249*BM214+BN249*BN214+BO249*BO214+BP249*BP214+BQ249*BQ214+BR249*BR214+BS249*BS214+BT249*BT214+BU249*BU214+BV249*BV214+BW249*BW214+BX249*BX214+BY249*BY214+BZ249*BZ214+CA249*CA214+CB249*CB214+CC249*CC214+CD249*CD214+CE249*CE214+CF249*CF214+CG249*CG214+CH249*CH214+CI249*CI214+CJ249*CJ214+CK249*CK214+CL249*CL214+CM249*CM214+CN249*CN214</f>
        <v>0</v>
      </c>
      <c r="CS214" s="2651">
        <f>E250*E214+F250*F214+G250*G214+H250*H214+I250*I214+J250*J214+K250*K214+L250*L214+M250*M214+N250*N214+O250*O214+P250*P214+Q250*Q214+R250*R214+S250*S214+T250*T214+U250*U214+V250*V214+W250*W214+X250*X214+Y250*Y214+Z250*Z214+AA250*AA214+AB250*AB214+AC250*AC214+AD250*AD214+AE250*AE214+AF250*AF214+AG250*AG214+AH250*AH214+AI250*AI214+AJ250*AJ214+AK250*AK214+AL250*AL214+AM250*AM214+AN250*AN214+AO250*AO214+AP250*AP214+AQ250*AQ214+AR250*AR214+AS250*AS214+AT250*AT214+AU250*AU214+AV250*AV214+AW250*AW214+AX250*AX214+AY250*AY214+AZ250*AZ214+BA250*BA214+BB250*BB214+BC250*BC214+BD250*BD214+BE250*BE214+BF250*BF214+BG250*BG214+BH250*BH214+BI250*BI214+BJ250*BJ214+BK250*BK214+BL250*BL214+BM250*BM214+BN250*BN214+BO250*BO214+BP250*BP214+BQ250*BQ214+BR250*BR214+BS250*BS214+BT250*BT214+BU250*BU214+BV250*BV214+BW250*BW214+BX250*BX214+BY250*BY214+BZ250*BZ214+CA250*CA214+CB250*CB214+CC250*CC214+CD250*CD214+CE250*CE214+CF250*CF214+CG250*CG214+CH250*CH214+CI250*CI214+CJ250*CJ214+CK250*CK214+CL250*CL214+CM250*CM214+CN250*CN214</f>
        <v>0</v>
      </c>
      <c r="CT214" s="2652">
        <f>E251*E214+F251*F214+G251*G214+H251*H214+I251*I214+J251*J214+K251*K214+L251*L214+M251*M214+N251*N214+O251*O214+P251*P214+Q251*Q214+R251*R214+S251*S214+T251*T214+U251*U214+V251*V214+W251*W214+X251*X214+Y251*Y214+Z251*Z214+AA251*AA214+AB251*AB214+AC251*AC214+AD251*AD214+AE251*AE214+AF251*AF214+AG251*AG214+AH251*AH214+AI251*AI214+AJ251*AJ214+AK251*AK214+AL251*AL214+AM251*AM214+AN251*AN214+AO251*AO214+AP251*AP214+AQ251*AQ214+AR251*AR214+AS251*AS214+AT251*AT214+AU251*AU214+AV251*AV214+AW251*AW214+AX251*AX214+AY251*AY214+AZ251*AZ214+BA251*BA214+BB251*BB214+BC251*BC214+BD251*BD214+BE251*BE214+BF251*BF214+BG251*BG214+BH251*BH214+BI251*BI214+BJ251*BJ214+BK251*BK214+BL251*BL214+BM251*BM214+BN251*BN214+BO251*BO214+BP251*BP214+BQ251*BQ214+BR251*BR214+BS251*BS214+BT251*BT214+BU251*BU214+BV251*BV214+BW251*BW214+BX251*BX214+BY251*BY214+BZ251*BZ214+CA251*CA214+CB251*CB214+CC251*CC214+CD251*CD214+CE251*CE214+CF251*CF214+CG251*CG214+CH251*CH214+CI251*CI214+CJ251*CJ214+CK251*CK214+CL251*CL214+CM251*CM214+CN251*CN214</f>
        <v>0</v>
      </c>
      <c r="CU214" s="2652">
        <f>E252*E214+F252*F214+G252*G214+H252*H214+I252*I214+J252*J214+K252*K214+L252*L214+M252*M214+N252*N214+O252*O214+P252*P214+Q252*Q214+R252*R214+S252*S214+T252*T214+U252*U214+V252*V214+W252*W214+X252*X214+Y252*Y214+Z252*Z214+AA252*AA214+AB252*AB214+AC252*AC214+AD252*AD214+AE252*AE214+AF252*AF214+AG252*AG214+AH252*AH214+AI252*AI214+AJ252*AJ214+AK252*AK214+AL252*AL214+AM252*AM214+AN252*AN214+AO252*AO214+AP252*AP214+AQ252*AQ214+AR252*AR214+AS252*AS214+AT252*AT214+AU252*AU214+AV252*AV214+AW252*AW214+AX252*AX214+AY252*AY214+AZ252*AZ214+BA252*BA214+BB252*BB214+BC252*BC214+BD252*BD214+BE252*BE214+BF252*BF214+BG252*BG214+BH252*BH214+BI252*BI214+BJ252*BJ214+BK252*BK214+BL252*BL214+BM252*BM214+BN252*BN214+BO252*BO214+BP252*BP214+BQ252*BQ214+BR252*BR214+BS252*BS214+BT252*BT214+BU252*BU214+BV252*BV214+BW252*BW214+BX252*BX214+BY252*BY214+BZ252*BZ214+CA252*CA214+CB252*CB214+CC252*CC214+CD252*CD214+CE252*CE214+CF252*CF214+CG252*CG214+CH252*CH214+CI252*CI214+CJ252*CJ214+CK252*CK214+CL252*CL214+CM252*CM214+CN252*CN214</f>
        <v>0</v>
      </c>
      <c r="CV214" s="2652">
        <f>E253*E214+F253*F214+G253*G214+H253*H214+I253*I214+J253*J214+K253*K214+L253*L214+M253*M214+N253*N214+O253*O214+P253*P214+Q253*Q214+R253*R214+S253*S214+T253*T214+U253*U214+V253*V214+W253*W214+X253*X214+Y253*Y214+Z253*Z214+AA253*AA214+AB253*AB214+AC253*AC214+AD253*AD214+AE253*AE214+AF253*AF214+AG253*AG214+AH253*AH214+AI253*AI214+AJ253*AJ214+AK253*AK214+AL253*AL214+AM253*AM214+AN253*AN214+AO253*AO214+AP253*AP214+AQ253*AQ214+AR253*AR214+AS253*AS214+AT253*AT214+AU253*AU214+AV253*AV214+AW253*AW214+AX253*AX214+AY253*AY214+AZ253*AZ214+BA253*BA214+BB253*BB214+BC253*BC214+BD253*BD214+BE253*BE214+BF253*BF214+BG253*BG214+BH253*BH214+BI253*BI214+BJ253*BJ214+BK253*BK214+BL253*BL214+BM253*BM214+BN253*BN214+BO253*BO214+BP253*BP214+BQ253*BQ214+BR253*BR214+BS253*BS214+BT253*BT214+BU253*BU214+BV253*BV214+BW253*BW214+BX253*BX214+BY253*BY214+BZ253*BZ214+CA253*CA214+CB253*CB214+CC253*CC214+CD253*CD214+CE253*CE214+CF253*CF214+CG253*CG214+CH253*CH214+CI253*CI214+CJ253*CJ214+CK253*CK214+CL253*CL214+CM253*CM214+CN253*CN214</f>
        <v>0</v>
      </c>
      <c r="CW214" s="2652">
        <f>E254*E214+F254*F214+G254*G214+H254*H214+I254*I214+J254*J214+K254*K214+L254*L214+M254*M214+N254*N214+O254*O214+P254*P214+Q254*Q214+R254*R214+S254*S214+T254*T214+U254*U214+V254*V214+W254*W214+X254*X214+Y254*Y214+Z254*Z214+AA254*AA214+AB254*AB214+AC254*AC214+AD254*AD214+AE254*AE214+AF254*AF214+AG254*AG214+AH254*AH214+AI254*AI214+AJ254*AJ214+AK254*AK214+AL254*AL214+AM254*AM214+AN254*AN214+AO254*AO214+AP254*AP214+AQ254*AQ214+AR254*AR214+AS254*AS214+AT254*AT214+AU254*AU214+AV254*AV214+AW254*AW214+AX254*AX214+AY254*AY214+AZ254*AZ214+BA254*BA214+BB254*BB214+BC254*BC214+BD254*BD214+BE254*BE214+BF254*BF214+BG254*BG214+BH254*BH214+BI254*BI214+BJ254*BJ214+BK254*BK214+BL254*BL214+BM254*BM214+BN254*BN214+BO254*BO214+BP254*BP214+BQ254*BQ214+BR254*BR214+BS254*BS214+BT254*BT214+BU254*BU214+BV254*BV214+BW254*BW214+BX254*BX214+BY254*BY214+BZ254*BZ214+CA254*CA214+CB254*CB214+CC254*CC214+CD254*CD214+CE254*CE214+CF254*CF214+CG254*CG214+CH254*CH214+CI254*CI214+CJ254*CJ214+CK254*CK214+CL254*CL214+CM254*CM214+CN254*CN214</f>
        <v>0</v>
      </c>
      <c r="CX214" s="2652">
        <f>E255*E214+F255*F214+G255*G214+H255*H214+I255*I214+J255*J214+K255*K214+L255*L214+M255*M214+N255*N214+O255*O214+P255*P214+Q255*Q214+R255*R214+S255*S214+T255*T214+U255*U214+V255*V214+W255*W214+X255*X214+Y255*Y214+Z255*Z214+AA255*AA214+AB255*AB214+AC255*AC214+AD255*AD214+AE255*AE214+AF255*AF214+AG255*AG214+AH255*AH214+AI255*AI214+AJ255*AJ214+AK255*AK214+AL255*AL214+AM255*AM214+AN255*AN214+AO255*AO214+AP255*AP214+AQ255*AQ214+AR255*AR214+AS255*AS214+AT255*AT214+AU255*AU214+AV255*AV214+AW255*AW214+AX255*AX214+AY255*AY214+AZ255*AZ214+BA255*BA214+BB255*BB214+BC255*BC214+BD255*BD214+BE255*BE214+BF255*BF214+BG255*BG214+BH255*BH214+BI255*BI214+BJ255*BJ214+BK255*BK214+BL255*BL214+BM255*BM214+BN255*BN214+BO255*BO214+BP255*BP214+BQ255*BQ214+BR255*BR214+BS255*BS214+BT255*BT214+BU255*BU214+BV255*BV214+BW255*BW214+BX255*BX214+BY255*BY214+BZ255*BZ214+CA255*CA214+CB255*CB214+CC255*CC214+CD255*CD214+CE255*CE214+CF255*CF214+CG255*CG214+CH255*CH214+CI255*CI214+CJ255*CJ214+CK255*CK214+CL255*CL214+CM255*CM214+CN255*CN214</f>
        <v>0</v>
      </c>
      <c r="CY214" s="2652">
        <f>E256*E214+F256*F214+G256*G214+H256*H214+I256*I214+J256*J214+K256*K214+L256*L214+M256*M214+N256*N214+O256*O214+P256*P214+Q256*Q214+R256*R214+S256*S214+T256*T214+U256*U214+V256*V214+W256*W214+X256*X214+Y256*Y214+Z256*Z214+AA256*AA214+AB256*AB214+AC256*AC214+AD256*AD214+AE256*AE214+AF256*AF214+AG256*AG214+AH256*AH214+AI256*AI214+AJ256*AJ214+AK256*AK214+AL256*AL214+AM256*AM214+AN256*AN214+AO256*AO214+AP256*AP214+AQ256*AQ214+AR256*AR214+AS256*AS214+AT256*AT214+AU256*AU214+AV256*AV214+AW256*AW214+AX256*AX214+AY256*AY214+AZ256*AZ214+BA256*BA214+BB256*BB214+BC256*BC214+BD256*BD214+BE256*BE214+BF256*BF214+BG256*BG214+BH256*BH214+BI256*BI214+BJ256*BJ214+BK256*BK214+BL256*BL214+BM256*BM214+BN256*BN214+BO256*BO214+BP256*BP214+BQ256*BQ214+BR256*BR214+BS256*BS214+BT256*BT214+BU256*BU214+BV256*BV214+BW256*BW214+BX256*BX214+BY256*BY214+BZ256*BZ214+CA256*CA214+CB256*CB214+CC256*CC214+CD256*CD214+CE256*CE214+CF256*CF214+CG256*CG214+CH256*CH214+CI256*CI214+CJ256*CJ214+CK256*CK214+CL256*CL214+CM256*CM214+CN256*CN214</f>
        <v>0</v>
      </c>
      <c r="CZ214" s="2652">
        <f>E257*E214+F257*F214+G257*G214+H257*H214+I257*I214+J257*J214+K257*K214+L257*L214+M257*M214+N257*N214+O257*O214+P257*P214+Q257*Q214+R257*R214+S257*S214+T257*T214+U257*U214+V257*V214+W257*W214+X257*X214+Y257*Y214+Z257*Z214+AA257*AA214+AB257*AB214+AC257*AC214+AD257*AD214+AE257*AE214+AF257*AF214+AG257*AG214+AH257*AH214+AI257*AI214+AJ257*AJ214+AK257*AK214+AL257*AL214+AM257*AM214+AN257*AN214+AO257*AO214+AP257*AP214+AQ257*AQ214+AR257*AR214+AS257*AS214+AT257*AT214+AU257*AU214+AV257*AV214+AW257*AW214+AX257*AX214+AY257*AY214+AZ257*AZ214+BA257*BA214+BB257*BB214+BC257*BC214+BD257*BD214+BE257*BE214+BF257*BF214+BG257*BG214+BH257*BH214+BI257*BI214+BJ257*BJ214+BK257*BK214+BL257*BL214+BM257*BM214+BN257*BN214+BO257*BO214+BP257*BP214+BQ257*BQ214+BR257*BR214+BS257*BS214+BT257*BT214+BU257*BU214+BV257*BV214+BW257*BW214+BX257*BX214+BY257*BY214+BZ257*BZ214+CA257*CA214+CB257*CB214+CC257*CC214+CD257*CD214+CE257*CE214+CF257*CF214+CG257*CG214+CH257*CH214+CI257*CI214+CJ257*CJ214+CK257*CK214+CL257*CL214+CM257*CM214+CN257*CN214</f>
        <v>0</v>
      </c>
      <c r="DA214" s="2652">
        <f>E258*E214+F258*F214+G258*G214+H258*H214+I258*I214+J258*J214+K258*K214+L258*L214+M258*M214+N258*N214+O258*O214+P258*P214+Q258*Q214+R258*R214+S258*S214+T258*T214+U258*U214+V258*V214+W258*W214+X258*X214+Y258*Y214+Z258*Z214+AA258*AA214+AB258*AB214+AC258*AC214+AD258*AD214+AE258*AE214+AF258*AF214+AG258*AG214+AH258*AH214+AI258*AI214+AJ258*AJ214+AK258*AK214+AL258*AL214+AM258*AM214+AN258*AN214+AO258*AO214+AP258*AP214+AQ258*AQ214+AR258*AR214+AS258*AS214+AT258*AT214+AU258*AU214+AV258*AV214+AW258*AW214+AX258*AX214+AY258*AY214+AZ258*AZ214+BA258*BA214+BB258*BB214+BC258*BC214+BD258*BD214+BE258*BE214+BF258*BF214+BG258*BG214+BH258*BH214+BI258*BI214+BJ258*BJ214+BK258*BK214+BL258*BL214+BM258*BM214+BN258*BN214+BO258*BO214+BP258*BP214+BQ258*BQ214+BR258*BR214+BS258*BS214+BT258*BT214+BU258*BU214+BV258*BV214+BW258*BW214+BX258*BX214+BY258*BY214+BZ258*BZ214+CA258*CA214+CB258*CB214+CC258*CC214+CD258*CD214+CE258*CE214+CF258*CF214+CG258*CG214+CH258*CH214+CI258*CI214+CJ258*CJ214+CK258*CK214+CL258*CL214+CM258*CM214+CN258*CN214</f>
        <v>0</v>
      </c>
    </row>
    <row r="215" spans="2:105" ht="18" x14ac:dyDescent="0.35">
      <c r="B215" s="2175">
        <v>82</v>
      </c>
      <c r="C215" s="2176" t="s">
        <v>2949</v>
      </c>
      <c r="D215" s="1080" t="s">
        <v>3588</v>
      </c>
      <c r="E215" s="2695">
        <f>0</f>
        <v>0</v>
      </c>
      <c r="F215" s="2695">
        <f>0</f>
        <v>0</v>
      </c>
      <c r="G215" s="2695">
        <f>0</f>
        <v>0</v>
      </c>
      <c r="H215" s="2695">
        <f>0</f>
        <v>0</v>
      </c>
      <c r="I215" s="2695">
        <f>0</f>
        <v>0</v>
      </c>
      <c r="J215" s="2695">
        <f>0</f>
        <v>0</v>
      </c>
      <c r="K215" s="2720">
        <f>0</f>
        <v>0</v>
      </c>
      <c r="L215" s="2695">
        <f>0</f>
        <v>0</v>
      </c>
      <c r="M215" s="2695">
        <f>0</f>
        <v>0</v>
      </c>
      <c r="N215" s="2695">
        <f>0</f>
        <v>0</v>
      </c>
      <c r="O215" s="2695">
        <f>0</f>
        <v>0</v>
      </c>
      <c r="P215" s="2695">
        <f>0</f>
        <v>0</v>
      </c>
      <c r="Q215" s="2695">
        <f>0</f>
        <v>0</v>
      </c>
      <c r="R215" s="2695">
        <f>0</f>
        <v>0</v>
      </c>
      <c r="S215" s="2695">
        <f>0</f>
        <v>0</v>
      </c>
      <c r="T215" s="2731">
        <f>0</f>
        <v>0</v>
      </c>
      <c r="U215" s="2731">
        <f>0</f>
        <v>0</v>
      </c>
      <c r="V215" s="2695">
        <f>0</f>
        <v>0</v>
      </c>
      <c r="W215" s="2695">
        <f>0</f>
        <v>0</v>
      </c>
      <c r="X215" s="2695">
        <f>0</f>
        <v>0</v>
      </c>
      <c r="Y215" s="2695">
        <f>0</f>
        <v>0</v>
      </c>
      <c r="Z215" s="2695">
        <f>0</f>
        <v>0</v>
      </c>
      <c r="AA215" s="2695">
        <f>0</f>
        <v>0</v>
      </c>
      <c r="AB215" s="2695">
        <f>0</f>
        <v>0</v>
      </c>
      <c r="AC215" s="2720">
        <f>0</f>
        <v>0</v>
      </c>
      <c r="AD215" s="2695">
        <f>0</f>
        <v>0</v>
      </c>
      <c r="AE215" s="2695">
        <f>0</f>
        <v>0</v>
      </c>
      <c r="AF215" s="2695">
        <f>0</f>
        <v>0</v>
      </c>
      <c r="AG215" s="2695">
        <f>0</f>
        <v>0</v>
      </c>
      <c r="AH215" s="2695">
        <f>0</f>
        <v>0</v>
      </c>
      <c r="AI215" s="2695">
        <f>0</f>
        <v>0</v>
      </c>
      <c r="AJ215" s="2720">
        <f>0</f>
        <v>0</v>
      </c>
      <c r="AK215" s="2695">
        <f>0</f>
        <v>0</v>
      </c>
      <c r="AL215" s="2731">
        <f>(A_SFHFO_H*(A_MP/A_MFe))*X_HFO_H_P_old/(X_HFO_H_P_old+X_HFO_L_P_old)+(A_SFHFO_L*(A_MP/A_MFe))*X_HFO_L_P_old/(X_HFO_H_P_old+X_HFO_L_P_old)</f>
        <v>0.38824663873220522</v>
      </c>
      <c r="AM215" s="2695">
        <f>0</f>
        <v>0</v>
      </c>
      <c r="AN215" s="2695">
        <f>0</f>
        <v>0</v>
      </c>
      <c r="AO215" s="2695">
        <f>0</f>
        <v>0</v>
      </c>
      <c r="AP215" s="2720">
        <f>0</f>
        <v>0</v>
      </c>
      <c r="AQ215" s="2695">
        <f>0</f>
        <v>0</v>
      </c>
      <c r="AR215" s="2695">
        <f>0</f>
        <v>0</v>
      </c>
      <c r="AS215" s="2695">
        <f>0</f>
        <v>0</v>
      </c>
      <c r="AT215" s="2695">
        <f>0</f>
        <v>0</v>
      </c>
      <c r="AU215" s="2695">
        <f>0</f>
        <v>0</v>
      </c>
      <c r="AV215" s="2695">
        <f>0</f>
        <v>0</v>
      </c>
      <c r="AW215" s="2695">
        <f>0</f>
        <v>0</v>
      </c>
      <c r="AX215" s="2695">
        <f>0</f>
        <v>0</v>
      </c>
      <c r="AY215" s="2695">
        <f>0</f>
        <v>0</v>
      </c>
      <c r="AZ215" s="2695">
        <f>0</f>
        <v>0</v>
      </c>
      <c r="BA215" s="2695">
        <f>0</f>
        <v>0</v>
      </c>
      <c r="BB215" s="2731">
        <f>0</f>
        <v>0</v>
      </c>
      <c r="BC215" s="2695">
        <f>0</f>
        <v>0</v>
      </c>
      <c r="BD215" s="2695">
        <f>0</f>
        <v>0</v>
      </c>
      <c r="BE215" s="2731">
        <f>1</f>
        <v>1</v>
      </c>
      <c r="BF215" s="2731">
        <f>0</f>
        <v>0</v>
      </c>
      <c r="BG215" s="2695">
        <f>0</f>
        <v>0</v>
      </c>
      <c r="BH215" s="2759">
        <f>-X_HFO_H_P_old/(X_HFO_H_P_old+X_HFO_L_P_old)</f>
        <v>-0.5</v>
      </c>
      <c r="BI215" s="2759">
        <f>-X_HFO_L_P_old/(X_HFO_H_P_old+X_HFO_L_P_old)</f>
        <v>-0.5</v>
      </c>
      <c r="BJ215" s="2777">
        <f>0</f>
        <v>0</v>
      </c>
      <c r="BK215" s="2777">
        <f>0</f>
        <v>0</v>
      </c>
      <c r="BL215" s="2777">
        <f>0</f>
        <v>0</v>
      </c>
      <c r="BM215" s="2777">
        <f>0</f>
        <v>0</v>
      </c>
      <c r="BN215" s="2777">
        <f>0</f>
        <v>0</v>
      </c>
      <c r="BO215" s="2777">
        <f>0</f>
        <v>0</v>
      </c>
      <c r="BP215" s="2777">
        <f>0</f>
        <v>0</v>
      </c>
      <c r="BQ215" s="2731">
        <f>0</f>
        <v>0</v>
      </c>
      <c r="BR215" s="2731">
        <f>0</f>
        <v>0</v>
      </c>
      <c r="BS215" s="2778">
        <f>0</f>
        <v>0</v>
      </c>
      <c r="BT215" s="2731">
        <f>0</f>
        <v>0</v>
      </c>
      <c r="BU215" s="2731">
        <f>0</f>
        <v>0</v>
      </c>
      <c r="BV215" s="2790">
        <f>0</f>
        <v>0</v>
      </c>
      <c r="BW215" s="2790">
        <f>0</f>
        <v>0</v>
      </c>
      <c r="BX215" s="2790">
        <f>0</f>
        <v>0</v>
      </c>
      <c r="BY215" s="2790">
        <f>0</f>
        <v>0</v>
      </c>
      <c r="BZ215" s="2731">
        <f>0</f>
        <v>0</v>
      </c>
      <c r="CA215" s="2731">
        <f>0</f>
        <v>0</v>
      </c>
      <c r="CB215" s="2809">
        <f>0</f>
        <v>0</v>
      </c>
      <c r="CC215" s="2731">
        <f>0</f>
        <v>0</v>
      </c>
      <c r="CD215" s="2731">
        <f>0</f>
        <v>0</v>
      </c>
      <c r="CE215" s="2731">
        <f>0</f>
        <v>0</v>
      </c>
      <c r="CF215" s="2731">
        <f>0</f>
        <v>0</v>
      </c>
      <c r="CG215" s="2731">
        <f>0</f>
        <v>0</v>
      </c>
      <c r="CH215" s="2731">
        <f>0</f>
        <v>0</v>
      </c>
      <c r="CI215" s="2731">
        <f>0</f>
        <v>0</v>
      </c>
      <c r="CJ215" s="2731">
        <f>0</f>
        <v>0</v>
      </c>
      <c r="CK215" s="2731">
        <f>0</f>
        <v>0</v>
      </c>
      <c r="CL215" s="2731">
        <f>0</f>
        <v>0</v>
      </c>
      <c r="CM215" s="2731">
        <f>0</f>
        <v>0</v>
      </c>
      <c r="CN215" s="2731">
        <f>0</f>
        <v>0</v>
      </c>
      <c r="CO215" s="2841">
        <f>q_HFO_DISS*(X_HFO_H_P_old+X_HFO_L_P_old)*L_oginhSPO4_KiP_HFO_DISS</f>
        <v>0</v>
      </c>
      <c r="CQ215" s="2650">
        <f>E248*E215+F248*F215+G248*G215+H248*H215+I248*I215+J248*J215+K248*K215+L248*L215+M248*M215+N248*N215+O248*O215+P248*P215+Q248*Q215+R248*R215+S248*S215+T248*T215+U248*U215+V248*V215+W248*W215+X248*X215+Y248*Y215+Z248*Z215+AA248*AA215+AB248*AB215+AC248*AC215+AD248*AD215+AE248*AE215+AF248*AF215+AG248*AG215+AH248*AH215+AI248*AI215+AJ248*AJ215+AK248*AK215+AL248*AL215+AM248*AM215+AN248*AN215+AO248*AO215+AP248*AP215+AQ248*AQ215+AR248*AR215+AS248*AS215+AT248*AT215+AU248*AU215+AV248*AV215+AW248*AW215+AX248*AX215+AY248*AY215+AZ248*AZ215+BA248*BA215+BB248*BB215+BC248*BC215+BD248*BD215+BE248*BE215+BF248*BF215+BG248*BG215+BH248*BH215+BI248*BI215+BJ248*BJ215+BK248*BK215+BL248*BL215+BM248*BM215+BN248*BN215+BO248*BO215+BP248*BP215+BQ248*BQ215+BR248*BR215+BS248*BS215+BT248*BT215+BU248*BU215+BV248*BV215+BW248*BW215+BX248*BX215+BY248*BY215+BZ248*BZ215+CA248*CA215+CB248*CB215+CC248*CC215+CD248*CD215+CE248*CE215+CF248*CF215+CG248*CG215+CH248*CH215+CI248*CI215+CJ248*CJ215+CK248*CK215+CL248*CL215+CM248*CM215+CN248*CN215</f>
        <v>0</v>
      </c>
      <c r="CR215" s="2650">
        <f>E249*E215+F249*F215+G249*G215+H249*H215+I249*I215+J249*J215+K249*K215+L249*L215+M249*M215+N249*N215+O249*O215+P249*P215+Q249*Q215+R249*R215+S249*S215+T249*T215+U249*U215+V249*V215+W249*W215+X249*X215+Y249*Y215+Z249*Z215+AA249*AA215+AB249*AB215+AC249*AC215+AD249*AD215+AE249*AE215+AF249*AF215+AG249*AG215+AH249*AH215+AI249*AI215+AJ249*AJ215+AK249*AK215+AL249*AL215+AM249*AM215+AN249*AN215+AO249*AO215+AP249*AP215+AQ249*AQ215+AR249*AR215+AS249*AS215+AT249*AT215+AU249*AU215+AV249*AV215+AW249*AW215+AX249*AX215+AY249*AY215+AZ249*AZ215+BA249*BA215+BB249*BB215+BC249*BC215+BD249*BD215+BE249*BE215+BF249*BF215+BG249*BG215+BH249*BH215+BI249*BI215+BJ249*BJ215+BK249*BK215+BL249*BL215+BM249*BM215+BN249*BN215+BO249*BO215+BP249*BP215+BQ249*BQ215+BR249*BR215+BS249*BS215+BT249*BT215+BU249*BU215+BV249*BV215+BW249*BW215+BX249*BX215+BY249*BY215+BZ249*BZ215+CA249*CA215+CB249*CB215+CC249*CC215+CD249*CD215+CE249*CE215+CF249*CF215+CG249*CG215+CH249*CH215+CI249*CI215+CJ249*CJ215+CK249*CK215+CL249*CL215+CM249*CM215+CN249*CN215</f>
        <v>0</v>
      </c>
      <c r="CS215" s="2651">
        <f>E250*E215+F250*F215+G250*G215+H250*H215+I250*I215+J250*J215+K250*K215+L250*L215+M250*M215+N250*N215+O250*O215+P250*P215+Q250*Q215+R250*R215+S250*S215+T250*T215+U250*U215+V250*V215+W250*W215+X250*X215+Y250*Y215+Z250*Z215+AA250*AA215+AB250*AB215+AC250*AC215+AD250*AD215+AE250*AE215+AF250*AF215+AG250*AG215+AH250*AH215+AI250*AI215+AJ250*AJ215+AK250*AK215+AL250*AL215+AM250*AM215+AN250*AN215+AO250*AO215+AP250*AP215+AQ250*AQ215+AR250*AR215+AS250*AS215+AT250*AT215+AU250*AU215+AV250*AV215+AW250*AW215+AX250*AX215+AY250*AY215+AZ250*AZ215+BA250*BA215+BB250*BB215+BC250*BC215+BD250*BD215+BE250*BE215+BF250*BF215+BG250*BG215+BH250*BH215+BI250*BI215+BJ250*BJ215+BK250*BK215+BL250*BL215+BM250*BM215+BN250*BN215+BO250*BO215+BP250*BP215+BQ250*BQ215+BR250*BR215+BS250*BS215+BT250*BT215+BU250*BU215+BV250*BV215+BW250*BW215+BX250*BX215+BY250*BY215+BZ250*BZ215+CA250*CA215+CB250*CB215+CC250*CC215+CD250*CD215+CE250*CE215+CF250*CF215+CG250*CG215+CH250*CH215+CI250*CI215+CJ250*CJ215+CK250*CK215+CL250*CL215+CM250*CM215+CN250*CN215</f>
        <v>0</v>
      </c>
      <c r="CT215" s="2652">
        <f>E251*E215+F251*F215+G251*G215+H251*H215+I251*I215+J251*J215+K251*K215+L251*L215+M251*M215+N251*N215+O251*O215+P251*P215+Q251*Q215+R251*R215+S251*S215+T251*T215+U251*U215+V251*V215+W251*W215+X251*X215+Y251*Y215+Z251*Z215+AA251*AA215+AB251*AB215+AC251*AC215+AD251*AD215+AE251*AE215+AF251*AF215+AG251*AG215+AH251*AH215+AI251*AI215+AJ251*AJ215+AK251*AK215+AL251*AL215+AM251*AM215+AN251*AN215+AO251*AO215+AP251*AP215+AQ251*AQ215+AR251*AR215+AS251*AS215+AT251*AT215+AU251*AU215+AV251*AV215+AW251*AW215+AX251*AX215+AY251*AY215+AZ251*AZ215+BA251*BA215+BB251*BB215+BC251*BC215+BD251*BD215+BE251*BE215+BF251*BF215+BG251*BG215+BH251*BH215+BI251*BI215+BJ251*BJ215+BK251*BK215+BL251*BL215+BM251*BM215+BN251*BN215+BO251*BO215+BP251*BP215+BQ251*BQ215+BR251*BR215+BS251*BS215+BT251*BT215+BU251*BU215+BV251*BV215+BW251*BW215+BX251*BX215+BY251*BY215+BZ251*BZ215+CA251*CA215+CB251*CB215+CC251*CC215+CD251*CD215+CE251*CE215+CF251*CF215+CG251*CG215+CH251*CH215+CI251*CI215+CJ251*CJ215+CK251*CK215+CL251*CL215+CM251*CM215+CN251*CN215</f>
        <v>2.7755575615628914E-17</v>
      </c>
      <c r="CU215" s="2652">
        <f>E252*E215+F252*F215+G252*G215+H252*H215+I252*I215+J252*J215+K252*K215+L252*L215+M252*M215+N252*N215+O252*O215+P252*P215+Q252*Q215+R252*R215+S252*S215+T252*T215+U252*U215+V252*V215+W252*W215+X252*X215+Y252*Y215+Z252*Z215+AA252*AA215+AB252*AB215+AC252*AC215+AD252*AD215+AE252*AE215+AF252*AF215+AG252*AG215+AH252*AH215+AI252*AI215+AJ252*AJ215+AK252*AK215+AL252*AL215+AM252*AM215+AN252*AN215+AO252*AO215+AP252*AP215+AQ252*AQ215+AR252*AR215+AS252*AS215+AT252*AT215+AU252*AU215+AV252*AV215+AW252*AW215+AX252*AX215+AY252*AY215+AZ252*AZ215+BA252*BA215+BB252*BB215+BC252*BC215+BD252*BD215+BE252*BE215+BF252*BF215+BG252*BG215+BH252*BH215+BI252*BI215+BJ252*BJ215+BK252*BK215+BL252*BL215+BM252*BM215+BN252*BN215+BO252*BO215+BP252*BP215+BQ252*BQ215+BR252*BR215+BS252*BS215+BT252*BT215+BU252*BU215+BV252*BV215+BW252*BW215+BX252*BX215+BY252*BY215+BZ252*BZ215+CA252*CA215+CB252*CB215+CC252*CC215+CD252*CD215+CE252*CE215+CF252*CF215+CG252*CG215+CH252*CH215+CI252*CI215+CJ252*CJ215+CK252*CK215+CL252*CL215+CM252*CM215+CN252*CN215</f>
        <v>0</v>
      </c>
      <c r="CV215" s="2652">
        <f>E253*E215+F253*F215+G253*G215+H253*H215+I253*I215+J253*J215+K253*K215+L253*L215+M253*M215+N253*N215+O253*O215+P253*P215+Q253*Q215+R253*R215+S253*S215+T253*T215+U253*U215+V253*V215+W253*W215+X253*X215+Y253*Y215+Z253*Z215+AA253*AA215+AB253*AB215+AC253*AC215+AD253*AD215+AE253*AE215+AF253*AF215+AG253*AG215+AH253*AH215+AI253*AI215+AJ253*AJ215+AK253*AK215+AL253*AL215+AM253*AM215+AN253*AN215+AO253*AO215+AP253*AP215+AQ253*AQ215+AR253*AR215+AS253*AS215+AT253*AT215+AU253*AU215+AV253*AV215+AW253*AW215+AX253*AX215+AY253*AY215+AZ253*AZ215+BA253*BA215+BB253*BB215+BC253*BC215+BD253*BD215+BE253*BE215+BF253*BF215+BG253*BG215+BH253*BH215+BI253*BI215+BJ253*BJ215+BK253*BK215+BL253*BL215+BM253*BM215+BN253*BN215+BO253*BO215+BP253*BP215+BQ253*BQ215+BR253*BR215+BS253*BS215+BT253*BT215+BU253*BU215+BV253*BV215+BW253*BW215+BX253*BX215+BY253*BY215+BZ253*BZ215+CA253*CA215+CB253*CB215+CC253*CC215+CD253*CD215+CE253*CE215+CF253*CF215+CG253*CG215+CH253*CH215+CI253*CI215+CJ253*CJ215+CK253*CK215+CL253*CL215+CM253*CM215+CN253*CN215</f>
        <v>0</v>
      </c>
      <c r="CW215" s="2652">
        <f>E254*E215+F254*F215+G254*G215+H254*H215+I254*I215+J254*J215+K254*K215+L254*L215+M254*M215+N254*N215+O254*O215+P254*P215+Q254*Q215+R254*R215+S254*S215+T254*T215+U254*U215+V254*V215+W254*W215+X254*X215+Y254*Y215+Z254*Z215+AA254*AA215+AB254*AB215+AC254*AC215+AD254*AD215+AE254*AE215+AF254*AF215+AG254*AG215+AH254*AH215+AI254*AI215+AJ254*AJ215+AK254*AK215+AL254*AL215+AM254*AM215+AN254*AN215+AO254*AO215+AP254*AP215+AQ254*AQ215+AR254*AR215+AS254*AS215+AT254*AT215+AU254*AU215+AV254*AV215+AW254*AW215+AX254*AX215+AY254*AY215+AZ254*AZ215+BA254*BA215+BB254*BB215+BC254*BC215+BD254*BD215+BE254*BE215+BF254*BF215+BG254*BG215+BH254*BH215+BI254*BI215+BJ254*BJ215+BK254*BK215+BL254*BL215+BM254*BM215+BN254*BN215+BO254*BO215+BP254*BP215+BQ254*BQ215+BR254*BR215+BS254*BS215+BT254*BT215+BU254*BU215+BV254*BV215+BW254*BW215+BX254*BX215+BY254*BY215+BZ254*BZ215+CA254*CA215+CB254*CB215+CC254*CC215+CD254*CD215+CE254*CE215+CF254*CF215+CG254*CG215+CH254*CH215+CI254*CI215+CJ254*CJ215+CK254*CK215+CL254*CL215+CM254*CM215+CN254*CN215</f>
        <v>0</v>
      </c>
      <c r="CX215" s="2652">
        <f>E255*E215+F255*F215+G255*G215+H255*H215+I255*I215+J255*J215+K255*K215+L255*L215+M255*M215+N255*N215+O255*O215+P255*P215+Q255*Q215+R255*R215+S255*S215+T255*T215+U255*U215+V255*V215+W255*W215+X255*X215+Y255*Y215+Z255*Z215+AA255*AA215+AB255*AB215+AC255*AC215+AD255*AD215+AE255*AE215+AF255*AF215+AG255*AG215+AH255*AH215+AI255*AI215+AJ255*AJ215+AK255*AK215+AL255*AL215+AM255*AM215+AN255*AN215+AO255*AO215+AP255*AP215+AQ255*AQ215+AR255*AR215+AS255*AS215+AT255*AT215+AU255*AU215+AV255*AV215+AW255*AW215+AX255*AX215+AY255*AY215+AZ255*AZ215+BA255*BA215+BB255*BB215+BC255*BC215+BD255*BD215+BE255*BE215+BF255*BF215+BG255*BG215+BH255*BH215+BI255*BI215+BJ255*BJ215+BK255*BK215+BL255*BL215+BM255*BM215+BN255*BN215+BO255*BO215+BP255*BP215+BQ255*BQ215+BR255*BR215+BS255*BS215+BT255*BT215+BU255*BU215+BV255*BV215+BW255*BW215+BX255*BX215+BY255*BY215+BZ255*BZ215+CA255*CA215+CB255*CB215+CC255*CC215+CD255*CD215+CE255*CE215+CF255*CF215+CG255*CG215+CH255*CH215+CI255*CI215+CJ255*CJ215+CK255*CK215+CL255*CL215+CM255*CM215+CN255*CN215</f>
        <v>0</v>
      </c>
      <c r="CY215" s="2652">
        <f>E256*E215+F256*F215+G256*G215+H256*H215+I256*I215+J256*J215+K256*K215+L256*L215+M256*M215+N256*N215+O256*O215+P256*P215+Q256*Q215+R256*R215+S256*S215+T256*T215+U256*U215+V256*V215+W256*W215+X256*X215+Y256*Y215+Z256*Z215+AA256*AA215+AB256*AB215+AC256*AC215+AD256*AD215+AE256*AE215+AF256*AF215+AG256*AG215+AH256*AH215+AI256*AI215+AJ256*AJ215+AK256*AK215+AL256*AL215+AM256*AM215+AN256*AN215+AO256*AO215+AP256*AP215+AQ256*AQ215+AR256*AR215+AS256*AS215+AT256*AT215+AU256*AU215+AV256*AV215+AW256*AW215+AX256*AX215+AY256*AY215+AZ256*AZ215+BA256*BA215+BB256*BB215+BC256*BC215+BD256*BD215+BE256*BE215+BF256*BF215+BG256*BG215+BH256*BH215+BI256*BI215+BJ256*BJ215+BK256*BK215+BL256*BL215+BM256*BM215+BN256*BN215+BO256*BO215+BP256*BP215+BQ256*BQ215+BR256*BR215+BS256*BS215+BT256*BT215+BU256*BU215+BV256*BV215+BW256*BW215+BX256*BX215+BY256*BY215+BZ256*BZ215+CA256*CA215+CB256*CB215+CC256*CC215+CD256*CD215+CE256*CE215+CF256*CF215+CG256*CG215+CH256*CH215+CI256*CI215+CJ256*CJ215+CK256*CK215+CL256*CL215+CM256*CM215+CN256*CN215</f>
        <v>0</v>
      </c>
      <c r="CZ215" s="2652">
        <f>E257*E215+F257*F215+G257*G215+H257*H215+I257*I215+J257*J215+K257*K215+L257*L215+M257*M215+N257*N215+O257*O215+P257*P215+Q257*Q215+R257*R215+S257*S215+T257*T215+U257*U215+V257*V215+W257*W215+X257*X215+Y257*Y215+Z257*Z215+AA257*AA215+AB257*AB215+AC257*AC215+AD257*AD215+AE257*AE215+AF257*AF215+AG257*AG215+AH257*AH215+AI257*AI215+AJ257*AJ215+AK257*AK215+AL257*AL215+AM257*AM215+AN257*AN215+AO257*AO215+AP257*AP215+AQ257*AQ215+AR257*AR215+AS257*AS215+AT257*AT215+AU257*AU215+AV257*AV215+AW257*AW215+AX257*AX215+AY257*AY215+AZ257*AZ215+BA257*BA215+BB257*BB215+BC257*BC215+BD257*BD215+BE257*BE215+BF257*BF215+BG257*BG215+BH257*BH215+BI257*BI215+BJ257*BJ215+BK257*BK215+BL257*BL215+BM257*BM215+BN257*BN215+BO257*BO215+BP257*BP215+BQ257*BQ215+BR257*BR215+BS257*BS215+BT257*BT215+BU257*BU215+BV257*BV215+BW257*BW215+BX257*BX215+BY257*BY215+BZ257*BZ215+CA257*CA215+CB257*CB215+CC257*CC215+CD257*CD215+CE257*CE215+CF257*CF215+CG257*CG215+CH257*CH215+CI257*CI215+CJ257*CJ215+CK257*CK215+CL257*CL215+CM257*CM215+CN257*CN215</f>
        <v>0</v>
      </c>
      <c r="DA215" s="2652">
        <f>E258*E215+F258*F215+G258*G215+H258*H215+I258*I215+J258*J215+K258*K215+L258*L215+M258*M215+N258*N215+O258*O215+P258*P215+Q258*Q215+R258*R215+S258*S215+T258*T215+U258*U215+V258*V215+W258*W215+X258*X215+Y258*Y215+Z258*Z215+AA258*AA215+AB258*AB215+AC258*AC215+AD258*AD215+AE258*AE215+AF258*AF215+AG258*AG215+AH258*AH215+AI258*AI215+AJ258*AJ215+AK258*AK215+AL258*AL215+AM258*AM215+AN258*AN215+AO258*AO215+AP258*AP215+AQ258*AQ215+AR258*AR215+AS258*AS215+AT258*AT215+AU258*AU215+AV258*AV215+AW258*AW215+AX258*AX215+AY258*AY215+AZ258*AZ215+BA258*BA215+BB258*BB215+BC258*BC215+BD258*BD215+BE258*BE215+BF258*BF215+BG258*BG215+BH258*BH215+BI258*BI215+BJ258*BJ215+BK258*BK215+BL258*BL215+BM258*BM215+BN258*BN215+BO258*BO215+BP258*BP215+BQ258*BQ215+BR258*BR215+BS258*BS215+BT258*BT215+BU258*BU215+BV258*BV215+BW258*BW215+BX258*BX215+BY258*BY215+BZ258*BZ215+CA258*CA215+CB258*CB215+CC258*CC215+CD258*CD215+CE258*CE215+CF258*CF215+CG258*CG215+CH258*CH215+CI258*CI215+CJ258*CJ215+CK258*CK215+CL258*CL215+CM258*CM215+CN258*CN215</f>
        <v>0</v>
      </c>
    </row>
    <row r="216" spans="2:105" ht="18" x14ac:dyDescent="0.25">
      <c r="B216" s="2177">
        <v>83</v>
      </c>
      <c r="C216" s="2178" t="s">
        <v>2950</v>
      </c>
      <c r="D216" s="850" t="s">
        <v>1696</v>
      </c>
      <c r="E216" s="2696">
        <f>-E_EQFe2*S_VFA/(S_B_poly+S_VFA)</f>
        <v>-1.4183529553600002E-3</v>
      </c>
      <c r="F216" s="2696">
        <f>0</f>
        <v>0</v>
      </c>
      <c r="G216" s="2696">
        <f>-E_EQFe2*S_B_poly/(S_B_poly+S_VFA)</f>
        <v>-0.14183529553600002</v>
      </c>
      <c r="H216" s="2697">
        <f>0</f>
        <v>0</v>
      </c>
      <c r="I216" s="2697">
        <f>0</f>
        <v>0</v>
      </c>
      <c r="J216" s="2697">
        <f>0</f>
        <v>0</v>
      </c>
      <c r="K216" s="2721">
        <f>0</f>
        <v>0</v>
      </c>
      <c r="L216" s="2697">
        <f>0</f>
        <v>0</v>
      </c>
      <c r="M216" s="2697">
        <f>0</f>
        <v>0</v>
      </c>
      <c r="N216" s="2697">
        <f>0</f>
        <v>0</v>
      </c>
      <c r="O216" s="2697">
        <f>0</f>
        <v>0</v>
      </c>
      <c r="P216" s="2697">
        <f>0</f>
        <v>0</v>
      </c>
      <c r="Q216" s="2697">
        <f>0</f>
        <v>0</v>
      </c>
      <c r="R216" s="2697">
        <f>0</f>
        <v>0</v>
      </c>
      <c r="S216" s="2697">
        <f>0</f>
        <v>0</v>
      </c>
      <c r="T216" s="2696">
        <f>0</f>
        <v>0</v>
      </c>
      <c r="U216" s="2696">
        <f>0</f>
        <v>0</v>
      </c>
      <c r="V216" s="2697">
        <f>0</f>
        <v>0</v>
      </c>
      <c r="W216" s="2697">
        <f>0</f>
        <v>0</v>
      </c>
      <c r="X216" s="2697">
        <f>0</f>
        <v>0</v>
      </c>
      <c r="Y216" s="2697">
        <f>0</f>
        <v>0</v>
      </c>
      <c r="Z216" s="2697">
        <f>0</f>
        <v>0</v>
      </c>
      <c r="AA216" s="2697">
        <f>0</f>
        <v>0</v>
      </c>
      <c r="AB216" s="2697">
        <f>0</f>
        <v>0</v>
      </c>
      <c r="AC216" s="2721">
        <f>0</f>
        <v>0</v>
      </c>
      <c r="AD216" s="2697">
        <f>0</f>
        <v>0</v>
      </c>
      <c r="AE216" s="2697">
        <f>0</f>
        <v>0</v>
      </c>
      <c r="AF216" s="2697">
        <f>0</f>
        <v>0</v>
      </c>
      <c r="AG216" s="2697">
        <f>0</f>
        <v>0</v>
      </c>
      <c r="AH216" s="2697">
        <f>0</f>
        <v>0</v>
      </c>
      <c r="AI216" s="2697">
        <f>0</f>
        <v>0</v>
      </c>
      <c r="AJ216" s="2721">
        <f>0</f>
        <v>0</v>
      </c>
      <c r="AK216" s="2697">
        <f>0</f>
        <v>0</v>
      </c>
      <c r="AL216" s="2753">
        <f>X_HFO_P/X_HFO</f>
        <v>1.5529865549288207E-48</v>
      </c>
      <c r="AM216" s="2697">
        <f>0</f>
        <v>0</v>
      </c>
      <c r="AN216" s="2697">
        <f>0</f>
        <v>0</v>
      </c>
      <c r="AO216" s="2697">
        <f>0</f>
        <v>0</v>
      </c>
      <c r="AP216" s="2721">
        <f>0</f>
        <v>0</v>
      </c>
      <c r="AQ216" s="2697">
        <f>0</f>
        <v>0</v>
      </c>
      <c r="AR216" s="2697">
        <f>0</f>
        <v>0</v>
      </c>
      <c r="AS216" s="2697">
        <f>0</f>
        <v>0</v>
      </c>
      <c r="AT216" s="2697">
        <f>0</f>
        <v>0</v>
      </c>
      <c r="AU216" s="2697">
        <f>i_CIT_SB_poly*E_EQFe2*S_B_poly/(S_B_poly+S_VFA)+i_CIT_VFA*E_EQFe2*S_VFA/(S_B_poly+S_VFA)</f>
        <v>4.1096776881556003E-2</v>
      </c>
      <c r="AV216" s="2697">
        <f>0</f>
        <v>0</v>
      </c>
      <c r="AW216" s="2697">
        <f>0</f>
        <v>0</v>
      </c>
      <c r="AX216" s="2697">
        <f>0</f>
        <v>0</v>
      </c>
      <c r="AY216" s="2697">
        <f>0</f>
        <v>0</v>
      </c>
      <c r="AZ216" s="2697">
        <f>0</f>
        <v>0</v>
      </c>
      <c r="BA216" s="2697">
        <f>0</f>
        <v>0</v>
      </c>
      <c r="BB216" s="2696">
        <f>1</f>
        <v>1</v>
      </c>
      <c r="BC216" s="2753">
        <f>-X_HFO_H/X_HFO</f>
        <v>-9.9999999999999997E-49</v>
      </c>
      <c r="BD216" s="2753">
        <f>-X_HFO_L/X_HFO</f>
        <v>-9.9999999999999997E-49</v>
      </c>
      <c r="BE216" s="2753">
        <f>-X_HFO_old/X_HFO</f>
        <v>-1</v>
      </c>
      <c r="BF216" s="2753">
        <f>-X_HFO_H_P/X_HFO</f>
        <v>-9.9999999999999997E-49</v>
      </c>
      <c r="BG216" s="2753">
        <f>-X_HFO_L_P/X_HFO</f>
        <v>-9.9999999999999997E-49</v>
      </c>
      <c r="BH216" s="2753">
        <f>-X_HFO_H_P_old/X_HFO</f>
        <v>-9.9999999999999997E-49</v>
      </c>
      <c r="BI216" s="2753">
        <f>-X_HFO_L_P_old/X_HFO</f>
        <v>-9.9999999999999997E-49</v>
      </c>
      <c r="BJ216" s="2779">
        <f>0</f>
        <v>0</v>
      </c>
      <c r="BK216" s="2779">
        <f>0</f>
        <v>0</v>
      </c>
      <c r="BL216" s="2779">
        <f>0</f>
        <v>0</v>
      </c>
      <c r="BM216" s="2779">
        <f>0</f>
        <v>0</v>
      </c>
      <c r="BN216" s="2779">
        <f>0</f>
        <v>0</v>
      </c>
      <c r="BO216" s="2779">
        <f>0</f>
        <v>0</v>
      </c>
      <c r="BP216" s="2779">
        <f>0</f>
        <v>0</v>
      </c>
      <c r="BQ216" s="2696">
        <f>0</f>
        <v>0</v>
      </c>
      <c r="BR216" s="2696">
        <f>0</f>
        <v>0</v>
      </c>
      <c r="BS216" s="2780">
        <f>0</f>
        <v>0</v>
      </c>
      <c r="BT216" s="2696">
        <f>0</f>
        <v>0</v>
      </c>
      <c r="BU216" s="2696">
        <f>0</f>
        <v>0</v>
      </c>
      <c r="BV216" s="2791">
        <f>0</f>
        <v>0</v>
      </c>
      <c r="BW216" s="2791">
        <f>0</f>
        <v>0</v>
      </c>
      <c r="BX216" s="2791">
        <f>0</f>
        <v>0</v>
      </c>
      <c r="BY216" s="2791">
        <f>0</f>
        <v>0</v>
      </c>
      <c r="BZ216" s="2696">
        <f>0</f>
        <v>0</v>
      </c>
      <c r="CA216" s="2696">
        <f>0</f>
        <v>0</v>
      </c>
      <c r="CB216" s="2810">
        <f>0</f>
        <v>0</v>
      </c>
      <c r="CC216" s="2696">
        <f>0</f>
        <v>0</v>
      </c>
      <c r="CD216" s="2696">
        <f>0</f>
        <v>0</v>
      </c>
      <c r="CE216" s="2696">
        <f>0</f>
        <v>0</v>
      </c>
      <c r="CF216" s="2696">
        <f>0</f>
        <v>0</v>
      </c>
      <c r="CG216" s="2696">
        <f>0</f>
        <v>0</v>
      </c>
      <c r="CH216" s="2696">
        <f>0</f>
        <v>0</v>
      </c>
      <c r="CI216" s="2696">
        <f>0</f>
        <v>0</v>
      </c>
      <c r="CJ216" s="2696">
        <f>0</f>
        <v>0</v>
      </c>
      <c r="CK216" s="2696">
        <f>0</f>
        <v>0</v>
      </c>
      <c r="CL216" s="2696">
        <f>0</f>
        <v>0</v>
      </c>
      <c r="CM216" s="2696">
        <f>0</f>
        <v>0</v>
      </c>
      <c r="CN216" s="2696">
        <f>0</f>
        <v>0</v>
      </c>
      <c r="CO216" s="2842">
        <f>q_HFO_RED_T*X_HFO*L_oginhORP_HFO*(M_satSB_KSB_poly+M_satSVFA_KVFA)</f>
        <v>6.8384401301643267E-20</v>
      </c>
      <c r="CQ216" s="2650">
        <f>E248*E216+F248*F216+G248*G216+H248*H216+I248*I216+J248*J216+K248*K216+L248*L216+M248*M216+N248*N216+O248*O216+P248*P216+Q248*Q216+R248*R216+S248*S216+T248*T216+U248*U216+V248*V216+W248*W216+X248*X216+Y248*Y216+Z248*Z216+AA248*AA216+AB248*AB216+AC248*AC216+AD248*AD216+AE248*AE216+AF248*AF216+AG248*AG216+AH248*AH216+AI248*AI216+AJ248*AJ216+AK248*AK216+AL248*AL216+AM248*AM216+AN248*AN216+AO248*AO216+AP248*AP216+AQ248*AQ216+AR248*AR216+AS248*AS216+AT248*AT216+AU248*AU216+AV248*AV216+AW248*AW216+AX248*AX216+AY248*AY216+AZ248*AZ216+BA248*BA216+BB248*BB216+BC248*BC216+BD248*BD216+BE248*BE216+BF248*BF216+BG248*BG216+BH248*BH216+BI248*BI216+BJ248*BJ216+BK248*BK216+BL248*BL216+BM248*BM216+BN248*BN216+BO248*BO216+BP248*BP216+BQ248*BQ216+BR248*BR216+BS248*BS216+BT248*BT216+BU248*BU216+BV248*BV216+BW248*BW216+BX248*BX216+BY248*BY216+BZ248*BZ216+CA248*CA216+CB248*CB216+CC248*CC216+CD248*CD216+CE248*CE216+CF248*CF216+CG248*CG216+CH248*CH216+CI248*CI216+CJ248*CJ216+CK248*CK216+CL248*CL216+CM248*CM216+CN248*CN216</f>
        <v>0</v>
      </c>
      <c r="CR216" s="2650">
        <f>E249*E216+F249*F216+G249*G216+H249*H216+I249*I216+J249*J216+K249*K216+L249*L216+M249*M216+N249*N216+O249*O216+P249*P216+Q249*Q216+R249*R216+S249*S216+T249*T216+U249*U216+V249*V216+W249*W216+X249*X216+Y249*Y216+Z249*Z216+AA249*AA216+AB249*AB216+AC249*AC216+AD249*AD216+AE249*AE216+AF249*AF216+AG249*AG216+AH249*AH216+AI249*AI216+AJ249*AJ216+AK249*AK216+AL249*AL216+AM249*AM216+AN249*AN216+AO249*AO216+AP249*AP216+AQ249*AQ216+AR249*AR216+AS249*AS216+AT249*AT216+AU249*AU216+AV249*AV216+AW249*AW216+AX249*AX216+AY249*AY216+AZ249*AZ216+BA249*BA216+BB249*BB216+BC249*BC216+BD249*BD216+BE249*BE216+BF249*BF216+BG249*BG216+BH249*BH216+BI249*BI216+BJ249*BJ216+BK249*BK216+BL249*BL216+BM249*BM216+BN249*BN216+BO249*BO216+BP249*BP216+BQ249*BQ216+BR249*BR216+BS249*BS216+BT249*BT216+BU249*BU216+BV249*BV216+BW249*BW216+BX249*BX216+BY249*BY216+BZ249*BZ216+CA249*CA216+CB249*CB216+CC249*CC216+CD249*CD216+CE249*CE216+CF249*CF216+CG249*CG216+CH249*CH216+CI249*CI216+CJ249*CJ216+CK249*CK216+CL249*CL216+CM249*CM216+CN249*CN216</f>
        <v>0</v>
      </c>
      <c r="CS216" s="2651">
        <f>E250*E216+F250*F216+G250*G216+H250*H216+I250*I216+J250*J216+K250*K216+L250*L216+M250*M216+N250*N216+O250*O216+P250*P216+Q250*Q216+R250*R216+S250*S216+T250*T216+U250*U216+V250*V216+W250*W216+X250*X216+Y250*Y216+Z250*Z216+AA250*AA216+AB250*AB216+AC250*AC216+AD250*AD216+AE250*AE216+AF250*AF216+AG250*AG216+AH250*AH216+AI250*AI216+AJ250*AJ216+AK250*AK216+AL250*AL216+AM250*AM216+AN250*AN216+AO250*AO216+AP250*AP216+AQ250*AQ216+AR250*AR216+AS250*AS216+AT250*AT216+AU250*AU216+AV250*AV216+AW250*AW216+AX250*AX216+AY250*AY216+AZ250*AZ216+BA250*BA216+BB250*BB216+BC250*BC216+BD250*BD216+BE250*BE216+BF250*BF216+BG250*BG216+BH250*BH216+BI250*BI216+BJ250*BJ216+BK250*BK216+BL250*BL216+BM250*BM216+BN250*BN216+BO250*BO216+BP250*BP216+BQ250*BQ216+BR250*BR216+BS250*BS216+BT250*BT216+BU250*BU216+BV250*BV216+BW250*BW216+BX250*BX216+BY250*BY216+BZ250*BZ216+CA250*CA216+CB250*CB216+CC250*CC216+CD250*CD216+CE250*CE216+CF250*CF216+CG250*CG216+CH250*CH216+CI250*CI216+CJ250*CJ216+CK250*CK216+CL250*CL216+CM250*CM216+CN250*CN216</f>
        <v>0</v>
      </c>
      <c r="CT216" s="2652">
        <f>E251*E216+F251*F216+G251*G216+H251*H216+I251*I216+J251*J216+K251*K216+L251*L216+M251*M216+N251*N216+O251*O216+P251*P216+Q251*Q216+R251*R216+S251*S216+T251*T216+U251*U216+V251*V216+W251*W216+X251*X216+Y251*Y216+Z251*Z216+AA251*AA216+AB251*AB216+AC251*AC216+AD251*AD216+AE251*AE216+AF251*AF216+AG251*AG216+AH251*AH216+AI251*AI216+AJ251*AJ216+AK251*AK216+AL251*AL216+AM251*AM216+AN251*AN216+AO251*AO216+AP251*AP216+AQ251*AQ216+AR251*AR216+AS251*AS216+AT251*AT216+AU251*AU216+AV251*AV216+AW251*AW216+AX251*AX216+AY251*AY216+AZ251*AZ216+BA251*BA216+BB251*BB216+BC251*BC216+BD251*BD216+BE251*BE216+BF251*BF216+BG251*BG216+BH251*BH216+BI251*BI216+BJ251*BJ216+BK251*BK216+BL251*BL216+BM251*BM216+BN251*BN216+BO251*BO216+BP251*BP216+BQ251*BQ216+BR251*BR216+BS251*BS216+BT251*BT216+BU251*BU216+BV251*BV216+BW251*BW216+BX251*BX216+BY251*BY216+BZ251*BZ216+CA251*CA216+CB251*CB216+CC251*CC216+CD251*CD216+CE251*CE216+CF251*CF216+CG251*CG216+CH251*CH216+CI251*CI216+CJ251*CJ216+CK251*CK216+CL251*CL216+CM251*CM216+CN251*CN216</f>
        <v>0</v>
      </c>
      <c r="CU216" s="2652">
        <f>E252*E216+F252*F216+G252*G216+H252*H216+I252*I216+J252*J216+K252*K216+L252*L216+M252*M216+N252*N216+O252*O216+P252*P216+Q252*Q216+R252*R216+S252*S216+T252*T216+U252*U216+V252*V216+W252*W216+X252*X216+Y252*Y216+Z252*Z216+AA252*AA216+AB252*AB216+AC252*AC216+AD252*AD216+AE252*AE216+AF252*AF216+AG252*AG216+AH252*AH216+AI252*AI216+AJ252*AJ216+AK252*AK216+AL252*AL216+AM252*AM216+AN252*AN216+AO252*AO216+AP252*AP216+AQ252*AQ216+AR252*AR216+AS252*AS216+AT252*AT216+AU252*AU216+AV252*AV216+AW252*AW216+AX252*AX216+AY252*AY216+AZ252*AZ216+BA252*BA216+BB252*BB216+BC252*BC216+BD252*BD216+BE252*BE216+BF252*BF216+BG252*BG216+BH252*BH216+BI252*BI216+BJ252*BJ216+BK252*BK216+BL252*BL216+BM252*BM216+BN252*BN216+BO252*BO216+BP252*BP216+BQ252*BQ216+BR252*BR216+BS252*BS216+BT252*BT216+BU252*BU216+BV252*BV216+BW252*BW216+BX252*BX216+BY252*BY216+BZ252*BZ216+CA252*CA216+CB252*CB216+CC252*CC216+CD252*CD216+CE252*CE216+CF252*CF216+CG252*CG216+CH252*CH216+CI252*CI216+CJ252*CJ216+CK252*CK216+CL252*CL216+CM252*CM216+CN252*CN216</f>
        <v>0</v>
      </c>
      <c r="CV216" s="2652">
        <f>E253*E216+F253*F216+G253*G216+H253*H216+I253*I216+J253*J216+K253*K216+L253*L216+M253*M216+N253*N216+O253*O216+P253*P216+Q253*Q216+R253*R216+S253*S216+T253*T216+U253*U216+V253*V216+W253*W216+X253*X216+Y253*Y216+Z253*Z216+AA253*AA216+AB253*AB216+AC253*AC216+AD253*AD216+AE253*AE216+AF253*AF216+AG253*AG216+AH253*AH216+AI253*AI216+AJ253*AJ216+AK253*AK216+AL253*AL216+AM253*AM216+AN253*AN216+AO253*AO216+AP253*AP216+AQ253*AQ216+AR253*AR216+AS253*AS216+AT253*AT216+AU253*AU216+AV253*AV216+AW253*AW216+AX253*AX216+AY253*AY216+AZ253*AZ216+BA253*BA216+BB253*BB216+BC253*BC216+BD253*BD216+BE253*BE216+BF253*BF216+BG253*BG216+BH253*BH216+BI253*BI216+BJ253*BJ216+BK253*BK216+BL253*BL216+BM253*BM216+BN253*BN216+BO253*BO216+BP253*BP216+BQ253*BQ216+BR253*BR216+BS253*BS216+BT253*BT216+BU253*BU216+BV253*BV216+BW253*BW216+BX253*BX216+BY253*BY216+BZ253*BZ216+CA253*CA216+CB253*CB216+CC253*CC216+CD253*CD216+CE253*CE216+CF253*CF216+CG253*CG216+CH253*CH216+CI253*CI216+CJ253*CJ216+CK253*CK216+CL253*CL216+CM253*CM216+CN253*CN216</f>
        <v>0</v>
      </c>
      <c r="CW216" s="2652">
        <f>E254*E216+F254*F216+G254*G216+H254*H216+I254*I216+J254*J216+K254*K216+L254*L216+M254*M216+N254*N216+O254*O216+P254*P216+Q254*Q216+R254*R216+S254*S216+T254*T216+U254*U216+V254*V216+W254*W216+X254*X216+Y254*Y216+Z254*Z216+AA254*AA216+AB254*AB216+AC254*AC216+AD254*AD216+AE254*AE216+AF254*AF216+AG254*AG216+AH254*AH216+AI254*AI216+AJ254*AJ216+AK254*AK216+AL254*AL216+AM254*AM216+AN254*AN216+AO254*AO216+AP254*AP216+AQ254*AQ216+AR254*AR216+AS254*AS216+AT254*AT216+AU254*AU216+AV254*AV216+AW254*AW216+AX254*AX216+AY254*AY216+AZ254*AZ216+BA254*BA216+BB254*BB216+BC254*BC216+BD254*BD216+BE254*BE216+BF254*BF216+BG254*BG216+BH254*BH216+BI254*BI216+BJ254*BJ216+BK254*BK216+BL254*BL216+BM254*BM216+BN254*BN216+BO254*BO216+BP254*BP216+BQ254*BQ216+BR254*BR216+BS254*BS216+BT254*BT216+BU254*BU216+BV254*BV216+BW254*BW216+BX254*BX216+BY254*BY216+BZ254*BZ216+CA254*CA216+CB254*CB216+CC254*CC216+CD254*CD216+CE254*CE216+CF254*CF216+CG254*CG216+CH254*CH216+CI254*CI216+CJ254*CJ216+CK254*CK216+CL254*CL216+CM254*CM216+CN254*CN216</f>
        <v>0</v>
      </c>
      <c r="CX216" s="2652">
        <f>E255*E216+F255*F216+G255*G216+H255*H216+I255*I216+J255*J216+K255*K216+L255*L216+M255*M216+N255*N216+O255*O216+P255*P216+Q255*Q216+R255*R216+S255*S216+T255*T216+U255*U216+V255*V216+W255*W216+X255*X216+Y255*Y216+Z255*Z216+AA255*AA216+AB255*AB216+AC255*AC216+AD255*AD216+AE255*AE216+AF255*AF216+AG255*AG216+AH255*AH216+AI255*AI216+AJ255*AJ216+AK255*AK216+AL255*AL216+AM255*AM216+AN255*AN216+AO255*AO216+AP255*AP216+AQ255*AQ216+AR255*AR216+AS255*AS216+AT255*AT216+AU255*AU216+AV255*AV216+AW255*AW216+AX255*AX216+AY255*AY216+AZ255*AZ216+BA255*BA216+BB255*BB216+BC255*BC216+BD255*BD216+BE255*BE216+BF255*BF216+BG255*BG216+BH255*BH216+BI255*BI216+BJ255*BJ216+BK255*BK216+BL255*BL216+BM255*BM216+BN255*BN216+BO255*BO216+BP255*BP216+BQ255*BQ216+BR255*BR216+BS255*BS216+BT255*BT216+BU255*BU216+BV255*BV216+BW255*BW216+BX255*BX216+BY255*BY216+BZ255*BZ216+CA255*CA216+CB255*CB216+CC255*CC216+CD255*CD216+CE255*CE216+CF255*CF216+CG255*CG216+CH255*CH216+CI255*CI216+CJ255*CJ216+CK255*CK216+CL255*CL216+CM255*CM216+CN255*CN216</f>
        <v>0</v>
      </c>
      <c r="CY216" s="2652">
        <f>E256*E216+F256*F216+G256*G216+H256*H216+I256*I216+J256*J216+K256*K216+L256*L216+M256*M216+N256*N216+O256*O216+P256*P216+Q256*Q216+R256*R216+S256*S216+T256*T216+U256*U216+V256*V216+W256*W216+X256*X216+Y256*Y216+Z256*Z216+AA256*AA216+AB256*AB216+AC256*AC216+AD256*AD216+AE256*AE216+AF256*AF216+AG256*AG216+AH256*AH216+AI256*AI216+AJ256*AJ216+AK256*AK216+AL256*AL216+AM256*AM216+AN256*AN216+AO256*AO216+AP256*AP216+AQ256*AQ216+AR256*AR216+AS256*AS216+AT256*AT216+AU256*AU216+AV256*AV216+AW256*AW216+AX256*AX216+AY256*AY216+AZ256*AZ216+BA256*BA216+BB256*BB216+BC256*BC216+BD256*BD216+BE256*BE216+BF256*BF216+BG256*BG216+BH256*BH216+BI256*BI216+BJ256*BJ216+BK256*BK216+BL256*BL216+BM256*BM216+BN256*BN216+BO256*BO216+BP256*BP216+BQ256*BQ216+BR256*BR216+BS256*BS216+BT256*BT216+BU256*BU216+BV256*BV216+BW256*BW216+BX256*BX216+BY256*BY216+BZ256*BZ216+CA256*CA216+CB256*CB216+CC256*CC216+CD256*CD216+CE256*CE216+CF256*CF216+CG256*CG216+CH256*CH216+CI256*CI216+CJ256*CJ216+CK256*CK216+CL256*CL216+CM256*CM216+CN256*CN216</f>
        <v>0</v>
      </c>
      <c r="CZ216" s="2652">
        <f>E257*E216+F257*F216+G257*G216+H257*H216+I257*I216+J257*J216+K257*K216+L257*L216+M257*M216+N257*N216+O257*O216+P257*P216+Q257*Q216+R257*R216+S257*S216+T257*T216+U257*U216+V257*V216+W257*W216+X257*X216+Y257*Y216+Z257*Z216+AA257*AA216+AB257*AB216+AC257*AC216+AD257*AD216+AE257*AE216+AF257*AF216+AG257*AG216+AH257*AH216+AI257*AI216+AJ257*AJ216+AK257*AK216+AL257*AL216+AM257*AM216+AN257*AN216+AO257*AO216+AP257*AP216+AQ257*AQ216+AR257*AR216+AS257*AS216+AT257*AT216+AU257*AU216+AV257*AV216+AW257*AW216+AX257*AX216+AY257*AY216+AZ257*AZ216+BA257*BA216+BB257*BB216+BC257*BC216+BD257*BD216+BE257*BE216+BF257*BF216+BG257*BG216+BH257*BH216+BI257*BI216+BJ257*BJ216+BK257*BK216+BL257*BL216+BM257*BM216+BN257*BN216+BO257*BO216+BP257*BP216+BQ257*BQ216+BR257*BR216+BS257*BS216+BT257*BT216+BU257*BU216+BV257*BV216+BW257*BW216+BX257*BX216+BY257*BY216+BZ257*BZ216+CA257*CA216+CB257*CB216+CC257*CC216+CD257*CD216+CE257*CE216+CF257*CF216+CG257*CG216+CH257*CH216+CI257*CI216+CJ257*CJ216+CK257*CK216+CL257*CL216+CM257*CM216+CN257*CN216</f>
        <v>-3.9999999999999999E-48</v>
      </c>
      <c r="DA216" s="2652">
        <f>E258*E216+F258*F216+G258*G216+H258*H216+I258*I216+J258*J216+K258*K216+L258*L216+M258*M216+N258*N216+O258*O216+P258*P216+Q258*Q216+R258*R216+S258*S216+T258*T216+U258*U216+V258*V216+W258*W216+X258*X216+Y258*Y216+Z258*Z216+AA258*AA216+AB258*AB216+AC258*AC216+AD258*AD216+AE258*AE216+AF258*AF216+AG258*AG216+AH258*AH216+AI258*AI216+AJ258*AJ216+AK258*AK216+AL258*AL216+AM258*AM216+AN258*AN216+AO258*AO216+AP258*AP216+AQ258*AQ216+AR258*AR216+AS258*AS216+AT258*AT216+AU258*AU216+AV258*AV216+AW258*AW216+AX258*AX216+AY258*AY216+AZ258*AZ216+BA258*BA216+BB258*BB216+BC258*BC216+BD258*BD216+BE258*BE216+BF258*BF216+BG258*BG216+BH258*BH216+BI258*BI216+BJ258*BJ216+BK258*BK216+BL258*BL216+BM258*BM216+BN258*BN216+BO258*BO216+BP258*BP216+BQ258*BQ216+BR258*BR216+BS258*BS216+BT258*BT216+BU258*BU216+BV258*BV216+BW258*BW216+BX258*BX216+BY258*BY216+BZ258*BZ216+CA258*CA216+CB258*CB216+CC258*CC216+CD258*CD216+CE258*CE216+CF258*CF216+CG258*CG216+CH258*CH216+CI258*CI216+CJ258*CJ216+CK258*CK216+CL258*CL216+CM258*CM216+CN258*CN216</f>
        <v>0</v>
      </c>
    </row>
    <row r="217" spans="2:105" ht="18" x14ac:dyDescent="0.25">
      <c r="B217" s="2179">
        <v>84</v>
      </c>
      <c r="C217" s="2180" t="s">
        <v>2951</v>
      </c>
      <c r="D217" s="856" t="s">
        <v>1697</v>
      </c>
      <c r="E217" s="2697">
        <f>0</f>
        <v>0</v>
      </c>
      <c r="F217" s="2697">
        <f>0</f>
        <v>0</v>
      </c>
      <c r="G217" s="2697">
        <f>0</f>
        <v>0</v>
      </c>
      <c r="H217" s="2697">
        <f>0</f>
        <v>0</v>
      </c>
      <c r="I217" s="2697">
        <f>0</f>
        <v>0</v>
      </c>
      <c r="J217" s="2697">
        <f>0</f>
        <v>0</v>
      </c>
      <c r="K217" s="2721">
        <f>0</f>
        <v>0</v>
      </c>
      <c r="L217" s="2697">
        <f>0</f>
        <v>0</v>
      </c>
      <c r="M217" s="2697">
        <f>0</f>
        <v>0</v>
      </c>
      <c r="N217" s="2697">
        <f>0</f>
        <v>0</v>
      </c>
      <c r="O217" s="2697">
        <f>0</f>
        <v>0</v>
      </c>
      <c r="P217" s="2697">
        <f>0</f>
        <v>0</v>
      </c>
      <c r="Q217" s="2697">
        <f>0</f>
        <v>0</v>
      </c>
      <c r="R217" s="2697">
        <f>0</f>
        <v>0</v>
      </c>
      <c r="S217" s="2697">
        <f>0</f>
        <v>0</v>
      </c>
      <c r="T217" s="2696">
        <f>0</f>
        <v>0</v>
      </c>
      <c r="U217" s="2696">
        <f>0</f>
        <v>0</v>
      </c>
      <c r="V217" s="2697">
        <f>0</f>
        <v>0</v>
      </c>
      <c r="W217" s="2697">
        <f>0</f>
        <v>0</v>
      </c>
      <c r="X217" s="2697">
        <f>0</f>
        <v>0</v>
      </c>
      <c r="Y217" s="2697">
        <f>0</f>
        <v>0</v>
      </c>
      <c r="Z217" s="2697">
        <f>0</f>
        <v>0</v>
      </c>
      <c r="AA217" s="2697">
        <f>0</f>
        <v>0</v>
      </c>
      <c r="AB217" s="2697">
        <f>0</f>
        <v>0</v>
      </c>
      <c r="AC217" s="2721">
        <f>0</f>
        <v>0</v>
      </c>
      <c r="AD217" s="2697">
        <f>0</f>
        <v>0</v>
      </c>
      <c r="AE217" s="2697">
        <f>0</f>
        <v>0</v>
      </c>
      <c r="AF217" s="2697">
        <f>0</f>
        <v>0</v>
      </c>
      <c r="AG217" s="2697">
        <f>0</f>
        <v>0</v>
      </c>
      <c r="AH217" s="2697">
        <f>0</f>
        <v>0</v>
      </c>
      <c r="AI217" s="2697">
        <f>0</f>
        <v>0</v>
      </c>
      <c r="AJ217" s="2721">
        <f>0</f>
        <v>0</v>
      </c>
      <c r="AK217" s="2697">
        <f>0</f>
        <v>0</v>
      </c>
      <c r="AL217" s="2696">
        <f>0</f>
        <v>0</v>
      </c>
      <c r="AM217" s="2697">
        <f>0</f>
        <v>0</v>
      </c>
      <c r="AN217" s="2697">
        <f>0</f>
        <v>0</v>
      </c>
      <c r="AO217" s="2697">
        <f>0</f>
        <v>0</v>
      </c>
      <c r="AP217" s="2721">
        <f>0</f>
        <v>0</v>
      </c>
      <c r="AQ217" s="2697">
        <f>0</f>
        <v>0</v>
      </c>
      <c r="AR217" s="2696">
        <f>-E_EQFe2</f>
        <v>-0.14325364849136002</v>
      </c>
      <c r="AS217" s="2697">
        <f>0</f>
        <v>0</v>
      </c>
      <c r="AT217" s="2697">
        <f>0</f>
        <v>0</v>
      </c>
      <c r="AU217" s="2696">
        <f>0</f>
        <v>0</v>
      </c>
      <c r="AV217" s="2697">
        <f>0</f>
        <v>0</v>
      </c>
      <c r="AW217" s="2697">
        <f>0</f>
        <v>0</v>
      </c>
      <c r="AX217" s="2697">
        <f>0</f>
        <v>0</v>
      </c>
      <c r="AY217" s="2697">
        <f>0</f>
        <v>0</v>
      </c>
      <c r="AZ217" s="2697">
        <f>0</f>
        <v>0</v>
      </c>
      <c r="BA217" s="2697">
        <f>0</f>
        <v>0</v>
      </c>
      <c r="BB217" s="2696">
        <f>-1</f>
        <v>-1</v>
      </c>
      <c r="BC217" s="2697">
        <f>1</f>
        <v>1</v>
      </c>
      <c r="BD217" s="2697">
        <f>0</f>
        <v>0</v>
      </c>
      <c r="BE217" s="2697">
        <f>0</f>
        <v>0</v>
      </c>
      <c r="BF217" s="2696">
        <f>0</f>
        <v>0</v>
      </c>
      <c r="BG217" s="2697">
        <f>0</f>
        <v>0</v>
      </c>
      <c r="BH217" s="2696">
        <f>0</f>
        <v>0</v>
      </c>
      <c r="BI217" s="2696">
        <f>0</f>
        <v>0</v>
      </c>
      <c r="BJ217" s="2780">
        <f>0</f>
        <v>0</v>
      </c>
      <c r="BK217" s="2780">
        <f>0</f>
        <v>0</v>
      </c>
      <c r="BL217" s="2780">
        <f>0</f>
        <v>0</v>
      </c>
      <c r="BM217" s="2780">
        <f>0</f>
        <v>0</v>
      </c>
      <c r="BN217" s="2780">
        <f>0</f>
        <v>0</v>
      </c>
      <c r="BO217" s="2780">
        <f>0</f>
        <v>0</v>
      </c>
      <c r="BP217" s="2780">
        <f>0</f>
        <v>0</v>
      </c>
      <c r="BQ217" s="2696">
        <f>0</f>
        <v>0</v>
      </c>
      <c r="BR217" s="2696">
        <f>0</f>
        <v>0</v>
      </c>
      <c r="BS217" s="2780">
        <f>0</f>
        <v>0</v>
      </c>
      <c r="BT217" s="2696">
        <f>0</f>
        <v>0</v>
      </c>
      <c r="BU217" s="2696">
        <f>0</f>
        <v>0</v>
      </c>
      <c r="BV217" s="2791">
        <f>0</f>
        <v>0</v>
      </c>
      <c r="BW217" s="2791">
        <f>0</f>
        <v>0</v>
      </c>
      <c r="BX217" s="2791">
        <f>0</f>
        <v>0</v>
      </c>
      <c r="BY217" s="2791">
        <f>0</f>
        <v>0</v>
      </c>
      <c r="BZ217" s="2696">
        <f>0</f>
        <v>0</v>
      </c>
      <c r="CA217" s="2696">
        <f>0</f>
        <v>0</v>
      </c>
      <c r="CB217" s="2810">
        <f>0</f>
        <v>0</v>
      </c>
      <c r="CC217" s="2696">
        <f>0</f>
        <v>0</v>
      </c>
      <c r="CD217" s="2696">
        <f>0</f>
        <v>0</v>
      </c>
      <c r="CE217" s="2696">
        <f>0</f>
        <v>0</v>
      </c>
      <c r="CF217" s="2696">
        <f>0</f>
        <v>0</v>
      </c>
      <c r="CG217" s="2696">
        <f>0</f>
        <v>0</v>
      </c>
      <c r="CH217" s="2696">
        <f>0</f>
        <v>0</v>
      </c>
      <c r="CI217" s="2696">
        <f>0</f>
        <v>0</v>
      </c>
      <c r="CJ217" s="2696">
        <f>0</f>
        <v>0</v>
      </c>
      <c r="CK217" s="2696">
        <f>0</f>
        <v>0</v>
      </c>
      <c r="CL217" s="2696">
        <f>0</f>
        <v>0</v>
      </c>
      <c r="CM217" s="2696">
        <f>0</f>
        <v>0</v>
      </c>
      <c r="CN217" s="2696">
        <f>0</f>
        <v>0</v>
      </c>
      <c r="CO217" s="2842">
        <f>q_Fe2_OX_T*S_Fe2*M_satSO2_KO2_OHO</f>
        <v>4.6511627906976739E-49</v>
      </c>
      <c r="CQ217" s="2650">
        <f>E248*E217+F248*F217+G248*G217+H248*H217+I248*I217+J248*J217+K248*K217+L248*L217+M248*M217+N248*N217+O248*O217+P248*P217+Q248*Q217+R248*R217+S248*S217+T248*T217+U248*U217+V248*V217+W248*W217+X248*X217+Y248*Y217+Z248*Z217+AA248*AA217+AB248*AB217+AC248*AC217+AD248*AD217+AE248*AE217+AF248*AF217+AG248*AG217+AH248*AH217+AI248*AI217+AJ248*AJ217+AK248*AK217+AL248*AL217+AM248*AM217+AN248*AN217+AO248*AO217+AP248*AP217+AQ248*AQ217+AR248*AR217+AS248*AS217+AT248*AT217+AU248*AU217+AV248*AV217+AW248*AW217+AX248*AX217+AY248*AY217+AZ248*AZ217+BA248*BA217+BB248*BB217+BC248*BC217+BD248*BD217+BE248*BE217+BF248*BF217+BG248*BG217+BH248*BH217+BI248*BI217+BJ248*BJ217+BK248*BK217+BL248*BL217+BM248*BM217+BN248*BN217+BO248*BO217+BP248*BP217+BQ248*BQ217+BR248*BR217+BS248*BS217+BT248*BT217+BU248*BU217+BV248*BV217+BW248*BW217+BX248*BX217+BY248*BY217+BZ248*BZ217+CA248*CA217+CB248*CB217+CC248*CC217+CD248*CD217+CE248*CE217+CF248*CF217+CG248*CG217+CH248*CH217+CI248*CI217+CJ248*CJ217+CK248*CK217+CL248*CL217+CM248*CM217+CN248*CN217</f>
        <v>0</v>
      </c>
      <c r="CR217" s="2650">
        <f>E249*E217+F249*F217+G249*G217+H249*H217+I249*I217+J249*J217+K249*K217+L249*L217+M249*M217+N249*N217+O249*O217+P249*P217+Q249*Q217+R249*R217+S249*S217+T249*T217+U249*U217+V249*V217+W249*W217+X249*X217+Y249*Y217+Z249*Z217+AA249*AA217+AB249*AB217+AC249*AC217+AD249*AD217+AE249*AE217+AF249*AF217+AG249*AG217+AH249*AH217+AI249*AI217+AJ249*AJ217+AK249*AK217+AL249*AL217+AM249*AM217+AN249*AN217+AO249*AO217+AP249*AP217+AQ249*AQ217+AR249*AR217+AS249*AS217+AT249*AT217+AU249*AU217+AV249*AV217+AW249*AW217+AX249*AX217+AY249*AY217+AZ249*AZ217+BA249*BA217+BB249*BB217+BC249*BC217+BD249*BD217+BE249*BE217+BF249*BF217+BG249*BG217+BH249*BH217+BI249*BI217+BJ249*BJ217+BK249*BK217+BL249*BL217+BM249*BM217+BN249*BN217+BO249*BO217+BP249*BP217+BQ249*BQ217+BR249*BR217+BS249*BS217+BT249*BT217+BU249*BU217+BV249*BV217+BW249*BW217+BX249*BX217+BY249*BY217+BZ249*BZ217+CA249*CA217+CB249*CB217+CC249*CC217+CD249*CD217+CE249*CE217+CF249*CF217+CG249*CG217+CH249*CH217+CI249*CI217+CJ249*CJ217+CK249*CK217+CL249*CL217+CM249*CM217+CN249*CN217</f>
        <v>0</v>
      </c>
      <c r="CS217" s="2651">
        <f>E250*E217+F250*F217+G250*G217+H250*H217+I250*I217+J250*J217+K250*K217+L250*L217+M250*M217+N250*N217+O250*O217+P250*P217+Q250*Q217+R250*R217+S250*S217+T250*T217+U250*U217+V250*V217+W250*W217+X250*X217+Y250*Y217+Z250*Z217+AA250*AA217+AB250*AB217+AC250*AC217+AD250*AD217+AE250*AE217+AF250*AF217+AG250*AG217+AH250*AH217+AI250*AI217+AJ250*AJ217+AK250*AK217+AL250*AL217+AM250*AM217+AN250*AN217+AO250*AO217+AP250*AP217+AQ250*AQ217+AR250*AR217+AS250*AS217+AT250*AT217+AU250*AU217+AV250*AV217+AW250*AW217+AX250*AX217+AY250*AY217+AZ250*AZ217+BA250*BA217+BB250*BB217+BC250*BC217+BD250*BD217+BE250*BE217+BF250*BF217+BG250*BG217+BH250*BH217+BI250*BI217+BJ250*BJ217+BK250*BK217+BL250*BL217+BM250*BM217+BN250*BN217+BO250*BO217+BP250*BP217+BQ250*BQ217+BR250*BR217+BS250*BS217+BT250*BT217+BU250*BU217+BV250*BV217+BW250*BW217+BX250*BX217+BY250*BY217+BZ250*BZ217+CA250*CA217+CB250*CB217+CC250*CC217+CD250*CD217+CE250*CE217+CF250*CF217+CG250*CG217+CH250*CH217+CI250*CI217+CJ250*CJ217+CK250*CK217+CL250*CL217+CM250*CM217+CN250*CN217</f>
        <v>0</v>
      </c>
      <c r="CT217" s="2652">
        <f>E251*E217+F251*F217+G251*G217+H251*H217+I251*I217+J251*J217+K251*K217+L251*L217+M251*M217+N251*N217+O251*O217+P251*P217+Q251*Q217+R251*R217+S251*S217+T251*T217+U251*U217+V251*V217+W251*W217+X251*X217+Y251*Y217+Z251*Z217+AA251*AA217+AB251*AB217+AC251*AC217+AD251*AD217+AE251*AE217+AF251*AF217+AG251*AG217+AH251*AH217+AI251*AI217+AJ251*AJ217+AK251*AK217+AL251*AL217+AM251*AM217+AN251*AN217+AO251*AO217+AP251*AP217+AQ251*AQ217+AR251*AR217+AS251*AS217+AT251*AT217+AU251*AU217+AV251*AV217+AW251*AW217+AX251*AX217+AY251*AY217+AZ251*AZ217+BA251*BA217+BB251*BB217+BC251*BC217+BD251*BD217+BE251*BE217+BF251*BF217+BG251*BG217+BH251*BH217+BI251*BI217+BJ251*BJ217+BK251*BK217+BL251*BL217+BM251*BM217+BN251*BN217+BO251*BO217+BP251*BP217+BQ251*BQ217+BR251*BR217+BS251*BS217+BT251*BT217+BU251*BU217+BV251*BV217+BW251*BW217+BX251*BX217+BY251*BY217+BZ251*BZ217+CA251*CA217+CB251*CB217+CC251*CC217+CD251*CD217+CE251*CE217+CF251*CF217+CG251*CG217+CH251*CH217+CI251*CI217+CJ251*CJ217+CK251*CK217+CL251*CL217+CM251*CM217+CN251*CN217</f>
        <v>0</v>
      </c>
      <c r="CU217" s="2652">
        <f>E252*E217+F252*F217+G252*G217+H252*H217+I252*I217+J252*J217+K252*K217+L252*L217+M252*M217+N252*N217+O252*O217+P252*P217+Q252*Q217+R252*R217+S252*S217+T252*T217+U252*U217+V252*V217+W252*W217+X252*X217+Y252*Y217+Z252*Z217+AA252*AA217+AB252*AB217+AC252*AC217+AD252*AD217+AE252*AE217+AF252*AF217+AG252*AG217+AH252*AH217+AI252*AI217+AJ252*AJ217+AK252*AK217+AL252*AL217+AM252*AM217+AN252*AN217+AO252*AO217+AP252*AP217+AQ252*AQ217+AR252*AR217+AS252*AS217+AT252*AT217+AU252*AU217+AV252*AV217+AW252*AW217+AX252*AX217+AY252*AY217+AZ252*AZ217+BA252*BA217+BB252*BB217+BC252*BC217+BD252*BD217+BE252*BE217+BF252*BF217+BG252*BG217+BH252*BH217+BI252*BI217+BJ252*BJ217+BK252*BK217+BL252*BL217+BM252*BM217+BN252*BN217+BO252*BO217+BP252*BP217+BQ252*BQ217+BR252*BR217+BS252*BS217+BT252*BT217+BU252*BU217+BV252*BV217+BW252*BW217+BX252*BX217+BY252*BY217+BZ252*BZ217+CA252*CA217+CB252*CB217+CC252*CC217+CD252*CD217+CE252*CE217+CF252*CF217+CG252*CG217+CH252*CH217+CI252*CI217+CJ252*CJ217+CK252*CK217+CL252*CL217+CM252*CM217+CN252*CN217</f>
        <v>0</v>
      </c>
      <c r="CV217" s="2652">
        <f>E253*E217+F253*F217+G253*G217+H253*H217+I253*I217+J253*J217+K253*K217+L253*L217+M253*M217+N253*N217+O253*O217+P253*P217+Q253*Q217+R253*R217+S253*S217+T253*T217+U253*U217+V253*V217+W253*W217+X253*X217+Y253*Y217+Z253*Z217+AA253*AA217+AB253*AB217+AC253*AC217+AD253*AD217+AE253*AE217+AF253*AF217+AG253*AG217+AH253*AH217+AI253*AI217+AJ253*AJ217+AK253*AK217+AL253*AL217+AM253*AM217+AN253*AN217+AO253*AO217+AP253*AP217+AQ253*AQ217+AR253*AR217+AS253*AS217+AT253*AT217+AU253*AU217+AV253*AV217+AW253*AW217+AX253*AX217+AY253*AY217+AZ253*AZ217+BA253*BA217+BB253*BB217+BC253*BC217+BD253*BD217+BE253*BE217+BF253*BF217+BG253*BG217+BH253*BH217+BI253*BI217+BJ253*BJ217+BK253*BK217+BL253*BL217+BM253*BM217+BN253*BN217+BO253*BO217+BP253*BP217+BQ253*BQ217+BR253*BR217+BS253*BS217+BT253*BT217+BU253*BU217+BV253*BV217+BW253*BW217+BX253*BX217+BY253*BY217+BZ253*BZ217+CA253*CA217+CB253*CB217+CC253*CC217+CD253*CD217+CE253*CE217+CF253*CF217+CG253*CG217+CH253*CH217+CI253*CI217+CJ253*CJ217+CK253*CK217+CL253*CL217+CM253*CM217+CN253*CN217</f>
        <v>0</v>
      </c>
      <c r="CW217" s="2652">
        <f>E254*E217+F254*F217+G254*G217+H254*H217+I254*I217+J254*J217+K254*K217+L254*L217+M254*M217+N254*N217+O254*O217+P254*P217+Q254*Q217+R254*R217+S254*S217+T254*T217+U254*U217+V254*V217+W254*W217+X254*X217+Y254*Y217+Z254*Z217+AA254*AA217+AB254*AB217+AC254*AC217+AD254*AD217+AE254*AE217+AF254*AF217+AG254*AG217+AH254*AH217+AI254*AI217+AJ254*AJ217+AK254*AK217+AL254*AL217+AM254*AM217+AN254*AN217+AO254*AO217+AP254*AP217+AQ254*AQ217+AR254*AR217+AS254*AS217+AT254*AT217+AU254*AU217+AV254*AV217+AW254*AW217+AX254*AX217+AY254*AY217+AZ254*AZ217+BA254*BA217+BB254*BB217+BC254*BC217+BD254*BD217+BE254*BE217+BF254*BF217+BG254*BG217+BH254*BH217+BI254*BI217+BJ254*BJ217+BK254*BK217+BL254*BL217+BM254*BM217+BN254*BN217+BO254*BO217+BP254*BP217+BQ254*BQ217+BR254*BR217+BS254*BS217+BT254*BT217+BU254*BU217+BV254*BV217+BW254*BW217+BX254*BX217+BY254*BY217+BZ254*BZ217+CA254*CA217+CB254*CB217+CC254*CC217+CD254*CD217+CE254*CE217+CF254*CF217+CG254*CG217+CH254*CH217+CI254*CI217+CJ254*CJ217+CK254*CK217+CL254*CL217+CM254*CM217+CN254*CN217</f>
        <v>0</v>
      </c>
      <c r="CX217" s="2652">
        <f>E255*E217+F255*F217+G255*G217+H255*H217+I255*I217+J255*J217+K255*K217+L255*L217+M255*M217+N255*N217+O255*O217+P255*P217+Q255*Q217+R255*R217+S255*S217+T255*T217+U255*U217+V255*V217+W255*W217+X255*X217+Y255*Y217+Z255*Z217+AA255*AA217+AB255*AB217+AC255*AC217+AD255*AD217+AE255*AE217+AF255*AF217+AG255*AG217+AH255*AH217+AI255*AI217+AJ255*AJ217+AK255*AK217+AL255*AL217+AM255*AM217+AN255*AN217+AO255*AO217+AP255*AP217+AQ255*AQ217+AR255*AR217+AS255*AS217+AT255*AT217+AU255*AU217+AV255*AV217+AW255*AW217+AX255*AX217+AY255*AY217+AZ255*AZ217+BA255*BA217+BB255*BB217+BC255*BC217+BD255*BD217+BE255*BE217+BF255*BF217+BG255*BG217+BH255*BH217+BI255*BI217+BJ255*BJ217+BK255*BK217+BL255*BL217+BM255*BM217+BN255*BN217+BO255*BO217+BP255*BP217+BQ255*BQ217+BR255*BR217+BS255*BS217+BT255*BT217+BU255*BU217+BV255*BV217+BW255*BW217+BX255*BX217+BY255*BY217+BZ255*BZ217+CA255*CA217+CB255*CB217+CC255*CC217+CD255*CD217+CE255*CE217+CF255*CF217+CG255*CG217+CH255*CH217+CI255*CI217+CJ255*CJ217+CK255*CK217+CL255*CL217+CM255*CM217+CN255*CN217</f>
        <v>0</v>
      </c>
      <c r="CY217" s="2652">
        <f>E256*E217+F256*F217+G256*G217+H256*H217+I256*I217+J256*J217+K256*K217+L256*L217+M256*M217+N256*N217+O256*O217+P256*P217+Q256*Q217+R256*R217+S256*S217+T256*T217+U256*U217+V256*V217+W256*W217+X256*X217+Y256*Y217+Z256*Z217+AA256*AA217+AB256*AB217+AC256*AC217+AD256*AD217+AE256*AE217+AF256*AF217+AG256*AG217+AH256*AH217+AI256*AI217+AJ256*AJ217+AK256*AK217+AL256*AL217+AM256*AM217+AN256*AN217+AO256*AO217+AP256*AP217+AQ256*AQ217+AR256*AR217+AS256*AS217+AT256*AT217+AU256*AU217+AV256*AV217+AW256*AW217+AX256*AX217+AY256*AY217+AZ256*AZ217+BA256*BA217+BB256*BB217+BC256*BC217+BD256*BD217+BE256*BE217+BF256*BF217+BG256*BG217+BH256*BH217+BI256*BI217+BJ256*BJ217+BK256*BK217+BL256*BL217+BM256*BM217+BN256*BN217+BO256*BO217+BP256*BP217+BQ256*BQ217+BR256*BR217+BS256*BS217+BT256*BT217+BU256*BU217+BV256*BV217+BW256*BW217+BX256*BX217+BY256*BY217+BZ256*BZ217+CA256*CA217+CB256*CB217+CC256*CC217+CD256*CD217+CE256*CE217+CF256*CF217+CG256*CG217+CH256*CH217+CI256*CI217+CJ256*CJ217+CK256*CK217+CL256*CL217+CM256*CM217+CN256*CN217</f>
        <v>0</v>
      </c>
      <c r="CZ217" s="2652">
        <f>E257*E217+F257*F217+G257*G217+H257*H217+I257*I217+J257*J217+K257*K217+L257*L217+M257*M217+N257*N217+O257*O217+P257*P217+Q257*Q217+R257*R217+S257*S217+T257*T217+U257*U217+V257*V217+W257*W217+X257*X217+Y257*Y217+Z257*Z217+AA257*AA217+AB257*AB217+AC257*AC217+AD257*AD217+AE257*AE217+AF257*AF217+AG257*AG217+AH257*AH217+AI257*AI217+AJ257*AJ217+AK257*AK217+AL257*AL217+AM257*AM217+AN257*AN217+AO257*AO217+AP257*AP217+AQ257*AQ217+AR257*AR217+AS257*AS217+AT257*AT217+AU257*AU217+AV257*AV217+AW257*AW217+AX257*AX217+AY257*AY217+AZ257*AZ217+BA257*BA217+BB257*BB217+BC257*BC217+BD257*BD217+BE257*BE217+BF257*BF217+BG257*BG217+BH257*BH217+BI257*BI217+BJ257*BJ217+BK257*BK217+BL257*BL217+BM257*BM217+BN257*BN217+BO257*BO217+BP257*BP217+BQ257*BQ217+BR257*BR217+BS257*BS217+BT257*BT217+BU257*BU217+BV257*BV217+BW257*BW217+BX257*BX217+BY257*BY217+BZ257*BZ217+CA257*CA217+CB257*CB217+CC257*CC217+CD257*CD217+CE257*CE217+CF257*CF217+CG257*CG217+CH257*CH217+CI257*CI217+CJ257*CJ217+CK257*CK217+CL257*CL217+CM257*CM217+CN257*CN217</f>
        <v>0</v>
      </c>
      <c r="DA217" s="2652">
        <f>E258*E217+F258*F217+G258*G217+H258*H217+I258*I217+J258*J217+K258*K217+L258*L217+M258*M217+N258*N217+O258*O217+P258*P217+Q258*Q217+R258*R217+S258*S217+T258*T217+U258*U217+V258*V217+W258*W217+X258*X217+Y258*Y217+Z258*Z217+AA258*AA217+AB258*AB217+AC258*AC217+AD258*AD217+AE258*AE217+AF258*AF217+AG258*AG217+AH258*AH217+AI258*AI217+AJ258*AJ217+AK258*AK217+AL258*AL217+AM258*AM217+AN258*AN217+AO258*AO217+AP258*AP217+AQ258*AQ217+AR258*AR217+AS258*AS217+AT258*AT217+AU258*AU217+AV258*AV217+AW258*AW217+AX258*AX217+AY258*AY217+AZ258*AZ217+BA258*BA217+BB258*BB217+BC258*BC217+BD258*BD217+BE258*BE217+BF258*BF217+BG258*BG217+BH258*BH217+BI258*BI217+BJ258*BJ217+BK258*BK217+BL258*BL217+BM258*BM217+BN258*BN217+BO258*BO217+BP258*BP217+BQ258*BQ217+BR258*BR217+BS258*BS217+BT258*BT217+BU258*BU217+BV258*BV217+BW258*BW217+BX258*BX217+BY258*BY217+BZ258*BZ217+CA258*CA217+CB258*CB217+CC258*CC217+CD258*CD217+CE258*CE217+CF258*CF217+CG258*CG217+CH258*CH217+CI258*CI217+CJ258*CJ217+CK258*CK217+CL258*CL217+CM258*CM217+CN258*CN217</f>
        <v>0</v>
      </c>
    </row>
    <row r="218" spans="2:105" ht="18" x14ac:dyDescent="0.25">
      <c r="B218" s="2181">
        <v>85</v>
      </c>
      <c r="C218" s="2182" t="s">
        <v>2952</v>
      </c>
      <c r="D218" s="1408" t="s">
        <v>4310</v>
      </c>
      <c r="E218" s="2698">
        <f>0</f>
        <v>0</v>
      </c>
      <c r="F218" s="2698">
        <f>0</f>
        <v>0</v>
      </c>
      <c r="G218" s="2698">
        <f>0</f>
        <v>0</v>
      </c>
      <c r="H218" s="2698">
        <f>0</f>
        <v>0</v>
      </c>
      <c r="I218" s="2698">
        <f>0</f>
        <v>0</v>
      </c>
      <c r="J218" s="2698">
        <f>0</f>
        <v>0</v>
      </c>
      <c r="K218" s="2693">
        <f>0</f>
        <v>0</v>
      </c>
      <c r="L218" s="2698">
        <f>0</f>
        <v>0</v>
      </c>
      <c r="M218" s="2698">
        <f>0</f>
        <v>0</v>
      </c>
      <c r="N218" s="2698">
        <f>0</f>
        <v>0</v>
      </c>
      <c r="O218" s="2698">
        <f>0</f>
        <v>0</v>
      </c>
      <c r="P218" s="2698">
        <f>0</f>
        <v>0</v>
      </c>
      <c r="Q218" s="2698">
        <f>0</f>
        <v>0</v>
      </c>
      <c r="R218" s="2729">
        <f>0</f>
        <v>0</v>
      </c>
      <c r="S218" s="2698">
        <f>0</f>
        <v>0</v>
      </c>
      <c r="T218" s="2698">
        <f>0</f>
        <v>0</v>
      </c>
      <c r="U218" s="2698">
        <f>0</f>
        <v>0</v>
      </c>
      <c r="V218" s="2698">
        <f>0</f>
        <v>0</v>
      </c>
      <c r="W218" s="2698">
        <f>0</f>
        <v>0</v>
      </c>
      <c r="X218" s="2698">
        <f>0</f>
        <v>0</v>
      </c>
      <c r="Y218" s="2698">
        <f>0</f>
        <v>0</v>
      </c>
      <c r="Z218" s="2698">
        <f>0</f>
        <v>0</v>
      </c>
      <c r="AA218" s="2698">
        <f>0</f>
        <v>0</v>
      </c>
      <c r="AB218" s="2698">
        <f>0</f>
        <v>0</v>
      </c>
      <c r="AC218" s="2693">
        <f>0</f>
        <v>0</v>
      </c>
      <c r="AD218" s="2698">
        <f>0</f>
        <v>0</v>
      </c>
      <c r="AE218" s="2751">
        <f>0</f>
        <v>0</v>
      </c>
      <c r="AF218" s="2698">
        <f>0</f>
        <v>0</v>
      </c>
      <c r="AG218" s="2698">
        <f>0</f>
        <v>0</v>
      </c>
      <c r="AH218" s="2751">
        <f>0</f>
        <v>0</v>
      </c>
      <c r="AI218" s="2698">
        <f>0</f>
        <v>0</v>
      </c>
      <c r="AJ218" s="2693">
        <f>0</f>
        <v>0</v>
      </c>
      <c r="AK218" s="2729">
        <f>0</f>
        <v>0</v>
      </c>
      <c r="AL218" s="2751">
        <f>0</f>
        <v>0</v>
      </c>
      <c r="AM218" s="2698">
        <f>0</f>
        <v>0</v>
      </c>
      <c r="AN218" s="2729">
        <f>0</f>
        <v>0</v>
      </c>
      <c r="AO218" s="2698">
        <f>0</f>
        <v>0</v>
      </c>
      <c r="AP218" s="2693">
        <f>0</f>
        <v>0</v>
      </c>
      <c r="AQ218" s="2698">
        <f>0</f>
        <v>0</v>
      </c>
      <c r="AR218" s="2698">
        <f>0</f>
        <v>0</v>
      </c>
      <c r="AS218" s="2698">
        <f>0</f>
        <v>0</v>
      </c>
      <c r="AT218" s="2698">
        <f>0</f>
        <v>0</v>
      </c>
      <c r="AU218" s="2698">
        <f>0</f>
        <v>0</v>
      </c>
      <c r="AV218" s="2729">
        <f>0</f>
        <v>0</v>
      </c>
      <c r="AW218" s="2698">
        <f>0</f>
        <v>0</v>
      </c>
      <c r="AX218" s="2698">
        <f>0</f>
        <v>0</v>
      </c>
      <c r="AY218" s="2698">
        <f>0</f>
        <v>0</v>
      </c>
      <c r="AZ218" s="2729">
        <f>0</f>
        <v>0</v>
      </c>
      <c r="BA218" s="2698">
        <f>0</f>
        <v>0</v>
      </c>
      <c r="BB218" s="2729">
        <f>0</f>
        <v>0</v>
      </c>
      <c r="BC218" s="2729">
        <f>0</f>
        <v>0</v>
      </c>
      <c r="BD218" s="2760">
        <f>0</f>
        <v>0</v>
      </c>
      <c r="BE218" s="2760">
        <f>0</f>
        <v>0</v>
      </c>
      <c r="BF218" s="2698">
        <f>0</f>
        <v>0</v>
      </c>
      <c r="BG218" s="2760">
        <f>0</f>
        <v>0</v>
      </c>
      <c r="BH218" s="2760">
        <f>0</f>
        <v>0</v>
      </c>
      <c r="BI218" s="2698">
        <f>0</f>
        <v>0</v>
      </c>
      <c r="BJ218" s="2781">
        <f>-X_HAO_H/(X_HAO_H+X_HAO_H_P)</f>
        <v>-0.5</v>
      </c>
      <c r="BK218" s="2781">
        <f>X_HAO_H/(X_HAO_H+X_HAO_H_P)</f>
        <v>0.5</v>
      </c>
      <c r="BL218" s="2698">
        <f>0</f>
        <v>0</v>
      </c>
      <c r="BM218" s="2781">
        <f>-X_HAO_H_P/(X_HAO_H+X_HAO_H_P)</f>
        <v>-0.5</v>
      </c>
      <c r="BN218" s="2698">
        <f>0</f>
        <v>0</v>
      </c>
      <c r="BO218" s="2781">
        <f>X_HAO_H_P/(X_HAO_H+X_HAO_H_P)</f>
        <v>0.5</v>
      </c>
      <c r="BP218" s="2698">
        <f>0</f>
        <v>0</v>
      </c>
      <c r="BQ218" s="2729">
        <f>0</f>
        <v>0</v>
      </c>
      <c r="BR218" s="2729">
        <f>0</f>
        <v>0</v>
      </c>
      <c r="BS218" s="2729">
        <f>0</f>
        <v>0</v>
      </c>
      <c r="BT218" s="2729">
        <f>0</f>
        <v>0</v>
      </c>
      <c r="BU218" s="2729">
        <f>0</f>
        <v>0</v>
      </c>
      <c r="BV218" s="2752">
        <f>0</f>
        <v>0</v>
      </c>
      <c r="BW218" s="2752">
        <f>0</f>
        <v>0</v>
      </c>
      <c r="BX218" s="2752">
        <f>0</f>
        <v>0</v>
      </c>
      <c r="BY218" s="2752">
        <f>0</f>
        <v>0</v>
      </c>
      <c r="BZ218" s="2729">
        <f>0</f>
        <v>0</v>
      </c>
      <c r="CA218" s="2729">
        <f>0</f>
        <v>0</v>
      </c>
      <c r="CB218" s="2811">
        <f>0</f>
        <v>0</v>
      </c>
      <c r="CC218" s="2729">
        <f>0</f>
        <v>0</v>
      </c>
      <c r="CD218" s="2729">
        <f>0</f>
        <v>0</v>
      </c>
      <c r="CE218" s="2729">
        <f>0</f>
        <v>0</v>
      </c>
      <c r="CF218" s="2729">
        <f>0</f>
        <v>0</v>
      </c>
      <c r="CG218" s="2729">
        <f>0</f>
        <v>0</v>
      </c>
      <c r="CH218" s="2729">
        <f>0</f>
        <v>0</v>
      </c>
      <c r="CI218" s="2729">
        <f>0</f>
        <v>0</v>
      </c>
      <c r="CJ218" s="2729">
        <f>0</f>
        <v>0</v>
      </c>
      <c r="CK218" s="2729">
        <f>0</f>
        <v>0</v>
      </c>
      <c r="CL218" s="2729">
        <f>0</f>
        <v>0</v>
      </c>
      <c r="CM218" s="2729">
        <f>0</f>
        <v>0</v>
      </c>
      <c r="CN218" s="2729">
        <f>0</f>
        <v>0</v>
      </c>
      <c r="CO218" s="2843">
        <f>q_HAOH_AGING*(X_HAO_H+X_HAO_H_P)</f>
        <v>1.5E-48</v>
      </c>
      <c r="CQ218" s="2650">
        <f>E248*E218+F248*F218+G248*G218+H248*H218+I248*I218+J248*J218+K248*K218+L248*L218+M248*M218+N248*N218+O248*O218+P248*P218+Q248*Q218+R248*R218+S248*S218+T248*T218+U248*U218+V248*V218+W248*W218+X248*X218+Y248*Y218+Z248*Z218+AA248*AA218+AB248*AB218+AC248*AC218+AD248*AD218+AE248*AE218+AF248*AF218+AG248*AG218+AH248*AH218+AI248*AI218+AJ248*AJ218+AK248*AK218+AL248*AL218+AM248*AM218+AN248*AN218+AO248*AO218+AP248*AP218+AQ248*AQ218+AR248*AR218+AS248*AS218+AT248*AT218+AU248*AU218+AV248*AV218+AW248*AW218+AX248*AX218+AY248*AY218+AZ248*AZ218+BA248*BA218+BB248*BB218+BC248*BC218+BD248*BD218+BE248*BE218+BF248*BF218+BG248*BG218+BH248*BH218+BI248*BI218+BJ248*BJ218+BK248*BK218+BL248*BL218+BM248*BM218+BN248*BN218+BO248*BO218+BP248*BP218+BQ248*BQ218+BR248*BR218+BS248*BS218+BT248*BT218+BU248*BU218+BV248*BV218+BW248*BW218+BX248*BX218+BY248*BY218+BZ248*BZ218+CA248*CA218+CB248*CB218+CC248*CC218+CD248*CD218+CE248*CE218+CF248*CF218+CG248*CG218+CH248*CH218+CI248*CI218+CJ248*CJ218+CK248*CK218+CL248*CL218+CM248*CM218+CN248*CN218</f>
        <v>0</v>
      </c>
      <c r="CR218" s="2650">
        <f>E249*E218+F249*F218+G249*G218+H249*H218+I249*I218+J249*J218+K249*K218+L249*L218+M249*M218+N249*N218+O249*O218+P249*P218+Q249*Q218+R249*R218+S249*S218+T249*T218+U249*U218+V249*V218+W249*W218+X249*X218+Y249*Y218+Z249*Z218+AA249*AA218+AB249*AB218+AC249*AC218+AD249*AD218+AE249*AE218+AF249*AF218+AG249*AG218+AH249*AH218+AI249*AI218+AJ249*AJ218+AK249*AK218+AL249*AL218+AM249*AM218+AN249*AN218+AO249*AO218+AP249*AP218+AQ249*AQ218+AR249*AR218+AS249*AS218+AT249*AT218+AU249*AU218+AV249*AV218+AW249*AW218+AX249*AX218+AY249*AY218+AZ249*AZ218+BA249*BA218+BB249*BB218+BC249*BC218+BD249*BD218+BE249*BE218+BF249*BF218+BG249*BG218+BH249*BH218+BI249*BI218+BJ249*BJ218+BK249*BK218+BL249*BL218+BM249*BM218+BN249*BN218+BO249*BO218+BP249*BP218+BQ249*BQ218+BR249*BR218+BS249*BS218+BT249*BT218+BU249*BU218+BV249*BV218+BW249*BW218+BX249*BX218+BY249*BY218+BZ249*BZ218+CA249*CA218+CB249*CB218+CC249*CC218+CD249*CD218+CE249*CE218+CF249*CF218+CG249*CG218+CH249*CH218+CI249*CI218+CJ249*CJ218+CK249*CK218+CL249*CL218+CM249*CM218+CN249*CN218</f>
        <v>0</v>
      </c>
      <c r="CS218" s="2651">
        <f>E250*E218+F250*F218+G250*G218+H250*H218+I250*I218+J250*J218+K250*K218+L250*L218+M250*M218+N250*N218+O250*O218+P250*P218+Q250*Q218+R250*R218+S250*S218+T250*T218+U250*U218+V250*V218+W250*W218+X250*X218+Y250*Y218+Z250*Z218+AA250*AA218+AB250*AB218+AC250*AC218+AD250*AD218+AE250*AE218+AF250*AF218+AG250*AG218+AH250*AH218+AI250*AI218+AJ250*AJ218+AK250*AK218+AL250*AL218+AM250*AM218+AN250*AN218+AO250*AO218+AP250*AP218+AQ250*AQ218+AR250*AR218+AS250*AS218+AT250*AT218+AU250*AU218+AV250*AV218+AW250*AW218+AX250*AX218+AY250*AY218+AZ250*AZ218+BA250*BA218+BB250*BB218+BC250*BC218+BD250*BD218+BE250*BE218+BF250*BF218+BG250*BG218+BH250*BH218+BI250*BI218+BJ250*BJ218+BK250*BK218+BL250*BL218+BM250*BM218+BN250*BN218+BO250*BO218+BP250*BP218+BQ250*BQ218+BR250*BR218+BS250*BS218+BT250*BT218+BU250*BU218+BV250*BV218+BW250*BW218+BX250*BX218+BY250*BY218+BZ250*BZ218+CA250*CA218+CB250*CB218+CC250*CC218+CD250*CD218+CE250*CE218+CF250*CF218+CG250*CG218+CH250*CH218+CI250*CI218+CJ250*CJ218+CK250*CK218+CL250*CL218+CM250*CM218+CN250*CN218</f>
        <v>0</v>
      </c>
      <c r="CT218" s="2652">
        <f>E251*E218+F251*F218+G251*G218+H251*H218+I251*I218+J251*J218+K251*K218+L251*L218+M251*M218+N251*N218+O251*O218+P251*P218+Q251*Q218+R251*R218+S251*S218+T251*T218+U251*U218+V251*V218+W251*W218+X251*X218+Y251*Y218+Z251*Z218+AA251*AA218+AB251*AB218+AC251*AC218+AD251*AD218+AE251*AE218+AF251*AF218+AG251*AG218+AH251*AH218+AI251*AI218+AJ251*AJ218+AK251*AK218+AL251*AL218+AM251*AM218+AN251*AN218+AO251*AO218+AP251*AP218+AQ251*AQ218+AR251*AR218+AS251*AS218+AT251*AT218+AU251*AU218+AV251*AV218+AW251*AW218+AX251*AX218+AY251*AY218+AZ251*AZ218+BA251*BA218+BB251*BB218+BC251*BC218+BD251*BD218+BE251*BE218+BF251*BF218+BG251*BG218+BH251*BH218+BI251*BI218+BJ251*BJ218+BK251*BK218+BL251*BL218+BM251*BM218+BN251*BN218+BO251*BO218+BP251*BP218+BQ251*BQ218+BR251*BR218+BS251*BS218+BT251*BT218+BU251*BU218+BV251*BV218+BW251*BW218+BX251*BX218+BY251*BY218+BZ251*BZ218+CA251*CA218+CB251*CB218+CC251*CC218+CD251*CD218+CE251*CE218+CF251*CF218+CG251*CG218+CH251*CH218+CI251*CI218+CJ251*CJ218+CK251*CK218+CL251*CL218+CM251*CM218+CN251*CN218</f>
        <v>0</v>
      </c>
      <c r="CU218" s="2652">
        <f>E252*E218+F252*F218+G252*G218+H252*H218+I252*I218+J252*J218+K252*K218+L252*L218+M252*M218+N252*N218+O252*O218+P252*P218+Q252*Q218+R252*R218+S252*S218+T252*T218+U252*U218+V252*V218+W252*W218+X252*X218+Y252*Y218+Z252*Z218+AA252*AA218+AB252*AB218+AC252*AC218+AD252*AD218+AE252*AE218+AF252*AF218+AG252*AG218+AH252*AH218+AI252*AI218+AJ252*AJ218+AK252*AK218+AL252*AL218+AM252*AM218+AN252*AN218+AO252*AO218+AP252*AP218+AQ252*AQ218+AR252*AR218+AS252*AS218+AT252*AT218+AU252*AU218+AV252*AV218+AW252*AW218+AX252*AX218+AY252*AY218+AZ252*AZ218+BA252*BA218+BB252*BB218+BC252*BC218+BD252*BD218+BE252*BE218+BF252*BF218+BG252*BG218+BH252*BH218+BI252*BI218+BJ252*BJ218+BK252*BK218+BL252*BL218+BM252*BM218+BN252*BN218+BO252*BO218+BP252*BP218+BQ252*BQ218+BR252*BR218+BS252*BS218+BT252*BT218+BU252*BU218+BV252*BV218+BW252*BW218+BX252*BX218+BY252*BY218+BZ252*BZ218+CA252*CA218+CB252*CB218+CC252*CC218+CD252*CD218+CE252*CE218+CF252*CF218+CG252*CG218+CH252*CH218+CI252*CI218+CJ252*CJ218+CK252*CK218+CL252*CL218+CM252*CM218+CN252*CN218</f>
        <v>0</v>
      </c>
      <c r="CV218" s="2652">
        <f>E253*E218+F253*F218+G253*G218+H253*H218+I253*I218+J253*J218+K253*K218+L253*L218+M253*M218+N253*N218+O253*O218+P253*P218+Q253*Q218+R253*R218+S253*S218+T253*T218+U253*U218+V253*V218+W253*W218+X253*X218+Y253*Y218+Z253*Z218+AA253*AA218+AB253*AB218+AC253*AC218+AD253*AD218+AE253*AE218+AF253*AF218+AG253*AG218+AH253*AH218+AI253*AI218+AJ253*AJ218+AK253*AK218+AL253*AL218+AM253*AM218+AN253*AN218+AO253*AO218+AP253*AP218+AQ253*AQ218+AR253*AR218+AS253*AS218+AT253*AT218+AU253*AU218+AV253*AV218+AW253*AW218+AX253*AX218+AY253*AY218+AZ253*AZ218+BA253*BA218+BB253*BB218+BC253*BC218+BD253*BD218+BE253*BE218+BF253*BF218+BG253*BG218+BH253*BH218+BI253*BI218+BJ253*BJ218+BK253*BK218+BL253*BL218+BM253*BM218+BN253*BN218+BO253*BO218+BP253*BP218+BQ253*BQ218+BR253*BR218+BS253*BS218+BT253*BT218+BU253*BU218+BV253*BV218+BW253*BW218+BX253*BX218+BY253*BY218+BZ253*BZ218+CA253*CA218+CB253*CB218+CC253*CC218+CD253*CD218+CE253*CE218+CF253*CF218+CG253*CG218+CH253*CH218+CI253*CI218+CJ253*CJ218+CK253*CK218+CL253*CL218+CM253*CM218+CN253*CN218</f>
        <v>0</v>
      </c>
      <c r="CW218" s="2652">
        <f>E254*E218+F254*F218+G254*G218+H254*H218+I254*I218+J254*J218+K254*K218+L254*L218+M254*M218+N254*N218+O254*O218+P254*P218+Q254*Q218+R254*R218+S254*S218+T254*T218+U254*U218+V254*V218+W254*W218+X254*X218+Y254*Y218+Z254*Z218+AA254*AA218+AB254*AB218+AC254*AC218+AD254*AD218+AE254*AE218+AF254*AF218+AG254*AG218+AH254*AH218+AI254*AI218+AJ254*AJ218+AK254*AK218+AL254*AL218+AM254*AM218+AN254*AN218+AO254*AO218+AP254*AP218+AQ254*AQ218+AR254*AR218+AS254*AS218+AT254*AT218+AU254*AU218+AV254*AV218+AW254*AW218+AX254*AX218+AY254*AY218+AZ254*AZ218+BA254*BA218+BB254*BB218+BC254*BC218+BD254*BD218+BE254*BE218+BF254*BF218+BG254*BG218+BH254*BH218+BI254*BI218+BJ254*BJ218+BK254*BK218+BL254*BL218+BM254*BM218+BN254*BN218+BO254*BO218+BP254*BP218+BQ254*BQ218+BR254*BR218+BS254*BS218+BT254*BT218+BU254*BU218+BV254*BV218+BW254*BW218+BX254*BX218+BY254*BY218+BZ254*BZ218+CA254*CA218+CB254*CB218+CC254*CC218+CD254*CD218+CE254*CE218+CF254*CF218+CG254*CG218+CH254*CH218+CI254*CI218+CJ254*CJ218+CK254*CK218+CL254*CL218+CM254*CM218+CN254*CN218</f>
        <v>0</v>
      </c>
      <c r="CX218" s="2652">
        <f>E255*E218+F255*F218+G255*G218+H255*H218+I255*I218+J255*J218+K255*K218+L255*L218+M255*M218+N255*N218+O255*O218+P255*P218+Q255*Q218+R255*R218+S255*S218+T255*T218+U255*U218+V255*V218+W255*W218+X255*X218+Y255*Y218+Z255*Z218+AA255*AA218+AB255*AB218+AC255*AC218+AD255*AD218+AE255*AE218+AF255*AF218+AG255*AG218+AH255*AH218+AI255*AI218+AJ255*AJ218+AK255*AK218+AL255*AL218+AM255*AM218+AN255*AN218+AO255*AO218+AP255*AP218+AQ255*AQ218+AR255*AR218+AS255*AS218+AT255*AT218+AU255*AU218+AV255*AV218+AW255*AW218+AX255*AX218+AY255*AY218+AZ255*AZ218+BA255*BA218+BB255*BB218+BC255*BC218+BD255*BD218+BE255*BE218+BF255*BF218+BG255*BG218+BH255*BH218+BI255*BI218+BJ255*BJ218+BK255*BK218+BL255*BL218+BM255*BM218+BN255*BN218+BO255*BO218+BP255*BP218+BQ255*BQ218+BR255*BR218+BS255*BS218+BT255*BT218+BU255*BU218+BV255*BV218+BW255*BW218+BX255*BX218+BY255*BY218+BZ255*BZ218+CA255*CA218+CB255*CB218+CC255*CC218+CD255*CD218+CE255*CE218+CF255*CF218+CG255*CG218+CH255*CH218+CI255*CI218+CJ255*CJ218+CK255*CK218+CL255*CL218+CM255*CM218+CN255*CN218</f>
        <v>0</v>
      </c>
      <c r="CY218" s="2652">
        <f>E256*E218+F256*F218+G256*G218+H256*H218+I256*I218+J256*J218+K256*K218+L256*L218+M256*M218+N256*N218+O256*O218+P256*P218+Q256*Q218+R256*R218+S256*S218+T256*T218+U256*U218+V256*V218+W256*W218+X256*X218+Y256*Y218+Z256*Z218+AA256*AA218+AB256*AB218+AC256*AC218+AD256*AD218+AE256*AE218+AF256*AF218+AG256*AG218+AH256*AH218+AI256*AI218+AJ256*AJ218+AK256*AK218+AL256*AL218+AM256*AM218+AN256*AN218+AO256*AO218+AP256*AP218+AQ256*AQ218+AR256*AR218+AS256*AS218+AT256*AT218+AU256*AU218+AV256*AV218+AW256*AW218+AX256*AX218+AY256*AY218+AZ256*AZ218+BA256*BA218+BB256*BB218+BC256*BC218+BD256*BD218+BE256*BE218+BF256*BF218+BG256*BG218+BH256*BH218+BI256*BI218+BJ256*BJ218+BK256*BK218+BL256*BL218+BM256*BM218+BN256*BN218+BO256*BO218+BP256*BP218+BQ256*BQ218+BR256*BR218+BS256*BS218+BT256*BT218+BU256*BU218+BV256*BV218+BW256*BW218+BX256*BX218+BY256*BY218+BZ256*BZ218+CA256*CA218+CB256*CB218+CC256*CC218+CD256*CD218+CE256*CE218+CF256*CF218+CG256*CG218+CH256*CH218+CI256*CI218+CJ256*CJ218+CK256*CK218+CL256*CL218+CM256*CM218+CN256*CN218</f>
        <v>0</v>
      </c>
      <c r="CZ218" s="2652">
        <f>E257*E218+F257*F218+G257*G218+H257*H218+I257*I218+J257*J218+K257*K218+L257*L218+M257*M218+N257*N218+O257*O218+P257*P218+Q257*Q218+R257*R218+S257*S218+T257*T218+U257*U218+V257*V218+W257*W218+X257*X218+Y257*Y218+Z257*Z218+AA257*AA218+AB257*AB218+AC257*AC218+AD257*AD218+AE257*AE218+AF257*AF218+AG257*AG218+AH257*AH218+AI257*AI218+AJ257*AJ218+AK257*AK218+AL257*AL218+AM257*AM218+AN257*AN218+AO257*AO218+AP257*AP218+AQ257*AQ218+AR257*AR218+AS257*AS218+AT257*AT218+AU257*AU218+AV257*AV218+AW257*AW218+AX257*AX218+AY257*AY218+AZ257*AZ218+BA257*BA218+BB257*BB218+BC257*BC218+BD257*BD218+BE257*BE218+BF257*BF218+BG257*BG218+BH257*BH218+BI257*BI218+BJ257*BJ218+BK257*BK218+BL257*BL218+BM257*BM218+BN257*BN218+BO257*BO218+BP257*BP218+BQ257*BQ218+BR257*BR218+BS257*BS218+BT257*BT218+BU257*BU218+BV257*BV218+BW257*BW218+BX257*BX218+BY257*BY218+BZ257*BZ218+CA257*CA218+CB257*CB218+CC257*CC218+CD257*CD218+CE257*CE218+CF257*CF218+CG257*CG218+CH257*CH218+CI257*CI218+CJ257*CJ218+CK257*CK218+CL257*CL218+CM257*CM218+CN257*CN218</f>
        <v>0</v>
      </c>
      <c r="DA218" s="2652">
        <f>E258*E218+F258*F218+G258*G218+H258*H218+I258*I218+J258*J218+K258*K218+L258*L218+M258*M218+N258*N218+O258*O218+P258*P218+Q258*Q218+R258*R218+S258*S218+T258*T218+U258*U218+V258*V218+W258*W218+X258*X218+Y258*Y218+Z258*Z218+AA258*AA218+AB258*AB218+AC258*AC218+AD258*AD218+AE258*AE218+AF258*AF218+AG258*AG218+AH258*AH218+AI258*AI218+AJ258*AJ218+AK258*AK218+AL258*AL218+AM258*AM218+AN258*AN218+AO258*AO218+AP258*AP218+AQ258*AQ218+AR258*AR218+AS258*AS218+AT258*AT218+AU258*AU218+AV258*AV218+AW258*AW218+AX258*AX218+AY258*AY218+AZ258*AZ218+BA258*BA218+BB258*BB218+BC258*BC218+BD258*BD218+BE258*BE218+BF258*BF218+BG258*BG218+BH258*BH218+BI258*BI218+BJ258*BJ218+BK258*BK218+BL258*BL218+BM258*BM218+BN258*BN218+BO258*BO218+BP258*BP218+BQ258*BQ218+BR258*BR218+BS258*BS218+BT258*BT218+BU258*BU218+BV258*BV218+BW258*BW218+BX258*BX218+BY258*BY218+BZ258*BZ218+CA258*CA218+CB258*CB218+CC258*CC218+CD258*CD218+CE258*CE218+CF258*CF218+CG258*CG218+CH258*CH218+CI258*CI218+CJ258*CJ218+CK258*CK218+CL258*CL218+CM258*CM218+CN258*CN218</f>
        <v>0</v>
      </c>
    </row>
    <row r="219" spans="2:105" ht="18" x14ac:dyDescent="0.25">
      <c r="B219" s="2181">
        <v>86</v>
      </c>
      <c r="C219" s="2182" t="s">
        <v>3060</v>
      </c>
      <c r="D219" s="1408" t="s">
        <v>4316</v>
      </c>
      <c r="E219" s="2698">
        <f>0</f>
        <v>0</v>
      </c>
      <c r="F219" s="2698">
        <f>0</f>
        <v>0</v>
      </c>
      <c r="G219" s="2698">
        <f>0</f>
        <v>0</v>
      </c>
      <c r="H219" s="2698">
        <f>0</f>
        <v>0</v>
      </c>
      <c r="I219" s="2698">
        <f>0</f>
        <v>0</v>
      </c>
      <c r="J219" s="2698">
        <f>0</f>
        <v>0</v>
      </c>
      <c r="K219" s="2693">
        <f>0</f>
        <v>0</v>
      </c>
      <c r="L219" s="2698">
        <f>0</f>
        <v>0</v>
      </c>
      <c r="M219" s="2698">
        <f>0</f>
        <v>0</v>
      </c>
      <c r="N219" s="2698">
        <f>0</f>
        <v>0</v>
      </c>
      <c r="O219" s="2698">
        <f>0</f>
        <v>0</v>
      </c>
      <c r="P219" s="2698">
        <f>0</f>
        <v>0</v>
      </c>
      <c r="Q219" s="2698">
        <f>0</f>
        <v>0</v>
      </c>
      <c r="R219" s="2729">
        <f>0</f>
        <v>0</v>
      </c>
      <c r="S219" s="2698">
        <f>0</f>
        <v>0</v>
      </c>
      <c r="T219" s="2698">
        <f>0</f>
        <v>0</v>
      </c>
      <c r="U219" s="2698">
        <f>0</f>
        <v>0</v>
      </c>
      <c r="V219" s="2698">
        <f>0</f>
        <v>0</v>
      </c>
      <c r="W219" s="2698">
        <f>0</f>
        <v>0</v>
      </c>
      <c r="X219" s="2698">
        <f>0</f>
        <v>0</v>
      </c>
      <c r="Y219" s="2698">
        <f>0</f>
        <v>0</v>
      </c>
      <c r="Z219" s="2698">
        <f>0</f>
        <v>0</v>
      </c>
      <c r="AA219" s="2698">
        <f>0</f>
        <v>0</v>
      </c>
      <c r="AB219" s="2698">
        <f>0</f>
        <v>0</v>
      </c>
      <c r="AC219" s="2693">
        <f>0</f>
        <v>0</v>
      </c>
      <c r="AD219" s="2698">
        <f>0</f>
        <v>0</v>
      </c>
      <c r="AE219" s="2751">
        <f>0</f>
        <v>0</v>
      </c>
      <c r="AF219" s="2698">
        <f>0</f>
        <v>0</v>
      </c>
      <c r="AG219" s="2698">
        <f>0</f>
        <v>0</v>
      </c>
      <c r="AH219" s="2751">
        <f>0</f>
        <v>0</v>
      </c>
      <c r="AI219" s="2698">
        <f>0</f>
        <v>0</v>
      </c>
      <c r="AJ219" s="2693">
        <f>0</f>
        <v>0</v>
      </c>
      <c r="AK219" s="2729">
        <f>0</f>
        <v>0</v>
      </c>
      <c r="AL219" s="2751">
        <f>0</f>
        <v>0</v>
      </c>
      <c r="AM219" s="2698">
        <f>0</f>
        <v>0</v>
      </c>
      <c r="AN219" s="2729">
        <f>0</f>
        <v>0</v>
      </c>
      <c r="AO219" s="2698">
        <f>0</f>
        <v>0</v>
      </c>
      <c r="AP219" s="2693">
        <f>0</f>
        <v>0</v>
      </c>
      <c r="AQ219" s="2698">
        <f>0</f>
        <v>0</v>
      </c>
      <c r="AR219" s="2698">
        <f>0</f>
        <v>0</v>
      </c>
      <c r="AS219" s="2698">
        <f>0</f>
        <v>0</v>
      </c>
      <c r="AT219" s="2698">
        <f>0</f>
        <v>0</v>
      </c>
      <c r="AU219" s="2698">
        <f>0</f>
        <v>0</v>
      </c>
      <c r="AV219" s="2729">
        <f>0</f>
        <v>0</v>
      </c>
      <c r="AW219" s="2698">
        <f>0</f>
        <v>0</v>
      </c>
      <c r="AX219" s="2698">
        <f>0</f>
        <v>0</v>
      </c>
      <c r="AY219" s="2698">
        <f>0</f>
        <v>0</v>
      </c>
      <c r="AZ219" s="2729">
        <f>0</f>
        <v>0</v>
      </c>
      <c r="BA219" s="2698">
        <f>0</f>
        <v>0</v>
      </c>
      <c r="BB219" s="2729">
        <f>0</f>
        <v>0</v>
      </c>
      <c r="BC219" s="2729">
        <f>0</f>
        <v>0</v>
      </c>
      <c r="BD219" s="2698">
        <f>0</f>
        <v>0</v>
      </c>
      <c r="BE219" s="2760">
        <f>0</f>
        <v>0</v>
      </c>
      <c r="BF219" s="2760">
        <f>0</f>
        <v>0</v>
      </c>
      <c r="BG219" s="2698">
        <f>0</f>
        <v>0</v>
      </c>
      <c r="BH219" s="2760">
        <f>0</f>
        <v>0</v>
      </c>
      <c r="BI219" s="2760">
        <f>0</f>
        <v>0</v>
      </c>
      <c r="BJ219" s="2698">
        <f>0</f>
        <v>0</v>
      </c>
      <c r="BK219" s="2781">
        <f>-X_HAO_L/(X_HAO_L+X_HAO_L_P)</f>
        <v>-0.5</v>
      </c>
      <c r="BL219" s="2781">
        <f>X_HAO_L/(X_HAO_L+X_HAO_L_P)</f>
        <v>0.5</v>
      </c>
      <c r="BM219" s="2781">
        <f>0</f>
        <v>0</v>
      </c>
      <c r="BN219" s="2781">
        <f>-X_HAO_L_P/(X_HAO_L+X_HAO_L_P)</f>
        <v>-0.5</v>
      </c>
      <c r="BO219" s="2781">
        <f>0</f>
        <v>0</v>
      </c>
      <c r="BP219" s="2781">
        <f>X_HAO_L_P/(X_HAO_L+X_HAO_L_P)</f>
        <v>0.5</v>
      </c>
      <c r="BQ219" s="2729">
        <f>0</f>
        <v>0</v>
      </c>
      <c r="BR219" s="2729">
        <f>0</f>
        <v>0</v>
      </c>
      <c r="BS219" s="2729">
        <f>0</f>
        <v>0</v>
      </c>
      <c r="BT219" s="2729">
        <f>0</f>
        <v>0</v>
      </c>
      <c r="BU219" s="2729">
        <f>0</f>
        <v>0</v>
      </c>
      <c r="BV219" s="2752">
        <f>0</f>
        <v>0</v>
      </c>
      <c r="BW219" s="2752">
        <f>0</f>
        <v>0</v>
      </c>
      <c r="BX219" s="2752">
        <f>0</f>
        <v>0</v>
      </c>
      <c r="BY219" s="2752">
        <f>0</f>
        <v>0</v>
      </c>
      <c r="BZ219" s="2729">
        <f>0</f>
        <v>0</v>
      </c>
      <c r="CA219" s="2729">
        <f>0</f>
        <v>0</v>
      </c>
      <c r="CB219" s="2811">
        <f>0</f>
        <v>0</v>
      </c>
      <c r="CC219" s="2729">
        <f>0</f>
        <v>0</v>
      </c>
      <c r="CD219" s="2729">
        <f>0</f>
        <v>0</v>
      </c>
      <c r="CE219" s="2729">
        <f>0</f>
        <v>0</v>
      </c>
      <c r="CF219" s="2729">
        <f>0</f>
        <v>0</v>
      </c>
      <c r="CG219" s="2729">
        <f>0</f>
        <v>0</v>
      </c>
      <c r="CH219" s="2729">
        <f>0</f>
        <v>0</v>
      </c>
      <c r="CI219" s="2729">
        <f>0</f>
        <v>0</v>
      </c>
      <c r="CJ219" s="2729">
        <f>0</f>
        <v>0</v>
      </c>
      <c r="CK219" s="2729">
        <f>0</f>
        <v>0</v>
      </c>
      <c r="CL219" s="2729">
        <f>0</f>
        <v>0</v>
      </c>
      <c r="CM219" s="2729">
        <f>0</f>
        <v>0</v>
      </c>
      <c r="CN219" s="2729">
        <f>0</f>
        <v>0</v>
      </c>
      <c r="CO219" s="2843">
        <f>q_HAOL_AGING*(X_HAO_L+X_HAO_L_P)</f>
        <v>2E-50</v>
      </c>
      <c r="CQ219" s="2650">
        <f>E248*E219+F248*F219+G248*G219+H248*H219+I248*I219+J248*J219+K248*K219+L248*L219+M248*M219+N248*N219+O248*O219+P248*P219+Q248*Q219+R248*R219+S248*S219+T248*T219+U248*U219+V248*V219+W248*W219+X248*X219+Y248*Y219+Z248*Z219+AA248*AA219+AB248*AB219+AC248*AC219+AD248*AD219+AE248*AE219+AF248*AF219+AG248*AG219+AH248*AH219+AI248*AI219+AJ248*AJ219+AK248*AK219+AL248*AL219+AM248*AM219+AN248*AN219+AO248*AO219+AP248*AP219+AQ248*AQ219+AR248*AR219+AS248*AS219+AT248*AT219+AU248*AU219+AV248*AV219+AW248*AW219+AX248*AX219+AY248*AY219+AZ248*AZ219+BA248*BA219+BB248*BB219+BC248*BC219+BD248*BD219+BE248*BE219+BF248*BF219+BG248*BG219+BH248*BH219+BI248*BI219+BJ248*BJ219+BK248*BK219+BL248*BL219+BM248*BM219+BN248*BN219+BO248*BO219+BP248*BP219+BQ248*BQ219+BR248*BR219+BS248*BS219+BT248*BT219+BU248*BU219+BV248*BV219+BW248*BW219+BX248*BX219+BY248*BY219+BZ248*BZ219+CA248*CA219+CB248*CB219+CC248*CC219+CD248*CD219+CE248*CE219+CF248*CF219+CG248*CG219+CH248*CH219+CI248*CI219+CJ248*CJ219+CK248*CK219+CL248*CL219+CM248*CM219+CN248*CN219</f>
        <v>0</v>
      </c>
      <c r="CR219" s="2650">
        <f>E249*E219+F249*F219+G249*G219+H249*H219+I249*I219+J249*J219+K249*K219+L249*L219+M249*M219+N249*N219+O249*O219+P249*P219+Q249*Q219+R249*R219+S249*S219+T249*T219+U249*U219+V249*V219+W249*W219+X249*X219+Y249*Y219+Z249*Z219+AA249*AA219+AB249*AB219+AC249*AC219+AD249*AD219+AE249*AE219+AF249*AF219+AG249*AG219+AH249*AH219+AI249*AI219+AJ249*AJ219+AK249*AK219+AL249*AL219+AM249*AM219+AN249*AN219+AO249*AO219+AP249*AP219+AQ249*AQ219+AR249*AR219+AS249*AS219+AT249*AT219+AU249*AU219+AV249*AV219+AW249*AW219+AX249*AX219+AY249*AY219+AZ249*AZ219+BA249*BA219+BB249*BB219+BC249*BC219+BD249*BD219+BE249*BE219+BF249*BF219+BG249*BG219+BH249*BH219+BI249*BI219+BJ249*BJ219+BK249*BK219+BL249*BL219+BM249*BM219+BN249*BN219+BO249*BO219+BP249*BP219+BQ249*BQ219+BR249*BR219+BS249*BS219+BT249*BT219+BU249*BU219+BV249*BV219+BW249*BW219+BX249*BX219+BY249*BY219+BZ249*BZ219+CA249*CA219+CB249*CB219+CC249*CC219+CD249*CD219+CE249*CE219+CF249*CF219+CG249*CG219+CH249*CH219+CI249*CI219+CJ249*CJ219+CK249*CK219+CL249*CL219+CM249*CM219+CN249*CN219</f>
        <v>0</v>
      </c>
      <c r="CS219" s="2651">
        <f>E250*E219+F250*F219+G250*G219+H250*H219+I250*I219+J250*J219+K250*K219+L250*L219+M250*M219+N250*N219+O250*O219+P250*P219+Q250*Q219+R250*R219+S250*S219+T250*T219+U250*U219+V250*V219+W250*W219+X250*X219+Y250*Y219+Z250*Z219+AA250*AA219+AB250*AB219+AC250*AC219+AD250*AD219+AE250*AE219+AF250*AF219+AG250*AG219+AH250*AH219+AI250*AI219+AJ250*AJ219+AK250*AK219+AL250*AL219+AM250*AM219+AN250*AN219+AO250*AO219+AP250*AP219+AQ250*AQ219+AR250*AR219+AS250*AS219+AT250*AT219+AU250*AU219+AV250*AV219+AW250*AW219+AX250*AX219+AY250*AY219+AZ250*AZ219+BA250*BA219+BB250*BB219+BC250*BC219+BD250*BD219+BE250*BE219+BF250*BF219+BG250*BG219+BH250*BH219+BI250*BI219+BJ250*BJ219+BK250*BK219+BL250*BL219+BM250*BM219+BN250*BN219+BO250*BO219+BP250*BP219+BQ250*BQ219+BR250*BR219+BS250*BS219+BT250*BT219+BU250*BU219+BV250*BV219+BW250*BW219+BX250*BX219+BY250*BY219+BZ250*BZ219+CA250*CA219+CB250*CB219+CC250*CC219+CD250*CD219+CE250*CE219+CF250*CF219+CG250*CG219+CH250*CH219+CI250*CI219+CJ250*CJ219+CK250*CK219+CL250*CL219+CM250*CM219+CN250*CN219</f>
        <v>0</v>
      </c>
      <c r="CT219" s="2652">
        <f>E251*E219+F251*F219+G251*G219+H251*H219+I251*I219+J251*J219+K251*K219+L251*L219+M251*M219+N251*N219+O251*O219+P251*P219+Q251*Q219+R251*R219+S251*S219+T251*T219+U251*U219+V251*V219+W251*W219+X251*X219+Y251*Y219+Z251*Z219+AA251*AA219+AB251*AB219+AC251*AC219+AD251*AD219+AE251*AE219+AF251*AF219+AG251*AG219+AH251*AH219+AI251*AI219+AJ251*AJ219+AK251*AK219+AL251*AL219+AM251*AM219+AN251*AN219+AO251*AO219+AP251*AP219+AQ251*AQ219+AR251*AR219+AS251*AS219+AT251*AT219+AU251*AU219+AV251*AV219+AW251*AW219+AX251*AX219+AY251*AY219+AZ251*AZ219+BA251*BA219+BB251*BB219+BC251*BC219+BD251*BD219+BE251*BE219+BF251*BF219+BG251*BG219+BH251*BH219+BI251*BI219+BJ251*BJ219+BK251*BK219+BL251*BL219+BM251*BM219+BN251*BN219+BO251*BO219+BP251*BP219+BQ251*BQ219+BR251*BR219+BS251*BS219+BT251*BT219+BU251*BU219+BV251*BV219+BW251*BW219+BX251*BX219+BY251*BY219+BZ251*BZ219+CA251*CA219+CB251*CB219+CC251*CC219+CD251*CD219+CE251*CE219+CF251*CF219+CG251*CG219+CH251*CH219+CI251*CI219+CJ251*CJ219+CK251*CK219+CL251*CL219+CM251*CM219+CN251*CN219</f>
        <v>0</v>
      </c>
      <c r="CU219" s="2652">
        <f>E252*E219+F252*F219+G252*G219+H252*H219+I252*I219+J252*J219+K252*K219+L252*L219+M252*M219+N252*N219+O252*O219+P252*P219+Q252*Q219+R252*R219+S252*S219+T252*T219+U252*U219+V252*V219+W252*W219+X252*X219+Y252*Y219+Z252*Z219+AA252*AA219+AB252*AB219+AC252*AC219+AD252*AD219+AE252*AE219+AF252*AF219+AG252*AG219+AH252*AH219+AI252*AI219+AJ252*AJ219+AK252*AK219+AL252*AL219+AM252*AM219+AN252*AN219+AO252*AO219+AP252*AP219+AQ252*AQ219+AR252*AR219+AS252*AS219+AT252*AT219+AU252*AU219+AV252*AV219+AW252*AW219+AX252*AX219+AY252*AY219+AZ252*AZ219+BA252*BA219+BB252*BB219+BC252*BC219+BD252*BD219+BE252*BE219+BF252*BF219+BG252*BG219+BH252*BH219+BI252*BI219+BJ252*BJ219+BK252*BK219+BL252*BL219+BM252*BM219+BN252*BN219+BO252*BO219+BP252*BP219+BQ252*BQ219+BR252*BR219+BS252*BS219+BT252*BT219+BU252*BU219+BV252*BV219+BW252*BW219+BX252*BX219+BY252*BY219+BZ252*BZ219+CA252*CA219+CB252*CB219+CC252*CC219+CD252*CD219+CE252*CE219+CF252*CF219+CG252*CG219+CH252*CH219+CI252*CI219+CJ252*CJ219+CK252*CK219+CL252*CL219+CM252*CM219+CN252*CN219</f>
        <v>0</v>
      </c>
      <c r="CV219" s="2652">
        <f>E253*E219+F253*F219+G253*G219+H253*H219+I253*I219+J253*J219+K253*K219+L253*L219+M253*M219+N253*N219+O253*O219+P253*P219+Q253*Q219+R253*R219+S253*S219+T253*T219+U253*U219+V253*V219+W253*W219+X253*X219+Y253*Y219+Z253*Z219+AA253*AA219+AB253*AB219+AC253*AC219+AD253*AD219+AE253*AE219+AF253*AF219+AG253*AG219+AH253*AH219+AI253*AI219+AJ253*AJ219+AK253*AK219+AL253*AL219+AM253*AM219+AN253*AN219+AO253*AO219+AP253*AP219+AQ253*AQ219+AR253*AR219+AS253*AS219+AT253*AT219+AU253*AU219+AV253*AV219+AW253*AW219+AX253*AX219+AY253*AY219+AZ253*AZ219+BA253*BA219+BB253*BB219+BC253*BC219+BD253*BD219+BE253*BE219+BF253*BF219+BG253*BG219+BH253*BH219+BI253*BI219+BJ253*BJ219+BK253*BK219+BL253*BL219+BM253*BM219+BN253*BN219+BO253*BO219+BP253*BP219+BQ253*BQ219+BR253*BR219+BS253*BS219+BT253*BT219+BU253*BU219+BV253*BV219+BW253*BW219+BX253*BX219+BY253*BY219+BZ253*BZ219+CA253*CA219+CB253*CB219+CC253*CC219+CD253*CD219+CE253*CE219+CF253*CF219+CG253*CG219+CH253*CH219+CI253*CI219+CJ253*CJ219+CK253*CK219+CL253*CL219+CM253*CM219+CN253*CN219</f>
        <v>0</v>
      </c>
      <c r="CW219" s="2652">
        <f>E254*E219+F254*F219+G254*G219+H254*H219+I254*I219+J254*J219+K254*K219+L254*L219+M254*M219+N254*N219+O254*O219+P254*P219+Q254*Q219+R254*R219+S254*S219+T254*T219+U254*U219+V254*V219+W254*W219+X254*X219+Y254*Y219+Z254*Z219+AA254*AA219+AB254*AB219+AC254*AC219+AD254*AD219+AE254*AE219+AF254*AF219+AG254*AG219+AH254*AH219+AI254*AI219+AJ254*AJ219+AK254*AK219+AL254*AL219+AM254*AM219+AN254*AN219+AO254*AO219+AP254*AP219+AQ254*AQ219+AR254*AR219+AS254*AS219+AT254*AT219+AU254*AU219+AV254*AV219+AW254*AW219+AX254*AX219+AY254*AY219+AZ254*AZ219+BA254*BA219+BB254*BB219+BC254*BC219+BD254*BD219+BE254*BE219+BF254*BF219+BG254*BG219+BH254*BH219+BI254*BI219+BJ254*BJ219+BK254*BK219+BL254*BL219+BM254*BM219+BN254*BN219+BO254*BO219+BP254*BP219+BQ254*BQ219+BR254*BR219+BS254*BS219+BT254*BT219+BU254*BU219+BV254*BV219+BW254*BW219+BX254*BX219+BY254*BY219+BZ254*BZ219+CA254*CA219+CB254*CB219+CC254*CC219+CD254*CD219+CE254*CE219+CF254*CF219+CG254*CG219+CH254*CH219+CI254*CI219+CJ254*CJ219+CK254*CK219+CL254*CL219+CM254*CM219+CN254*CN219</f>
        <v>0</v>
      </c>
      <c r="CX219" s="2652">
        <f>E255*E219+F255*F219+G255*G219+H255*H219+I255*I219+J255*J219+K255*K219+L255*L219+M255*M219+N255*N219+O255*O219+P255*P219+Q255*Q219+R255*R219+S255*S219+T255*T219+U255*U219+V255*V219+W255*W219+X255*X219+Y255*Y219+Z255*Z219+AA255*AA219+AB255*AB219+AC255*AC219+AD255*AD219+AE255*AE219+AF255*AF219+AG255*AG219+AH255*AH219+AI255*AI219+AJ255*AJ219+AK255*AK219+AL255*AL219+AM255*AM219+AN255*AN219+AO255*AO219+AP255*AP219+AQ255*AQ219+AR255*AR219+AS255*AS219+AT255*AT219+AU255*AU219+AV255*AV219+AW255*AW219+AX255*AX219+AY255*AY219+AZ255*AZ219+BA255*BA219+BB255*BB219+BC255*BC219+BD255*BD219+BE255*BE219+BF255*BF219+BG255*BG219+BH255*BH219+BI255*BI219+BJ255*BJ219+BK255*BK219+BL255*BL219+BM255*BM219+BN255*BN219+BO255*BO219+BP255*BP219+BQ255*BQ219+BR255*BR219+BS255*BS219+BT255*BT219+BU255*BU219+BV255*BV219+BW255*BW219+BX255*BX219+BY255*BY219+BZ255*BZ219+CA255*CA219+CB255*CB219+CC255*CC219+CD255*CD219+CE255*CE219+CF255*CF219+CG255*CG219+CH255*CH219+CI255*CI219+CJ255*CJ219+CK255*CK219+CL255*CL219+CM255*CM219+CN255*CN219</f>
        <v>0</v>
      </c>
      <c r="CY219" s="2652">
        <f>E256*E219+F256*F219+G256*G219+H256*H219+I256*I219+J256*J219+K256*K219+L256*L219+M256*M219+N256*N219+O256*O219+P256*P219+Q256*Q219+R256*R219+S256*S219+T256*T219+U256*U219+V256*V219+W256*W219+X256*X219+Y256*Y219+Z256*Z219+AA256*AA219+AB256*AB219+AC256*AC219+AD256*AD219+AE256*AE219+AF256*AF219+AG256*AG219+AH256*AH219+AI256*AI219+AJ256*AJ219+AK256*AK219+AL256*AL219+AM256*AM219+AN256*AN219+AO256*AO219+AP256*AP219+AQ256*AQ219+AR256*AR219+AS256*AS219+AT256*AT219+AU256*AU219+AV256*AV219+AW256*AW219+AX256*AX219+AY256*AY219+AZ256*AZ219+BA256*BA219+BB256*BB219+BC256*BC219+BD256*BD219+BE256*BE219+BF256*BF219+BG256*BG219+BH256*BH219+BI256*BI219+BJ256*BJ219+BK256*BK219+BL256*BL219+BM256*BM219+BN256*BN219+BO256*BO219+BP256*BP219+BQ256*BQ219+BR256*BR219+BS256*BS219+BT256*BT219+BU256*BU219+BV256*BV219+BW256*BW219+BX256*BX219+BY256*BY219+BZ256*BZ219+CA256*CA219+CB256*CB219+CC256*CC219+CD256*CD219+CE256*CE219+CF256*CF219+CG256*CG219+CH256*CH219+CI256*CI219+CJ256*CJ219+CK256*CK219+CL256*CL219+CM256*CM219+CN256*CN219</f>
        <v>0</v>
      </c>
      <c r="CZ219" s="2652">
        <f>E257*E219+F257*F219+G257*G219+H257*H219+I257*I219+J257*J219+K257*K219+L257*L219+M257*M219+N257*N219+O257*O219+P257*P219+Q257*Q219+R257*R219+S257*S219+T257*T219+U257*U219+V257*V219+W257*W219+X257*X219+Y257*Y219+Z257*Z219+AA257*AA219+AB257*AB219+AC257*AC219+AD257*AD219+AE257*AE219+AF257*AF219+AG257*AG219+AH257*AH219+AI257*AI219+AJ257*AJ219+AK257*AK219+AL257*AL219+AM257*AM219+AN257*AN219+AO257*AO219+AP257*AP219+AQ257*AQ219+AR257*AR219+AS257*AS219+AT257*AT219+AU257*AU219+AV257*AV219+AW257*AW219+AX257*AX219+AY257*AY219+AZ257*AZ219+BA257*BA219+BB257*BB219+BC257*BC219+BD257*BD219+BE257*BE219+BF257*BF219+BG257*BG219+BH257*BH219+BI257*BI219+BJ257*BJ219+BK257*BK219+BL257*BL219+BM257*BM219+BN257*BN219+BO257*BO219+BP257*BP219+BQ257*BQ219+BR257*BR219+BS257*BS219+BT257*BT219+BU257*BU219+BV257*BV219+BW257*BW219+BX257*BX219+BY257*BY219+BZ257*BZ219+CA257*CA219+CB257*CB219+CC257*CC219+CD257*CD219+CE257*CE219+CF257*CF219+CG257*CG219+CH257*CH219+CI257*CI219+CJ257*CJ219+CK257*CK219+CL257*CL219+CM257*CM219+CN257*CN219</f>
        <v>0</v>
      </c>
      <c r="DA219" s="2652">
        <f>E258*E219+F258*F219+G258*G219+H258*H219+I258*I219+J258*J219+K258*K219+L258*L219+M258*M219+N258*N219+O258*O219+P258*P219+Q258*Q219+R258*R219+S258*S219+T258*T219+U258*U219+V258*V219+W258*W219+X258*X219+Y258*Y219+Z258*Z219+AA258*AA219+AB258*AB219+AC258*AC219+AD258*AD219+AE258*AE219+AF258*AF219+AG258*AG219+AH258*AH219+AI258*AI219+AJ258*AJ219+AK258*AK219+AL258*AL219+AM258*AM219+AN258*AN219+AO258*AO219+AP258*AP219+AQ258*AQ219+AR258*AR219+AS258*AS219+AT258*AT219+AU258*AU219+AV258*AV219+AW258*AW219+AX258*AX219+AY258*AY219+AZ258*AZ219+BA258*BA219+BB258*BB219+BC258*BC219+BD258*BD219+BE258*BE219+BF258*BF219+BG258*BG219+BH258*BH219+BI258*BI219+BJ258*BJ219+BK258*BK219+BL258*BL219+BM258*BM219+BN258*BN219+BO258*BO219+BP258*BP219+BQ258*BQ219+BR258*BR219+BS258*BS219+BT258*BT219+BU258*BU219+BV258*BV219+BW258*BW219+BX258*BX219+BY258*BY219+BZ258*BZ219+CA258*CA219+CB258*CB219+CC258*CC219+CD258*CD219+CE258*CE219+CF258*CF219+CG258*CG219+CH258*CH219+CI258*CI219+CJ258*CJ219+CK258*CK219+CL258*CL219+CM258*CM219+CN258*CN219</f>
        <v>0</v>
      </c>
    </row>
    <row r="220" spans="2:105" ht="18" x14ac:dyDescent="0.25">
      <c r="B220" s="2181">
        <v>87</v>
      </c>
      <c r="C220" s="2182" t="s">
        <v>3061</v>
      </c>
      <c r="D220" s="1408" t="s">
        <v>4322</v>
      </c>
      <c r="E220" s="2698">
        <f>0</f>
        <v>0</v>
      </c>
      <c r="F220" s="2698">
        <f>0</f>
        <v>0</v>
      </c>
      <c r="G220" s="2698">
        <f>0</f>
        <v>0</v>
      </c>
      <c r="H220" s="2698">
        <f>0</f>
        <v>0</v>
      </c>
      <c r="I220" s="2698">
        <f>0</f>
        <v>0</v>
      </c>
      <c r="J220" s="2698">
        <f>0</f>
        <v>0</v>
      </c>
      <c r="K220" s="2693">
        <f>0</f>
        <v>0</v>
      </c>
      <c r="L220" s="2698">
        <f>0</f>
        <v>0</v>
      </c>
      <c r="M220" s="2698">
        <f>0</f>
        <v>0</v>
      </c>
      <c r="N220" s="2698">
        <f>0</f>
        <v>0</v>
      </c>
      <c r="O220" s="2698">
        <f>0</f>
        <v>0</v>
      </c>
      <c r="P220" s="2698">
        <f>0</f>
        <v>0</v>
      </c>
      <c r="Q220" s="2698">
        <f>0</f>
        <v>0</v>
      </c>
      <c r="R220" s="2729">
        <f>0</f>
        <v>0</v>
      </c>
      <c r="S220" s="2698">
        <f>0</f>
        <v>0</v>
      </c>
      <c r="T220" s="2698">
        <f>0</f>
        <v>0</v>
      </c>
      <c r="U220" s="2698">
        <f>0</f>
        <v>0</v>
      </c>
      <c r="V220" s="2698">
        <f>0</f>
        <v>0</v>
      </c>
      <c r="W220" s="2698">
        <f>0</f>
        <v>0</v>
      </c>
      <c r="X220" s="2698">
        <f>0</f>
        <v>0</v>
      </c>
      <c r="Y220" s="2698">
        <f>0</f>
        <v>0</v>
      </c>
      <c r="Z220" s="2698">
        <f>0</f>
        <v>0</v>
      </c>
      <c r="AA220" s="2698">
        <f>0</f>
        <v>0</v>
      </c>
      <c r="AB220" s="2698">
        <f>0</f>
        <v>0</v>
      </c>
      <c r="AC220" s="2693">
        <f>0</f>
        <v>0</v>
      </c>
      <c r="AD220" s="2698">
        <f>0</f>
        <v>0</v>
      </c>
      <c r="AE220" s="2751">
        <f>0</f>
        <v>0</v>
      </c>
      <c r="AF220" s="2698">
        <f>0</f>
        <v>0</v>
      </c>
      <c r="AG220" s="2698">
        <f>0</f>
        <v>0</v>
      </c>
      <c r="AH220" s="2751">
        <f>0</f>
        <v>0</v>
      </c>
      <c r="AI220" s="2698">
        <f>0</f>
        <v>0</v>
      </c>
      <c r="AJ220" s="2693">
        <f>0</f>
        <v>0</v>
      </c>
      <c r="AK220" s="2729">
        <f>0</f>
        <v>0</v>
      </c>
      <c r="AL220" s="2751">
        <f>-1</f>
        <v>-1</v>
      </c>
      <c r="AM220" s="2698">
        <f>0</f>
        <v>0</v>
      </c>
      <c r="AN220" s="2729">
        <f>0</f>
        <v>0</v>
      </c>
      <c r="AO220" s="2698">
        <f>0</f>
        <v>0</v>
      </c>
      <c r="AP220" s="2693">
        <f>0</f>
        <v>0</v>
      </c>
      <c r="AQ220" s="2698">
        <f>0</f>
        <v>0</v>
      </c>
      <c r="AR220" s="2698">
        <f>0</f>
        <v>0</v>
      </c>
      <c r="AS220" s="2698">
        <f>0</f>
        <v>0</v>
      </c>
      <c r="AT220" s="2698">
        <f>0</f>
        <v>0</v>
      </c>
      <c r="AU220" s="2698">
        <f>0</f>
        <v>0</v>
      </c>
      <c r="AV220" s="2729">
        <f>0</f>
        <v>0</v>
      </c>
      <c r="AW220" s="2698">
        <f>0</f>
        <v>0</v>
      </c>
      <c r="AX220" s="2698">
        <f>0</f>
        <v>0</v>
      </c>
      <c r="AY220" s="2698">
        <f>0</f>
        <v>0</v>
      </c>
      <c r="AZ220" s="2729">
        <f>0</f>
        <v>0</v>
      </c>
      <c r="BA220" s="2698">
        <f>0</f>
        <v>0</v>
      </c>
      <c r="BB220" s="2729">
        <f>0</f>
        <v>0</v>
      </c>
      <c r="BC220" s="2729">
        <f>0</f>
        <v>0</v>
      </c>
      <c r="BD220" s="2729">
        <f>0</f>
        <v>0</v>
      </c>
      <c r="BE220" s="2698">
        <f>0</f>
        <v>0</v>
      </c>
      <c r="BF220" s="2698">
        <f>0</f>
        <v>0</v>
      </c>
      <c r="BG220" s="2729">
        <f>0</f>
        <v>0</v>
      </c>
      <c r="BH220" s="2698">
        <f>0</f>
        <v>0</v>
      </c>
      <c r="BI220" s="2698">
        <f>0</f>
        <v>0</v>
      </c>
      <c r="BJ220" s="2729">
        <f>-1/(A_SFHAO_H*(A_MP/A_MAl))</f>
        <v>-0.87110825691042471</v>
      </c>
      <c r="BK220" s="2698">
        <f>0</f>
        <v>0</v>
      </c>
      <c r="BL220" s="2698">
        <f>0</f>
        <v>0</v>
      </c>
      <c r="BM220" s="2729">
        <f>1/(A_SFHAO_H*(A_MP/A_MAl))</f>
        <v>0.87110825691042471</v>
      </c>
      <c r="BN220" s="2698">
        <f>0</f>
        <v>0</v>
      </c>
      <c r="BO220" s="2729">
        <f>0</f>
        <v>0</v>
      </c>
      <c r="BP220" s="2729">
        <f>0</f>
        <v>0</v>
      </c>
      <c r="BQ220" s="2729">
        <f>0</f>
        <v>0</v>
      </c>
      <c r="BR220" s="2729">
        <f>0</f>
        <v>0</v>
      </c>
      <c r="BS220" s="2729">
        <f>0</f>
        <v>0</v>
      </c>
      <c r="BT220" s="2729">
        <f>0</f>
        <v>0</v>
      </c>
      <c r="BU220" s="2729">
        <f>0</f>
        <v>0</v>
      </c>
      <c r="BV220" s="2752">
        <f>0</f>
        <v>0</v>
      </c>
      <c r="BW220" s="2752">
        <f>0</f>
        <v>0</v>
      </c>
      <c r="BX220" s="2752">
        <f>0</f>
        <v>0</v>
      </c>
      <c r="BY220" s="2752">
        <f>0</f>
        <v>0</v>
      </c>
      <c r="BZ220" s="2729">
        <f>0</f>
        <v>0</v>
      </c>
      <c r="CA220" s="2729">
        <f>0</f>
        <v>0</v>
      </c>
      <c r="CB220" s="2811">
        <f>0</f>
        <v>0</v>
      </c>
      <c r="CC220" s="2729">
        <f>0</f>
        <v>0</v>
      </c>
      <c r="CD220" s="2729">
        <f>0</f>
        <v>0</v>
      </c>
      <c r="CE220" s="2729">
        <f>0</f>
        <v>0</v>
      </c>
      <c r="CF220" s="2729">
        <f>0</f>
        <v>0</v>
      </c>
      <c r="CG220" s="2729">
        <f>0</f>
        <v>0</v>
      </c>
      <c r="CH220" s="2729">
        <f>0</f>
        <v>0</v>
      </c>
      <c r="CI220" s="2729">
        <f>0</f>
        <v>0</v>
      </c>
      <c r="CJ220" s="2729">
        <f>0</f>
        <v>0</v>
      </c>
      <c r="CK220" s="2729">
        <f>0</f>
        <v>0</v>
      </c>
      <c r="CL220" s="2729">
        <f>0</f>
        <v>0</v>
      </c>
      <c r="CM220" s="2729">
        <f>0</f>
        <v>0</v>
      </c>
      <c r="CN220" s="2729">
        <f>0</f>
        <v>0</v>
      </c>
      <c r="CO220" s="2843">
        <f>q_P_HAO_COPREC*X_HAO_H*M_satSPO4_KP_HAO_BIND</f>
        <v>1.4583333333333333E-48</v>
      </c>
      <c r="CQ220" s="2650">
        <f>E248*E220+F248*F220+G248*G220+H248*H220+I248*I220+J248*J220+K248*K220+L248*L220+M248*M220+N248*N220+O248*O220+P248*P220+Q248*Q220+R248*R220+S248*S220+T248*T220+U248*U220+V248*V220+W248*W220+X248*X220+Y248*Y220+Z248*Z220+AA248*AA220+AB248*AB220+AC248*AC220+AD248*AD220+AE248*AE220+AF248*AF220+AG248*AG220+AH248*AH220+AI248*AI220+AJ248*AJ220+AK248*AK220+AL248*AL220+AM248*AM220+AN248*AN220+AO248*AO220+AP248*AP220+AQ248*AQ220+AR248*AR220+AS248*AS220+AT248*AT220+AU248*AU220+AV248*AV220+AW248*AW220+AX248*AX220+AY248*AY220+AZ248*AZ220+BA248*BA220+BB248*BB220+BC248*BC220+BD248*BD220+BE248*BE220+BF248*BF220+BG248*BG220+BH248*BH220+BI248*BI220+BJ248*BJ220+BK248*BK220+BL248*BL220+BM248*BM220+BN248*BN220+BO248*BO220+BP248*BP220+BQ248*BQ220+BR248*BR220+BS248*BS220+BT248*BT220+BU248*BU220+BV248*BV220+BW248*BW220+BX248*BX220+BY248*BY220+BZ248*BZ220+CA248*CA220+CB248*CB220+CC248*CC220+CD248*CD220+CE248*CE220+CF248*CF220+CG248*CG220+CH248*CH220+CI248*CI220+CJ248*CJ220+CK248*CK220+CL248*CL220+CM248*CM220+CN248*CN220</f>
        <v>0</v>
      </c>
      <c r="CR220" s="2650">
        <f>E249*E220+F249*F220+G249*G220+H249*H220+I249*I220+J249*J220+K249*K220+L249*L220+M249*M220+N249*N220+O249*O220+P249*P220+Q249*Q220+R249*R220+S249*S220+T249*T220+U249*U220+V249*V220+W249*W220+X249*X220+Y249*Y220+Z249*Z220+AA249*AA220+AB249*AB220+AC249*AC220+AD249*AD220+AE249*AE220+AF249*AF220+AG249*AG220+AH249*AH220+AI249*AI220+AJ249*AJ220+AK249*AK220+AL249*AL220+AM249*AM220+AN249*AN220+AO249*AO220+AP249*AP220+AQ249*AQ220+AR249*AR220+AS249*AS220+AT249*AT220+AU249*AU220+AV249*AV220+AW249*AW220+AX249*AX220+AY249*AY220+AZ249*AZ220+BA249*BA220+BB249*BB220+BC249*BC220+BD249*BD220+BE249*BE220+BF249*BF220+BG249*BG220+BH249*BH220+BI249*BI220+BJ249*BJ220+BK249*BK220+BL249*BL220+BM249*BM220+BN249*BN220+BO249*BO220+BP249*BP220+BQ249*BQ220+BR249*BR220+BS249*BS220+BT249*BT220+BU249*BU220+BV249*BV220+BW249*BW220+BX249*BX220+BY249*BY220+BZ249*BZ220+CA249*CA220+CB249*CB220+CC249*CC220+CD249*CD220+CE249*CE220+CF249*CF220+CG249*CG220+CH249*CH220+CI249*CI220+CJ249*CJ220+CK249*CK220+CL249*CL220+CM249*CM220+CN249*CN220</f>
        <v>0</v>
      </c>
      <c r="CS220" s="2651">
        <f>E250*E220+F250*F220+G250*G220+H250*H220+I250*I220+J250*J220+K250*K220+L250*L220+M250*M220+N250*N220+O250*O220+P250*P220+Q250*Q220+R250*R220+S250*S220+T250*T220+U250*U220+V250*V220+W250*W220+X250*X220+Y250*Y220+Z250*Z220+AA250*AA220+AB250*AB220+AC250*AC220+AD250*AD220+AE250*AE220+AF250*AF220+AG250*AG220+AH250*AH220+AI250*AI220+AJ250*AJ220+AK250*AK220+AL250*AL220+AM250*AM220+AN250*AN220+AO250*AO220+AP250*AP220+AQ250*AQ220+AR250*AR220+AS250*AS220+AT250*AT220+AU250*AU220+AV250*AV220+AW250*AW220+AX250*AX220+AY250*AY220+AZ250*AZ220+BA250*BA220+BB250*BB220+BC250*BC220+BD250*BD220+BE250*BE220+BF250*BF220+BG250*BG220+BH250*BH220+BI250*BI220+BJ250*BJ220+BK250*BK220+BL250*BL220+BM250*BM220+BN250*BN220+BO250*BO220+BP250*BP220+BQ250*BQ220+BR250*BR220+BS250*BS220+BT250*BT220+BU250*BU220+BV250*BV220+BW250*BW220+BX250*BX220+BY250*BY220+BZ250*BZ220+CA250*CA220+CB250*CB220+CC250*CC220+CD250*CD220+CE250*CE220+CF250*CF220+CG250*CG220+CH250*CH220+CI250*CI220+CJ250*CJ220+CK250*CK220+CL250*CL220+CM250*CM220+CN250*CN220</f>
        <v>0</v>
      </c>
      <c r="CT220" s="2652">
        <f>E251*E220+F251*F220+G251*G220+H251*H220+I251*I220+J251*J220+K251*K220+L251*L220+M251*M220+N251*N220+O251*O220+P251*P220+Q251*Q220+R251*R220+S251*S220+T251*T220+U251*U220+V251*V220+W251*W220+X251*X220+Y251*Y220+Z251*Z220+AA251*AA220+AB251*AB220+AC251*AC220+AD251*AD220+AE251*AE220+AF251*AF220+AG251*AG220+AH251*AH220+AI251*AI220+AJ251*AJ220+AK251*AK220+AL251*AL220+AM251*AM220+AN251*AN220+AO251*AO220+AP251*AP220+AQ251*AQ220+AR251*AR220+AS251*AS220+AT251*AT220+AU251*AU220+AV251*AV220+AW251*AW220+AX251*AX220+AY251*AY220+AZ251*AZ220+BA251*BA220+BB251*BB220+BC251*BC220+BD251*BD220+BE251*BE220+BF251*BF220+BG251*BG220+BH251*BH220+BI251*BI220+BJ251*BJ220+BK251*BK220+BL251*BL220+BM251*BM220+BN251*BN220+BO251*BO220+BP251*BP220+BQ251*BQ220+BR251*BR220+BS251*BS220+BT251*BT220+BU251*BU220+BV251*BV220+BW251*BW220+BX251*BX220+BY251*BY220+BZ251*BZ220+CA251*CA220+CB251*CB220+CC251*CC220+CD251*CD220+CE251*CE220+CF251*CF220+CG251*CG220+CH251*CH220+CI251*CI220+CJ251*CJ220+CK251*CK220+CL251*CL220+CM251*CM220+CN251*CN220</f>
        <v>0</v>
      </c>
      <c r="CU220" s="2652">
        <f>E252*E220+F252*F220+G252*G220+H252*H220+I252*I220+J252*J220+K252*K220+L252*L220+M252*M220+N252*N220+O252*O220+P252*P220+Q252*Q220+R252*R220+S252*S220+T252*T220+U252*U220+V252*V220+W252*W220+X252*X220+Y252*Y220+Z252*Z220+AA252*AA220+AB252*AB220+AC252*AC220+AD252*AD220+AE252*AE220+AF252*AF220+AG252*AG220+AH252*AH220+AI252*AI220+AJ252*AJ220+AK252*AK220+AL252*AL220+AM252*AM220+AN252*AN220+AO252*AO220+AP252*AP220+AQ252*AQ220+AR252*AR220+AS252*AS220+AT252*AT220+AU252*AU220+AV252*AV220+AW252*AW220+AX252*AX220+AY252*AY220+AZ252*AZ220+BA252*BA220+BB252*BB220+BC252*BC220+BD252*BD220+BE252*BE220+BF252*BF220+BG252*BG220+BH252*BH220+BI252*BI220+BJ252*BJ220+BK252*BK220+BL252*BL220+BM252*BM220+BN252*BN220+BO252*BO220+BP252*BP220+BQ252*BQ220+BR252*BR220+BS252*BS220+BT252*BT220+BU252*BU220+BV252*BV220+BW252*BW220+BX252*BX220+BY252*BY220+BZ252*BZ220+CA252*CA220+CB252*CB220+CC252*CC220+CD252*CD220+CE252*CE220+CF252*CF220+CG252*CG220+CH252*CH220+CI252*CI220+CJ252*CJ220+CK252*CK220+CL252*CL220+CM252*CM220+CN252*CN220</f>
        <v>0</v>
      </c>
      <c r="CV220" s="2652">
        <f>E253*E220+F253*F220+G253*G220+H253*H220+I253*I220+J253*J220+K253*K220+L253*L220+M253*M220+N253*N220+O253*O220+P253*P220+Q253*Q220+R253*R220+S253*S220+T253*T220+U253*U220+V253*V220+W253*W220+X253*X220+Y253*Y220+Z253*Z220+AA253*AA220+AB253*AB220+AC253*AC220+AD253*AD220+AE253*AE220+AF253*AF220+AG253*AG220+AH253*AH220+AI253*AI220+AJ253*AJ220+AK253*AK220+AL253*AL220+AM253*AM220+AN253*AN220+AO253*AO220+AP253*AP220+AQ253*AQ220+AR253*AR220+AS253*AS220+AT253*AT220+AU253*AU220+AV253*AV220+AW253*AW220+AX253*AX220+AY253*AY220+AZ253*AZ220+BA253*BA220+BB253*BB220+BC253*BC220+BD253*BD220+BE253*BE220+BF253*BF220+BG253*BG220+BH253*BH220+BI253*BI220+BJ253*BJ220+BK253*BK220+BL253*BL220+BM253*BM220+BN253*BN220+BO253*BO220+BP253*BP220+BQ253*BQ220+BR253*BR220+BS253*BS220+BT253*BT220+BU253*BU220+BV253*BV220+BW253*BW220+BX253*BX220+BY253*BY220+BZ253*BZ220+CA253*CA220+CB253*CB220+CC253*CC220+CD253*CD220+CE253*CE220+CF253*CF220+CG253*CG220+CH253*CH220+CI253*CI220+CJ253*CJ220+CK253*CK220+CL253*CL220+CM253*CM220+CN253*CN220</f>
        <v>0</v>
      </c>
      <c r="CW220" s="2652">
        <f>E254*E220+F254*F220+G254*G220+H254*H220+I254*I220+J254*J220+K254*K220+L254*L220+M254*M220+N254*N220+O254*O220+P254*P220+Q254*Q220+R254*R220+S254*S220+T254*T220+U254*U220+V254*V220+W254*W220+X254*X220+Y254*Y220+Z254*Z220+AA254*AA220+AB254*AB220+AC254*AC220+AD254*AD220+AE254*AE220+AF254*AF220+AG254*AG220+AH254*AH220+AI254*AI220+AJ254*AJ220+AK254*AK220+AL254*AL220+AM254*AM220+AN254*AN220+AO254*AO220+AP254*AP220+AQ254*AQ220+AR254*AR220+AS254*AS220+AT254*AT220+AU254*AU220+AV254*AV220+AW254*AW220+AX254*AX220+AY254*AY220+AZ254*AZ220+BA254*BA220+BB254*BB220+BC254*BC220+BD254*BD220+BE254*BE220+BF254*BF220+BG254*BG220+BH254*BH220+BI254*BI220+BJ254*BJ220+BK254*BK220+BL254*BL220+BM254*BM220+BN254*BN220+BO254*BO220+BP254*BP220+BQ254*BQ220+BR254*BR220+BS254*BS220+BT254*BT220+BU254*BU220+BV254*BV220+BW254*BW220+BX254*BX220+BY254*BY220+BZ254*BZ220+CA254*CA220+CB254*CB220+CC254*CC220+CD254*CD220+CE254*CE220+CF254*CF220+CG254*CG220+CH254*CH220+CI254*CI220+CJ254*CJ220+CK254*CK220+CL254*CL220+CM254*CM220+CN254*CN220</f>
        <v>0</v>
      </c>
      <c r="CX220" s="2652">
        <f>E255*E220+F255*F220+G255*G220+H255*H220+I255*I220+J255*J220+K255*K220+L255*L220+M255*M220+N255*N220+O255*O220+P255*P220+Q255*Q220+R255*R220+S255*S220+T255*T220+U255*U220+V255*V220+W255*W220+X255*X220+Y255*Y220+Z255*Z220+AA255*AA220+AB255*AB220+AC255*AC220+AD255*AD220+AE255*AE220+AF255*AF220+AG255*AG220+AH255*AH220+AI255*AI220+AJ255*AJ220+AK255*AK220+AL255*AL220+AM255*AM220+AN255*AN220+AO255*AO220+AP255*AP220+AQ255*AQ220+AR255*AR220+AS255*AS220+AT255*AT220+AU255*AU220+AV255*AV220+AW255*AW220+AX255*AX220+AY255*AY220+AZ255*AZ220+BA255*BA220+BB255*BB220+BC255*BC220+BD255*BD220+BE255*BE220+BF255*BF220+BG255*BG220+BH255*BH220+BI255*BI220+BJ255*BJ220+BK255*BK220+BL255*BL220+BM255*BM220+BN255*BN220+BO255*BO220+BP255*BP220+BQ255*BQ220+BR255*BR220+BS255*BS220+BT255*BT220+BU255*BU220+BV255*BV220+BW255*BW220+BX255*BX220+BY255*BY220+BZ255*BZ220+CA255*CA220+CB255*CB220+CC255*CC220+CD255*CD220+CE255*CE220+CF255*CF220+CG255*CG220+CH255*CH220+CI255*CI220+CJ255*CJ220+CK255*CK220+CL255*CL220+CM255*CM220+CN255*CN220</f>
        <v>0</v>
      </c>
      <c r="CY220" s="2652">
        <f>E256*E220+F256*F220+G256*G220+H256*H220+I256*I220+J256*J220+K256*K220+L256*L220+M256*M220+N256*N220+O256*O220+P256*P220+Q256*Q220+R256*R220+S256*S220+T256*T220+U256*U220+V256*V220+W256*W220+X256*X220+Y256*Y220+Z256*Z220+AA256*AA220+AB256*AB220+AC256*AC220+AD256*AD220+AE256*AE220+AF256*AF220+AG256*AG220+AH256*AH220+AI256*AI220+AJ256*AJ220+AK256*AK220+AL256*AL220+AM256*AM220+AN256*AN220+AO256*AO220+AP256*AP220+AQ256*AQ220+AR256*AR220+AS256*AS220+AT256*AT220+AU256*AU220+AV256*AV220+AW256*AW220+AX256*AX220+AY256*AY220+AZ256*AZ220+BA256*BA220+BB256*BB220+BC256*BC220+BD256*BD220+BE256*BE220+BF256*BF220+BG256*BG220+BH256*BH220+BI256*BI220+BJ256*BJ220+BK256*BK220+BL256*BL220+BM256*BM220+BN256*BN220+BO256*BO220+BP256*BP220+BQ256*BQ220+BR256*BR220+BS256*BS220+BT256*BT220+BU256*BU220+BV256*BV220+BW256*BW220+BX256*BX220+BY256*BY220+BZ256*BZ220+CA256*CA220+CB256*CB220+CC256*CC220+CD256*CD220+CE256*CE220+CF256*CF220+CG256*CG220+CH256*CH220+CI256*CI220+CJ256*CJ220+CK256*CK220+CL256*CL220+CM256*CM220+CN256*CN220</f>
        <v>0</v>
      </c>
      <c r="CZ220" s="2652">
        <f>E257*E220+F257*F220+G257*G220+H257*H220+I257*I220+J257*J220+K257*K220+L257*L220+M257*M220+N257*N220+O257*O220+P257*P220+Q257*Q220+R257*R220+S257*S220+T257*T220+U257*U220+V257*V220+W257*W220+X257*X220+Y257*Y220+Z257*Z220+AA257*AA220+AB257*AB220+AC257*AC220+AD257*AD220+AE257*AE220+AF257*AF220+AG257*AG220+AH257*AH220+AI257*AI220+AJ257*AJ220+AK257*AK220+AL257*AL220+AM257*AM220+AN257*AN220+AO257*AO220+AP257*AP220+AQ257*AQ220+AR257*AR220+AS257*AS220+AT257*AT220+AU257*AU220+AV257*AV220+AW257*AW220+AX257*AX220+AY257*AY220+AZ257*AZ220+BA257*BA220+BB257*BB220+BC257*BC220+BD257*BD220+BE257*BE220+BF257*BF220+BG257*BG220+BH257*BH220+BI257*BI220+BJ257*BJ220+BK257*BK220+BL257*BL220+BM257*BM220+BN257*BN220+BO257*BO220+BP257*BP220+BQ257*BQ220+BR257*BR220+BS257*BS220+BT257*BT220+BU257*BU220+BV257*BV220+BW257*BW220+BX257*BX220+BY257*BY220+BZ257*BZ220+CA257*CA220+CB257*CB220+CC257*CC220+CD257*CD220+CE257*CE220+CF257*CF220+CG257*CG220+CH257*CH220+CI257*CI220+CJ257*CJ220+CK257*CK220+CL257*CL220+CM257*CM220+CN257*CN220</f>
        <v>0</v>
      </c>
      <c r="DA220" s="2652">
        <f>E258*E220+F258*F220+G258*G220+H258*H220+I258*I220+J258*J220+K258*K220+L258*L220+M258*M220+N258*N220+O258*O220+P258*P220+Q258*Q220+R258*R220+S258*S220+T258*T220+U258*U220+V258*V220+W258*W220+X258*X220+Y258*Y220+Z258*Z220+AA258*AA220+AB258*AB220+AC258*AC220+AD258*AD220+AE258*AE220+AF258*AF220+AG258*AG220+AH258*AH220+AI258*AI220+AJ258*AJ220+AK258*AK220+AL258*AL220+AM258*AM220+AN258*AN220+AO258*AO220+AP258*AP220+AQ258*AQ220+AR258*AR220+AS258*AS220+AT258*AT220+AU258*AU220+AV258*AV220+AW258*AW220+AX258*AX220+AY258*AY220+AZ258*AZ220+BA258*BA220+BB258*BB220+BC258*BC220+BD258*BD220+BE258*BE220+BF258*BF220+BG258*BG220+BH258*BH220+BI258*BI220+BJ258*BJ220+BK258*BK220+BL258*BL220+BM258*BM220+BN258*BN220+BO258*BO220+BP258*BP220+BQ258*BQ220+BR258*BR220+BS258*BS220+BT258*BT220+BU258*BU220+BV258*BV220+BW258*BW220+BX258*BX220+BY258*BY220+BZ258*BZ220+CA258*CA220+CB258*CB220+CC258*CC220+CD258*CD220+CE258*CE220+CF258*CF220+CG258*CG220+CH258*CH220+CI258*CI220+CJ258*CJ220+CK258*CK220+CL258*CL220+CM258*CM220+CN258*CN220</f>
        <v>0</v>
      </c>
    </row>
    <row r="221" spans="2:105" ht="18" x14ac:dyDescent="0.25">
      <c r="B221" s="2181">
        <v>88</v>
      </c>
      <c r="C221" s="2182" t="s">
        <v>3062</v>
      </c>
      <c r="D221" s="1408" t="s">
        <v>4326</v>
      </c>
      <c r="E221" s="2698">
        <f>0</f>
        <v>0</v>
      </c>
      <c r="F221" s="2698">
        <f>0</f>
        <v>0</v>
      </c>
      <c r="G221" s="2698">
        <f>0</f>
        <v>0</v>
      </c>
      <c r="H221" s="2698">
        <f>0</f>
        <v>0</v>
      </c>
      <c r="I221" s="2698">
        <f>0</f>
        <v>0</v>
      </c>
      <c r="J221" s="2698">
        <f>0</f>
        <v>0</v>
      </c>
      <c r="K221" s="2693">
        <f>0</f>
        <v>0</v>
      </c>
      <c r="L221" s="2698">
        <f>0</f>
        <v>0</v>
      </c>
      <c r="M221" s="2698">
        <f>0</f>
        <v>0</v>
      </c>
      <c r="N221" s="2698">
        <f>0</f>
        <v>0</v>
      </c>
      <c r="O221" s="2698">
        <f>0</f>
        <v>0</v>
      </c>
      <c r="P221" s="2698">
        <f>0</f>
        <v>0</v>
      </c>
      <c r="Q221" s="2698">
        <f>0</f>
        <v>0</v>
      </c>
      <c r="R221" s="2729">
        <f>0</f>
        <v>0</v>
      </c>
      <c r="S221" s="2698">
        <f>0</f>
        <v>0</v>
      </c>
      <c r="T221" s="2698">
        <f>0</f>
        <v>0</v>
      </c>
      <c r="U221" s="2698">
        <f>0</f>
        <v>0</v>
      </c>
      <c r="V221" s="2698">
        <f>0</f>
        <v>0</v>
      </c>
      <c r="W221" s="2698">
        <f>0</f>
        <v>0</v>
      </c>
      <c r="X221" s="2698">
        <f>0</f>
        <v>0</v>
      </c>
      <c r="Y221" s="2698">
        <f>0</f>
        <v>0</v>
      </c>
      <c r="Z221" s="2698">
        <f>0</f>
        <v>0</v>
      </c>
      <c r="AA221" s="2698">
        <f>0</f>
        <v>0</v>
      </c>
      <c r="AB221" s="2698">
        <f>0</f>
        <v>0</v>
      </c>
      <c r="AC221" s="2693">
        <f>0</f>
        <v>0</v>
      </c>
      <c r="AD221" s="2698">
        <f>0</f>
        <v>0</v>
      </c>
      <c r="AE221" s="2751">
        <f>0</f>
        <v>0</v>
      </c>
      <c r="AF221" s="2698">
        <f>0</f>
        <v>0</v>
      </c>
      <c r="AG221" s="2698">
        <f>0</f>
        <v>0</v>
      </c>
      <c r="AH221" s="2751">
        <f>0</f>
        <v>0</v>
      </c>
      <c r="AI221" s="2698">
        <f>0</f>
        <v>0</v>
      </c>
      <c r="AJ221" s="2693">
        <f>0</f>
        <v>0</v>
      </c>
      <c r="AK221" s="2729">
        <f>0</f>
        <v>0</v>
      </c>
      <c r="AL221" s="2751">
        <f>-1</f>
        <v>-1</v>
      </c>
      <c r="AM221" s="2698">
        <f>0</f>
        <v>0</v>
      </c>
      <c r="AN221" s="2729">
        <f>0</f>
        <v>0</v>
      </c>
      <c r="AO221" s="2698">
        <f>0</f>
        <v>0</v>
      </c>
      <c r="AP221" s="2693">
        <f>0</f>
        <v>0</v>
      </c>
      <c r="AQ221" s="2698">
        <f>0</f>
        <v>0</v>
      </c>
      <c r="AR221" s="2698">
        <f>0</f>
        <v>0</v>
      </c>
      <c r="AS221" s="2698">
        <f>0</f>
        <v>0</v>
      </c>
      <c r="AT221" s="2698">
        <f>0</f>
        <v>0</v>
      </c>
      <c r="AU221" s="2698">
        <f>0</f>
        <v>0</v>
      </c>
      <c r="AV221" s="2729">
        <f>0</f>
        <v>0</v>
      </c>
      <c r="AW221" s="2698">
        <f>0</f>
        <v>0</v>
      </c>
      <c r="AX221" s="2698">
        <f>0</f>
        <v>0</v>
      </c>
      <c r="AY221" s="2698">
        <f>0</f>
        <v>0</v>
      </c>
      <c r="AZ221" s="2729">
        <f>0</f>
        <v>0</v>
      </c>
      <c r="BA221" s="2698">
        <f>0</f>
        <v>0</v>
      </c>
      <c r="BB221" s="2729">
        <f>0</f>
        <v>0</v>
      </c>
      <c r="BC221" s="2729">
        <f>0</f>
        <v>0</v>
      </c>
      <c r="BD221" s="2698">
        <f>0</f>
        <v>0</v>
      </c>
      <c r="BE221" s="2729">
        <f>0</f>
        <v>0</v>
      </c>
      <c r="BF221" s="2698">
        <f>0</f>
        <v>0</v>
      </c>
      <c r="BG221" s="2698">
        <f>0</f>
        <v>0</v>
      </c>
      <c r="BH221" s="2729">
        <f>0</f>
        <v>0</v>
      </c>
      <c r="BI221" s="2698">
        <f>0</f>
        <v>0</v>
      </c>
      <c r="BJ221" s="2698">
        <f>0</f>
        <v>0</v>
      </c>
      <c r="BK221" s="2729">
        <f>-1/(A_SFHAO_L*(A_MP/A_MAl))</f>
        <v>-8.7110825691042457</v>
      </c>
      <c r="BL221" s="2698">
        <f>0</f>
        <v>0</v>
      </c>
      <c r="BM221" s="2698">
        <f>0</f>
        <v>0</v>
      </c>
      <c r="BN221" s="2729">
        <f>1/(A_SFHAO_L*(A_MP/A_MAl))</f>
        <v>8.7110825691042457</v>
      </c>
      <c r="BO221" s="2698">
        <f>0</f>
        <v>0</v>
      </c>
      <c r="BP221" s="2698">
        <f>0</f>
        <v>0</v>
      </c>
      <c r="BQ221" s="2729">
        <f>0</f>
        <v>0</v>
      </c>
      <c r="BR221" s="2729">
        <f>0</f>
        <v>0</v>
      </c>
      <c r="BS221" s="2729">
        <f>0</f>
        <v>0</v>
      </c>
      <c r="BT221" s="2729">
        <f>0</f>
        <v>0</v>
      </c>
      <c r="BU221" s="2729">
        <f>0</f>
        <v>0</v>
      </c>
      <c r="BV221" s="2752">
        <f>0</f>
        <v>0</v>
      </c>
      <c r="BW221" s="2752">
        <f>0</f>
        <v>0</v>
      </c>
      <c r="BX221" s="2752">
        <f>0</f>
        <v>0</v>
      </c>
      <c r="BY221" s="2752">
        <f>0</f>
        <v>0</v>
      </c>
      <c r="BZ221" s="2729">
        <f>0</f>
        <v>0</v>
      </c>
      <c r="CA221" s="2729">
        <f>0</f>
        <v>0</v>
      </c>
      <c r="CB221" s="2811">
        <f>0</f>
        <v>0</v>
      </c>
      <c r="CC221" s="2729">
        <f>0</f>
        <v>0</v>
      </c>
      <c r="CD221" s="2729">
        <f>0</f>
        <v>0</v>
      </c>
      <c r="CE221" s="2729">
        <f>0</f>
        <v>0</v>
      </c>
      <c r="CF221" s="2729">
        <f>0</f>
        <v>0</v>
      </c>
      <c r="CG221" s="2729">
        <f>0</f>
        <v>0</v>
      </c>
      <c r="CH221" s="2729">
        <f>0</f>
        <v>0</v>
      </c>
      <c r="CI221" s="2729">
        <f>0</f>
        <v>0</v>
      </c>
      <c r="CJ221" s="2729">
        <f>0</f>
        <v>0</v>
      </c>
      <c r="CK221" s="2729">
        <f>0</f>
        <v>0</v>
      </c>
      <c r="CL221" s="2729">
        <f>0</f>
        <v>0</v>
      </c>
      <c r="CM221" s="2729">
        <f>0</f>
        <v>0</v>
      </c>
      <c r="CN221" s="2729">
        <f>0</f>
        <v>0</v>
      </c>
      <c r="CO221" s="2843">
        <f>q_P_HAO_BIND*X_HAO_L*M_satSPO4_KP_HAO_BIND</f>
        <v>8.3333333333333332E-51</v>
      </c>
      <c r="CQ221" s="2650">
        <f>E248*E221+F248*F221+G248*G221+H248*H221+I248*I221+J248*J221+K248*K221+L248*L221+M248*M221+N248*N221+O248*O221+P248*P221+Q248*Q221+R248*R221+S248*S221+T248*T221+U248*U221+V248*V221+W248*W221+X248*X221+Y248*Y221+Z248*Z221+AA248*AA221+AB248*AB221+AC248*AC221+AD248*AD221+AE248*AE221+AF248*AF221+AG248*AG221+AH248*AH221+AI248*AI221+AJ248*AJ221+AK248*AK221+AL248*AL221+AM248*AM221+AN248*AN221+AO248*AO221+AP248*AP221+AQ248*AQ221+AR248*AR221+AS248*AS221+AT248*AT221+AU248*AU221+AV248*AV221+AW248*AW221+AX248*AX221+AY248*AY221+AZ248*AZ221+BA248*BA221+BB248*BB221+BC248*BC221+BD248*BD221+BE248*BE221+BF248*BF221+BG248*BG221+BH248*BH221+BI248*BI221+BJ248*BJ221+BK248*BK221+BL248*BL221+BM248*BM221+BN248*BN221+BO248*BO221+BP248*BP221+BQ248*BQ221+BR248*BR221+BS248*BS221+BT248*BT221+BU248*BU221+BV248*BV221+BW248*BW221+BX248*BX221+BY248*BY221+BZ248*BZ221+CA248*CA221+CB248*CB221+CC248*CC221+CD248*CD221+CE248*CE221+CF248*CF221+CG248*CG221+CH248*CH221+CI248*CI221+CJ248*CJ221+CK248*CK221+CL248*CL221+CM248*CM221+CN248*CN221</f>
        <v>0</v>
      </c>
      <c r="CR221" s="2650">
        <f>E249*E221+F249*F221+G249*G221+H249*H221+I249*I221+J249*J221+K249*K221+L249*L221+M249*M221+N249*N221+O249*O221+P249*P221+Q249*Q221+R249*R221+S249*S221+T249*T221+U249*U221+V249*V221+W249*W221+X249*X221+Y249*Y221+Z249*Z221+AA249*AA221+AB249*AB221+AC249*AC221+AD249*AD221+AE249*AE221+AF249*AF221+AG249*AG221+AH249*AH221+AI249*AI221+AJ249*AJ221+AK249*AK221+AL249*AL221+AM249*AM221+AN249*AN221+AO249*AO221+AP249*AP221+AQ249*AQ221+AR249*AR221+AS249*AS221+AT249*AT221+AU249*AU221+AV249*AV221+AW249*AW221+AX249*AX221+AY249*AY221+AZ249*AZ221+BA249*BA221+BB249*BB221+BC249*BC221+BD249*BD221+BE249*BE221+BF249*BF221+BG249*BG221+BH249*BH221+BI249*BI221+BJ249*BJ221+BK249*BK221+BL249*BL221+BM249*BM221+BN249*BN221+BO249*BO221+BP249*BP221+BQ249*BQ221+BR249*BR221+BS249*BS221+BT249*BT221+BU249*BU221+BV249*BV221+BW249*BW221+BX249*BX221+BY249*BY221+BZ249*BZ221+CA249*CA221+CB249*CB221+CC249*CC221+CD249*CD221+CE249*CE221+CF249*CF221+CG249*CG221+CH249*CH221+CI249*CI221+CJ249*CJ221+CK249*CK221+CL249*CL221+CM249*CM221+CN249*CN221</f>
        <v>0</v>
      </c>
      <c r="CS221" s="2651">
        <f>E250*E221+F250*F221+G250*G221+H250*H221+I250*I221+J250*J221+K250*K221+L250*L221+M250*M221+N250*N221+O250*O221+P250*P221+Q250*Q221+R250*R221+S250*S221+T250*T221+U250*U221+V250*V221+W250*W221+X250*X221+Y250*Y221+Z250*Z221+AA250*AA221+AB250*AB221+AC250*AC221+AD250*AD221+AE250*AE221+AF250*AF221+AG250*AG221+AH250*AH221+AI250*AI221+AJ250*AJ221+AK250*AK221+AL250*AL221+AM250*AM221+AN250*AN221+AO250*AO221+AP250*AP221+AQ250*AQ221+AR250*AR221+AS250*AS221+AT250*AT221+AU250*AU221+AV250*AV221+AW250*AW221+AX250*AX221+AY250*AY221+AZ250*AZ221+BA250*BA221+BB250*BB221+BC250*BC221+BD250*BD221+BE250*BE221+BF250*BF221+BG250*BG221+BH250*BH221+BI250*BI221+BJ250*BJ221+BK250*BK221+BL250*BL221+BM250*BM221+BN250*BN221+BO250*BO221+BP250*BP221+BQ250*BQ221+BR250*BR221+BS250*BS221+BT250*BT221+BU250*BU221+BV250*BV221+BW250*BW221+BX250*BX221+BY250*BY221+BZ250*BZ221+CA250*CA221+CB250*CB221+CC250*CC221+CD250*CD221+CE250*CE221+CF250*CF221+CG250*CG221+CH250*CH221+CI250*CI221+CJ250*CJ221+CK250*CK221+CL250*CL221+CM250*CM221+CN250*CN221</f>
        <v>0</v>
      </c>
      <c r="CT221" s="2652">
        <f>E251*E221+F251*F221+G251*G221+H251*H221+I251*I221+J251*J221+K251*K221+L251*L221+M251*M221+N251*N221+O251*O221+P251*P221+Q251*Q221+R251*R221+S251*S221+T251*T221+U251*U221+V251*V221+W251*W221+X251*X221+Y251*Y221+Z251*Z221+AA251*AA221+AB251*AB221+AC251*AC221+AD251*AD221+AE251*AE221+AF251*AF221+AG251*AG221+AH251*AH221+AI251*AI221+AJ251*AJ221+AK251*AK221+AL251*AL221+AM251*AM221+AN251*AN221+AO251*AO221+AP251*AP221+AQ251*AQ221+AR251*AR221+AS251*AS221+AT251*AT221+AU251*AU221+AV251*AV221+AW251*AW221+AX251*AX221+AY251*AY221+AZ251*AZ221+BA251*BA221+BB251*BB221+BC251*BC221+BD251*BD221+BE251*BE221+BF251*BF221+BG251*BG221+BH251*BH221+BI251*BI221+BJ251*BJ221+BK251*BK221+BL251*BL221+BM251*BM221+BN251*BN221+BO251*BO221+BP251*BP221+BQ251*BQ221+BR251*BR221+BS251*BS221+BT251*BT221+BU251*BU221+BV251*BV221+BW251*BW221+BX251*BX221+BY251*BY221+BZ251*BZ221+CA251*CA221+CB251*CB221+CC251*CC221+CD251*CD221+CE251*CE221+CF251*CF221+CG251*CG221+CH251*CH221+CI251*CI221+CJ251*CJ221+CK251*CK221+CL251*CL221+CM251*CM221+CN251*CN221</f>
        <v>0</v>
      </c>
      <c r="CU221" s="2652">
        <f>E252*E221+F252*F221+G252*G221+H252*H221+I252*I221+J252*J221+K252*K221+L252*L221+M252*M221+N252*N221+O252*O221+P252*P221+Q252*Q221+R252*R221+S252*S221+T252*T221+U252*U221+V252*V221+W252*W221+X252*X221+Y252*Y221+Z252*Z221+AA252*AA221+AB252*AB221+AC252*AC221+AD252*AD221+AE252*AE221+AF252*AF221+AG252*AG221+AH252*AH221+AI252*AI221+AJ252*AJ221+AK252*AK221+AL252*AL221+AM252*AM221+AN252*AN221+AO252*AO221+AP252*AP221+AQ252*AQ221+AR252*AR221+AS252*AS221+AT252*AT221+AU252*AU221+AV252*AV221+AW252*AW221+AX252*AX221+AY252*AY221+AZ252*AZ221+BA252*BA221+BB252*BB221+BC252*BC221+BD252*BD221+BE252*BE221+BF252*BF221+BG252*BG221+BH252*BH221+BI252*BI221+BJ252*BJ221+BK252*BK221+BL252*BL221+BM252*BM221+BN252*BN221+BO252*BO221+BP252*BP221+BQ252*BQ221+BR252*BR221+BS252*BS221+BT252*BT221+BU252*BU221+BV252*BV221+BW252*BW221+BX252*BX221+BY252*BY221+BZ252*BZ221+CA252*CA221+CB252*CB221+CC252*CC221+CD252*CD221+CE252*CE221+CF252*CF221+CG252*CG221+CH252*CH221+CI252*CI221+CJ252*CJ221+CK252*CK221+CL252*CL221+CM252*CM221+CN252*CN221</f>
        <v>0</v>
      </c>
      <c r="CV221" s="2652">
        <f>E253*E221+F253*F221+G253*G221+H253*H221+I253*I221+J253*J221+K253*K221+L253*L221+M253*M221+N253*N221+O253*O221+P253*P221+Q253*Q221+R253*R221+S253*S221+T253*T221+U253*U221+V253*V221+W253*W221+X253*X221+Y253*Y221+Z253*Z221+AA253*AA221+AB253*AB221+AC253*AC221+AD253*AD221+AE253*AE221+AF253*AF221+AG253*AG221+AH253*AH221+AI253*AI221+AJ253*AJ221+AK253*AK221+AL253*AL221+AM253*AM221+AN253*AN221+AO253*AO221+AP253*AP221+AQ253*AQ221+AR253*AR221+AS253*AS221+AT253*AT221+AU253*AU221+AV253*AV221+AW253*AW221+AX253*AX221+AY253*AY221+AZ253*AZ221+BA253*BA221+BB253*BB221+BC253*BC221+BD253*BD221+BE253*BE221+BF253*BF221+BG253*BG221+BH253*BH221+BI253*BI221+BJ253*BJ221+BK253*BK221+BL253*BL221+BM253*BM221+BN253*BN221+BO253*BO221+BP253*BP221+BQ253*BQ221+BR253*BR221+BS253*BS221+BT253*BT221+BU253*BU221+BV253*BV221+BW253*BW221+BX253*BX221+BY253*BY221+BZ253*BZ221+CA253*CA221+CB253*CB221+CC253*CC221+CD253*CD221+CE253*CE221+CF253*CF221+CG253*CG221+CH253*CH221+CI253*CI221+CJ253*CJ221+CK253*CK221+CL253*CL221+CM253*CM221+CN253*CN221</f>
        <v>0</v>
      </c>
      <c r="CW221" s="2652">
        <f>E254*E221+F254*F221+G254*G221+H254*H221+I254*I221+J254*J221+K254*K221+L254*L221+M254*M221+N254*N221+O254*O221+P254*P221+Q254*Q221+R254*R221+S254*S221+T254*T221+U254*U221+V254*V221+W254*W221+X254*X221+Y254*Y221+Z254*Z221+AA254*AA221+AB254*AB221+AC254*AC221+AD254*AD221+AE254*AE221+AF254*AF221+AG254*AG221+AH254*AH221+AI254*AI221+AJ254*AJ221+AK254*AK221+AL254*AL221+AM254*AM221+AN254*AN221+AO254*AO221+AP254*AP221+AQ254*AQ221+AR254*AR221+AS254*AS221+AT254*AT221+AU254*AU221+AV254*AV221+AW254*AW221+AX254*AX221+AY254*AY221+AZ254*AZ221+BA254*BA221+BB254*BB221+BC254*BC221+BD254*BD221+BE254*BE221+BF254*BF221+BG254*BG221+BH254*BH221+BI254*BI221+BJ254*BJ221+BK254*BK221+BL254*BL221+BM254*BM221+BN254*BN221+BO254*BO221+BP254*BP221+BQ254*BQ221+BR254*BR221+BS254*BS221+BT254*BT221+BU254*BU221+BV254*BV221+BW254*BW221+BX254*BX221+BY254*BY221+BZ254*BZ221+CA254*CA221+CB254*CB221+CC254*CC221+CD254*CD221+CE254*CE221+CF254*CF221+CG254*CG221+CH254*CH221+CI254*CI221+CJ254*CJ221+CK254*CK221+CL254*CL221+CM254*CM221+CN254*CN221</f>
        <v>0</v>
      </c>
      <c r="CX221" s="2652">
        <f>E255*E221+F255*F221+G255*G221+H255*H221+I255*I221+J255*J221+K255*K221+L255*L221+M255*M221+N255*N221+O255*O221+P255*P221+Q255*Q221+R255*R221+S255*S221+T255*T221+U255*U221+V255*V221+W255*W221+X255*X221+Y255*Y221+Z255*Z221+AA255*AA221+AB255*AB221+AC255*AC221+AD255*AD221+AE255*AE221+AF255*AF221+AG255*AG221+AH255*AH221+AI255*AI221+AJ255*AJ221+AK255*AK221+AL255*AL221+AM255*AM221+AN255*AN221+AO255*AO221+AP255*AP221+AQ255*AQ221+AR255*AR221+AS255*AS221+AT255*AT221+AU255*AU221+AV255*AV221+AW255*AW221+AX255*AX221+AY255*AY221+AZ255*AZ221+BA255*BA221+BB255*BB221+BC255*BC221+BD255*BD221+BE255*BE221+BF255*BF221+BG255*BG221+BH255*BH221+BI255*BI221+BJ255*BJ221+BK255*BK221+BL255*BL221+BM255*BM221+BN255*BN221+BO255*BO221+BP255*BP221+BQ255*BQ221+BR255*BR221+BS255*BS221+BT255*BT221+BU255*BU221+BV255*BV221+BW255*BW221+BX255*BX221+BY255*BY221+BZ255*BZ221+CA255*CA221+CB255*CB221+CC255*CC221+CD255*CD221+CE255*CE221+CF255*CF221+CG255*CG221+CH255*CH221+CI255*CI221+CJ255*CJ221+CK255*CK221+CL255*CL221+CM255*CM221+CN255*CN221</f>
        <v>0</v>
      </c>
      <c r="CY221" s="2652">
        <f>E256*E221+F256*F221+G256*G221+H256*H221+I256*I221+J256*J221+K256*K221+L256*L221+M256*M221+N256*N221+O256*O221+P256*P221+Q256*Q221+R256*R221+S256*S221+T256*T221+U256*U221+V256*V221+W256*W221+X256*X221+Y256*Y221+Z256*Z221+AA256*AA221+AB256*AB221+AC256*AC221+AD256*AD221+AE256*AE221+AF256*AF221+AG256*AG221+AH256*AH221+AI256*AI221+AJ256*AJ221+AK256*AK221+AL256*AL221+AM256*AM221+AN256*AN221+AO256*AO221+AP256*AP221+AQ256*AQ221+AR256*AR221+AS256*AS221+AT256*AT221+AU256*AU221+AV256*AV221+AW256*AW221+AX256*AX221+AY256*AY221+AZ256*AZ221+BA256*BA221+BB256*BB221+BC256*BC221+BD256*BD221+BE256*BE221+BF256*BF221+BG256*BG221+BH256*BH221+BI256*BI221+BJ256*BJ221+BK256*BK221+BL256*BL221+BM256*BM221+BN256*BN221+BO256*BO221+BP256*BP221+BQ256*BQ221+BR256*BR221+BS256*BS221+BT256*BT221+BU256*BU221+BV256*BV221+BW256*BW221+BX256*BX221+BY256*BY221+BZ256*BZ221+CA256*CA221+CB256*CB221+CC256*CC221+CD256*CD221+CE256*CE221+CF256*CF221+CG256*CG221+CH256*CH221+CI256*CI221+CJ256*CJ221+CK256*CK221+CL256*CL221+CM256*CM221+CN256*CN221</f>
        <v>0</v>
      </c>
      <c r="CZ221" s="2652">
        <f>E257*E221+F257*F221+G257*G221+H257*H221+I257*I221+J257*J221+K257*K221+L257*L221+M257*M221+N257*N221+O257*O221+P257*P221+Q257*Q221+R257*R221+S257*S221+T257*T221+U257*U221+V257*V221+W257*W221+X257*X221+Y257*Y221+Z257*Z221+AA257*AA221+AB257*AB221+AC257*AC221+AD257*AD221+AE257*AE221+AF257*AF221+AG257*AG221+AH257*AH221+AI257*AI221+AJ257*AJ221+AK257*AK221+AL257*AL221+AM257*AM221+AN257*AN221+AO257*AO221+AP257*AP221+AQ257*AQ221+AR257*AR221+AS257*AS221+AT257*AT221+AU257*AU221+AV257*AV221+AW257*AW221+AX257*AX221+AY257*AY221+AZ257*AZ221+BA257*BA221+BB257*BB221+BC257*BC221+BD257*BD221+BE257*BE221+BF257*BF221+BG257*BG221+BH257*BH221+BI257*BI221+BJ257*BJ221+BK257*BK221+BL257*BL221+BM257*BM221+BN257*BN221+BO257*BO221+BP257*BP221+BQ257*BQ221+BR257*BR221+BS257*BS221+BT257*BT221+BU257*BU221+BV257*BV221+BW257*BW221+BX257*BX221+BY257*BY221+BZ257*BZ221+CA257*CA221+CB257*CB221+CC257*CC221+CD257*CD221+CE257*CE221+CF257*CF221+CG257*CG221+CH257*CH221+CI257*CI221+CJ257*CJ221+CK257*CK221+CL257*CL221+CM257*CM221+CN257*CN221</f>
        <v>0</v>
      </c>
      <c r="DA221" s="2652">
        <f>E258*E221+F258*F221+G258*G221+H258*H221+I258*I221+J258*J221+K258*K221+L258*L221+M258*M221+N258*N221+O258*O221+P258*P221+Q258*Q221+R258*R221+S258*S221+T258*T221+U258*U221+V258*V221+W258*W221+X258*X221+Y258*Y221+Z258*Z221+AA258*AA221+AB258*AB221+AC258*AC221+AD258*AD221+AE258*AE221+AF258*AF221+AG258*AG221+AH258*AH221+AI258*AI221+AJ258*AJ221+AK258*AK221+AL258*AL221+AM258*AM221+AN258*AN221+AO258*AO221+AP258*AP221+AQ258*AQ221+AR258*AR221+AS258*AS221+AT258*AT221+AU258*AU221+AV258*AV221+AW258*AW221+AX258*AX221+AY258*AY221+AZ258*AZ221+BA258*BA221+BB258*BB221+BC258*BC221+BD258*BD221+BE258*BE221+BF258*BF221+BG258*BG221+BH258*BH221+BI258*BI221+BJ258*BJ221+BK258*BK221+BL258*BL221+BM258*BM221+BN258*BN221+BO258*BO221+BP258*BP221+BQ258*BQ221+BR258*BR221+BS258*BS221+BT258*BT221+BU258*BU221+BV258*BV221+BW258*BW221+BX258*BX221+BY258*BY221+BZ258*BZ221+CA258*CA221+CB258*CB221+CC258*CC221+CD258*CD221+CE258*CE221+CF258*CF221+CG258*CG221+CH258*CH221+CI258*CI221+CJ258*CJ221+CK258*CK221+CL258*CL221+CM258*CM221+CN258*CN221</f>
        <v>0</v>
      </c>
    </row>
    <row r="222" spans="2:105" ht="18" x14ac:dyDescent="0.25">
      <c r="B222" s="2181">
        <v>89</v>
      </c>
      <c r="C222" s="2182" t="s">
        <v>3063</v>
      </c>
      <c r="D222" s="1408" t="s">
        <v>4330</v>
      </c>
      <c r="E222" s="2698">
        <f>0</f>
        <v>0</v>
      </c>
      <c r="F222" s="2698">
        <f>0</f>
        <v>0</v>
      </c>
      <c r="G222" s="2698">
        <f>0</f>
        <v>0</v>
      </c>
      <c r="H222" s="2698">
        <f>0</f>
        <v>0</v>
      </c>
      <c r="I222" s="2698">
        <f>0</f>
        <v>0</v>
      </c>
      <c r="J222" s="2698">
        <f>0</f>
        <v>0</v>
      </c>
      <c r="K222" s="2693">
        <f>0</f>
        <v>0</v>
      </c>
      <c r="L222" s="2698">
        <f>0</f>
        <v>0</v>
      </c>
      <c r="M222" s="2698">
        <f>0</f>
        <v>0</v>
      </c>
      <c r="N222" s="2698">
        <f>0</f>
        <v>0</v>
      </c>
      <c r="O222" s="2698">
        <f>0</f>
        <v>0</v>
      </c>
      <c r="P222" s="2698">
        <f>0</f>
        <v>0</v>
      </c>
      <c r="Q222" s="2698">
        <f>0</f>
        <v>0</v>
      </c>
      <c r="R222" s="2729">
        <f>0</f>
        <v>0</v>
      </c>
      <c r="S222" s="2698">
        <f>0</f>
        <v>0</v>
      </c>
      <c r="T222" s="2698">
        <f>0</f>
        <v>0</v>
      </c>
      <c r="U222" s="2698">
        <f>0</f>
        <v>0</v>
      </c>
      <c r="V222" s="2698">
        <f>0</f>
        <v>0</v>
      </c>
      <c r="W222" s="2698">
        <f>0</f>
        <v>0</v>
      </c>
      <c r="X222" s="2698">
        <f>0</f>
        <v>0</v>
      </c>
      <c r="Y222" s="2698">
        <f>0</f>
        <v>0</v>
      </c>
      <c r="Z222" s="2698">
        <f>0</f>
        <v>0</v>
      </c>
      <c r="AA222" s="2698">
        <f>0</f>
        <v>0</v>
      </c>
      <c r="AB222" s="2698">
        <f>0</f>
        <v>0</v>
      </c>
      <c r="AC222" s="2693">
        <f>0</f>
        <v>0</v>
      </c>
      <c r="AD222" s="2698">
        <f>0</f>
        <v>0</v>
      </c>
      <c r="AE222" s="2729">
        <f>0</f>
        <v>0</v>
      </c>
      <c r="AF222" s="2698">
        <f>0</f>
        <v>0</v>
      </c>
      <c r="AG222" s="2698">
        <f>0</f>
        <v>0</v>
      </c>
      <c r="AH222" s="2729">
        <f>0</f>
        <v>0</v>
      </c>
      <c r="AI222" s="2698">
        <f>0</f>
        <v>0</v>
      </c>
      <c r="AJ222" s="2693">
        <f>0</f>
        <v>0</v>
      </c>
      <c r="AK222" s="2729">
        <f>0</f>
        <v>0</v>
      </c>
      <c r="AL222" s="2729">
        <f>(A_SFHAO_H*(A_MP/A_MAl))</f>
        <v>1.1479629449808202</v>
      </c>
      <c r="AM222" s="2698">
        <f>0</f>
        <v>0</v>
      </c>
      <c r="AN222" s="2729">
        <f>0</f>
        <v>0</v>
      </c>
      <c r="AO222" s="2698">
        <f>0</f>
        <v>0</v>
      </c>
      <c r="AP222" s="2693">
        <f>0</f>
        <v>0</v>
      </c>
      <c r="AQ222" s="2698">
        <f>0</f>
        <v>0</v>
      </c>
      <c r="AR222" s="2698">
        <f>0</f>
        <v>0</v>
      </c>
      <c r="AS222" s="2698">
        <f>0</f>
        <v>0</v>
      </c>
      <c r="AT222" s="2698">
        <f>0</f>
        <v>0</v>
      </c>
      <c r="AU222" s="2698">
        <f>0</f>
        <v>0</v>
      </c>
      <c r="AV222" s="2729">
        <f>0</f>
        <v>0</v>
      </c>
      <c r="AW222" s="2698">
        <f>0</f>
        <v>0</v>
      </c>
      <c r="AX222" s="2698">
        <f>0</f>
        <v>0</v>
      </c>
      <c r="AY222" s="2698">
        <f>0</f>
        <v>0</v>
      </c>
      <c r="AZ222" s="2729">
        <f>0</f>
        <v>0</v>
      </c>
      <c r="BA222" s="2698">
        <f>0</f>
        <v>0</v>
      </c>
      <c r="BB222" s="2729">
        <f>0</f>
        <v>0</v>
      </c>
      <c r="BC222" s="2729">
        <f>0</f>
        <v>0</v>
      </c>
      <c r="BD222" s="2761">
        <f>0</f>
        <v>0</v>
      </c>
      <c r="BE222" s="2761">
        <f>0</f>
        <v>0</v>
      </c>
      <c r="BF222" s="2761">
        <f>0</f>
        <v>0</v>
      </c>
      <c r="BG222" s="2761">
        <f>0</f>
        <v>0</v>
      </c>
      <c r="BH222" s="2761">
        <f>0</f>
        <v>0</v>
      </c>
      <c r="BI222" s="2761">
        <f>0</f>
        <v>0</v>
      </c>
      <c r="BJ222" s="2761">
        <f>1</f>
        <v>1</v>
      </c>
      <c r="BK222" s="2761">
        <f>0</f>
        <v>0</v>
      </c>
      <c r="BL222" s="2761">
        <f>0</f>
        <v>0</v>
      </c>
      <c r="BM222" s="2761">
        <f>-1</f>
        <v>-1</v>
      </c>
      <c r="BN222" s="2761">
        <f>0</f>
        <v>0</v>
      </c>
      <c r="BO222" s="2761">
        <f>0</f>
        <v>0</v>
      </c>
      <c r="BP222" s="2761">
        <f>0</f>
        <v>0</v>
      </c>
      <c r="BQ222" s="2729">
        <f>0</f>
        <v>0</v>
      </c>
      <c r="BR222" s="2729">
        <f>0</f>
        <v>0</v>
      </c>
      <c r="BS222" s="2729">
        <f>0</f>
        <v>0</v>
      </c>
      <c r="BT222" s="2729">
        <f>0</f>
        <v>0</v>
      </c>
      <c r="BU222" s="2729">
        <f>0</f>
        <v>0</v>
      </c>
      <c r="BV222" s="2752">
        <f>0</f>
        <v>0</v>
      </c>
      <c r="BW222" s="2752">
        <f>0</f>
        <v>0</v>
      </c>
      <c r="BX222" s="2752">
        <f>0</f>
        <v>0</v>
      </c>
      <c r="BY222" s="2752">
        <f>0</f>
        <v>0</v>
      </c>
      <c r="BZ222" s="2729">
        <f>0</f>
        <v>0</v>
      </c>
      <c r="CA222" s="2729">
        <f>0</f>
        <v>0</v>
      </c>
      <c r="CB222" s="2811">
        <f>0</f>
        <v>0</v>
      </c>
      <c r="CC222" s="2729">
        <f>0</f>
        <v>0</v>
      </c>
      <c r="CD222" s="2729">
        <f>0</f>
        <v>0</v>
      </c>
      <c r="CE222" s="2729">
        <f>0</f>
        <v>0</v>
      </c>
      <c r="CF222" s="2729">
        <f>0</f>
        <v>0</v>
      </c>
      <c r="CG222" s="2729">
        <f>0</f>
        <v>0</v>
      </c>
      <c r="CH222" s="2729">
        <f>0</f>
        <v>0</v>
      </c>
      <c r="CI222" s="2729">
        <f>0</f>
        <v>0</v>
      </c>
      <c r="CJ222" s="2729">
        <f>0</f>
        <v>0</v>
      </c>
      <c r="CK222" s="2729">
        <f>0</f>
        <v>0</v>
      </c>
      <c r="CL222" s="2729">
        <f>0</f>
        <v>0</v>
      </c>
      <c r="CM222" s="2729">
        <f>0</f>
        <v>0</v>
      </c>
      <c r="CN222" s="2729">
        <f>0</f>
        <v>0</v>
      </c>
      <c r="CO222" s="2843">
        <f>q_HAOH_DESORP*X_HAO_H_P*M_inhSPO4_KiP_HAO_DESORP</f>
        <v>1.6666666666666669E-49</v>
      </c>
      <c r="CQ222" s="2650">
        <f>E248*E222+F248*F222+G248*G222+H248*H222+I248*I222+J248*J222+K248*K222+L248*L222+M248*M222+N248*N222+O248*O222+P248*P222+Q248*Q222+R248*R222+S248*S222+T248*T222+U248*U222+V248*V222+W248*W222+X248*X222+Y248*Y222+Z248*Z222+AA248*AA222+AB248*AB222+AC248*AC222+AD248*AD222+AE248*AE222+AF248*AF222+AG248*AG222+AH248*AH222+AI248*AI222+AJ248*AJ222+AK248*AK222+AL248*AL222+AM248*AM222+AN248*AN222+AO248*AO222+AP248*AP222+AQ248*AQ222+AR248*AR222+AS248*AS222+AT248*AT222+AU248*AU222+AV248*AV222+AW248*AW222+AX248*AX222+AY248*AY222+AZ248*AZ222+BA248*BA222+BB248*BB222+BC248*BC222+BD248*BD222+BE248*BE222+BF248*BF222+BG248*BG222+BH248*BH222+BI248*BI222+BJ248*BJ222+BK248*BK222+BL248*BL222+BM248*BM222+BN248*BN222+BO248*BO222+BP248*BP222+BQ248*BQ222+BR248*BR222+BS248*BS222+BT248*BT222+BU248*BU222+BV248*BV222+BW248*BW222+BX248*BX222+BY248*BY222+BZ248*BZ222+CA248*CA222+CB248*CB222+CC248*CC222+CD248*CD222+CE248*CE222+CF248*CF222+CG248*CG222+CH248*CH222+CI248*CI222+CJ248*CJ222+CK248*CK222+CL248*CL222+CM248*CM222+CN248*CN222</f>
        <v>0</v>
      </c>
      <c r="CR222" s="2650">
        <f>E249*E222+F249*F222+G249*G222+H249*H222+I249*I222+J249*J222+K249*K222+L249*L222+M249*M222+N249*N222+O249*O222+P249*P222+Q249*Q222+R249*R222+S249*S222+T249*T222+U249*U222+V249*V222+W249*W222+X249*X222+Y249*Y222+Z249*Z222+AA249*AA222+AB249*AB222+AC249*AC222+AD249*AD222+AE249*AE222+AF249*AF222+AG249*AG222+AH249*AH222+AI249*AI222+AJ249*AJ222+AK249*AK222+AL249*AL222+AM249*AM222+AN249*AN222+AO249*AO222+AP249*AP222+AQ249*AQ222+AR249*AR222+AS249*AS222+AT249*AT222+AU249*AU222+AV249*AV222+AW249*AW222+AX249*AX222+AY249*AY222+AZ249*AZ222+BA249*BA222+BB249*BB222+BC249*BC222+BD249*BD222+BE249*BE222+BF249*BF222+BG249*BG222+BH249*BH222+BI249*BI222+BJ249*BJ222+BK249*BK222+BL249*BL222+BM249*BM222+BN249*BN222+BO249*BO222+BP249*BP222+BQ249*BQ222+BR249*BR222+BS249*BS222+BT249*BT222+BU249*BU222+BV249*BV222+BW249*BW222+BX249*BX222+BY249*BY222+BZ249*BZ222+CA249*CA222+CB249*CB222+CC249*CC222+CD249*CD222+CE249*CE222+CF249*CF222+CG249*CG222+CH249*CH222+CI249*CI222+CJ249*CJ222+CK249*CK222+CL249*CL222+CM249*CM222+CN249*CN222</f>
        <v>0</v>
      </c>
      <c r="CS222" s="2651">
        <f>E250*E222+F250*F222+G250*G222+H250*H222+I250*I222+J250*J222+K250*K222+L250*L222+M250*M222+N250*N222+O250*O222+P250*P222+Q250*Q222+R250*R222+S250*S222+T250*T222+U250*U222+V250*V222+W250*W222+X250*X222+Y250*Y222+Z250*Z222+AA250*AA222+AB250*AB222+AC250*AC222+AD250*AD222+AE250*AE222+AF250*AF222+AG250*AG222+AH250*AH222+AI250*AI222+AJ250*AJ222+AK250*AK222+AL250*AL222+AM250*AM222+AN250*AN222+AO250*AO222+AP250*AP222+AQ250*AQ222+AR250*AR222+AS250*AS222+AT250*AT222+AU250*AU222+AV250*AV222+AW250*AW222+AX250*AX222+AY250*AY222+AZ250*AZ222+BA250*BA222+BB250*BB222+BC250*BC222+BD250*BD222+BE250*BE222+BF250*BF222+BG250*BG222+BH250*BH222+BI250*BI222+BJ250*BJ222+BK250*BK222+BL250*BL222+BM250*BM222+BN250*BN222+BO250*BO222+BP250*BP222+BQ250*BQ222+BR250*BR222+BS250*BS222+BT250*BT222+BU250*BU222+BV250*BV222+BW250*BW222+BX250*BX222+BY250*BY222+BZ250*BZ222+CA250*CA222+CB250*CB222+CC250*CC222+CD250*CD222+CE250*CE222+CF250*CF222+CG250*CG222+CH250*CH222+CI250*CI222+CJ250*CJ222+CK250*CK222+CL250*CL222+CM250*CM222+CN250*CN222</f>
        <v>0</v>
      </c>
      <c r="CT222" s="2652">
        <f>E251*E222+F251*F222+G251*G222+H251*H222+I251*I222+J251*J222+K251*K222+L251*L222+M251*M222+N251*N222+O251*O222+P251*P222+Q251*Q222+R251*R222+S251*S222+T251*T222+U251*U222+V251*V222+W251*W222+X251*X222+Y251*Y222+Z251*Z222+AA251*AA222+AB251*AB222+AC251*AC222+AD251*AD222+AE251*AE222+AF251*AF222+AG251*AG222+AH251*AH222+AI251*AI222+AJ251*AJ222+AK251*AK222+AL251*AL222+AM251*AM222+AN251*AN222+AO251*AO222+AP251*AP222+AQ251*AQ222+AR251*AR222+AS251*AS222+AT251*AT222+AU251*AU222+AV251*AV222+AW251*AW222+AX251*AX222+AY251*AY222+AZ251*AZ222+BA251*BA222+BB251*BB222+BC251*BC222+BD251*BD222+BE251*BE222+BF251*BF222+BG251*BG222+BH251*BH222+BI251*BI222+BJ251*BJ222+BK251*BK222+BL251*BL222+BM251*BM222+BN251*BN222+BO251*BO222+BP251*BP222+BQ251*BQ222+BR251*BR222+BS251*BS222+BT251*BT222+BU251*BU222+BV251*BV222+BW251*BW222+BX251*BX222+BY251*BY222+BZ251*BZ222+CA251*CA222+CB251*CB222+CC251*CC222+CD251*CD222+CE251*CE222+CF251*CF222+CG251*CG222+CH251*CH222+CI251*CI222+CJ251*CJ222+CK251*CK222+CL251*CL222+CM251*CM222+CN251*CN222</f>
        <v>0</v>
      </c>
      <c r="CU222" s="2652">
        <f>E252*E222+F252*F222+G252*G222+H252*H222+I252*I222+J252*J222+K252*K222+L252*L222+M252*M222+N252*N222+O252*O222+P252*P222+Q252*Q222+R252*R222+S252*S222+T252*T222+U252*U222+V252*V222+W252*W222+X252*X222+Y252*Y222+Z252*Z222+AA252*AA222+AB252*AB222+AC252*AC222+AD252*AD222+AE252*AE222+AF252*AF222+AG252*AG222+AH252*AH222+AI252*AI222+AJ252*AJ222+AK252*AK222+AL252*AL222+AM252*AM222+AN252*AN222+AO252*AO222+AP252*AP222+AQ252*AQ222+AR252*AR222+AS252*AS222+AT252*AT222+AU252*AU222+AV252*AV222+AW252*AW222+AX252*AX222+AY252*AY222+AZ252*AZ222+BA252*BA222+BB252*BB222+BC252*BC222+BD252*BD222+BE252*BE222+BF252*BF222+BG252*BG222+BH252*BH222+BI252*BI222+BJ252*BJ222+BK252*BK222+BL252*BL222+BM252*BM222+BN252*BN222+BO252*BO222+BP252*BP222+BQ252*BQ222+BR252*BR222+BS252*BS222+BT252*BT222+BU252*BU222+BV252*BV222+BW252*BW222+BX252*BX222+BY252*BY222+BZ252*BZ222+CA252*CA222+CB252*CB222+CC252*CC222+CD252*CD222+CE252*CE222+CF252*CF222+CG252*CG222+CH252*CH222+CI252*CI222+CJ252*CJ222+CK252*CK222+CL252*CL222+CM252*CM222+CN252*CN222</f>
        <v>0</v>
      </c>
      <c r="CV222" s="2652">
        <f>E253*E222+F253*F222+G253*G222+H253*H222+I253*I222+J253*J222+K253*K222+L253*L222+M253*M222+N253*N222+O253*O222+P253*P222+Q253*Q222+R253*R222+S253*S222+T253*T222+U253*U222+V253*V222+W253*W222+X253*X222+Y253*Y222+Z253*Z222+AA253*AA222+AB253*AB222+AC253*AC222+AD253*AD222+AE253*AE222+AF253*AF222+AG253*AG222+AH253*AH222+AI253*AI222+AJ253*AJ222+AK253*AK222+AL253*AL222+AM253*AM222+AN253*AN222+AO253*AO222+AP253*AP222+AQ253*AQ222+AR253*AR222+AS253*AS222+AT253*AT222+AU253*AU222+AV253*AV222+AW253*AW222+AX253*AX222+AY253*AY222+AZ253*AZ222+BA253*BA222+BB253*BB222+BC253*BC222+BD253*BD222+BE253*BE222+BF253*BF222+BG253*BG222+BH253*BH222+BI253*BI222+BJ253*BJ222+BK253*BK222+BL253*BL222+BM253*BM222+BN253*BN222+BO253*BO222+BP253*BP222+BQ253*BQ222+BR253*BR222+BS253*BS222+BT253*BT222+BU253*BU222+BV253*BV222+BW253*BW222+BX253*BX222+BY253*BY222+BZ253*BZ222+CA253*CA222+CB253*CB222+CC253*CC222+CD253*CD222+CE253*CE222+CF253*CF222+CG253*CG222+CH253*CH222+CI253*CI222+CJ253*CJ222+CK253*CK222+CL253*CL222+CM253*CM222+CN253*CN222</f>
        <v>0</v>
      </c>
      <c r="CW222" s="2652">
        <f>E254*E222+F254*F222+G254*G222+H254*H222+I254*I222+J254*J222+K254*K222+L254*L222+M254*M222+N254*N222+O254*O222+P254*P222+Q254*Q222+R254*R222+S254*S222+T254*T222+U254*U222+V254*V222+W254*W222+X254*X222+Y254*Y222+Z254*Z222+AA254*AA222+AB254*AB222+AC254*AC222+AD254*AD222+AE254*AE222+AF254*AF222+AG254*AG222+AH254*AH222+AI254*AI222+AJ254*AJ222+AK254*AK222+AL254*AL222+AM254*AM222+AN254*AN222+AO254*AO222+AP254*AP222+AQ254*AQ222+AR254*AR222+AS254*AS222+AT254*AT222+AU254*AU222+AV254*AV222+AW254*AW222+AX254*AX222+AY254*AY222+AZ254*AZ222+BA254*BA222+BB254*BB222+BC254*BC222+BD254*BD222+BE254*BE222+BF254*BF222+BG254*BG222+BH254*BH222+BI254*BI222+BJ254*BJ222+BK254*BK222+BL254*BL222+BM254*BM222+BN254*BN222+BO254*BO222+BP254*BP222+BQ254*BQ222+BR254*BR222+BS254*BS222+BT254*BT222+BU254*BU222+BV254*BV222+BW254*BW222+BX254*BX222+BY254*BY222+BZ254*BZ222+CA254*CA222+CB254*CB222+CC254*CC222+CD254*CD222+CE254*CE222+CF254*CF222+CG254*CG222+CH254*CH222+CI254*CI222+CJ254*CJ222+CK254*CK222+CL254*CL222+CM254*CM222+CN254*CN222</f>
        <v>0</v>
      </c>
      <c r="CX222" s="2652">
        <f>E255*E222+F255*F222+G255*G222+H255*H222+I255*I222+J255*J222+K255*K222+L255*L222+M255*M222+N255*N222+O255*O222+P255*P222+Q255*Q222+R255*R222+S255*S222+T255*T222+U255*U222+V255*V222+W255*W222+X255*X222+Y255*Y222+Z255*Z222+AA255*AA222+AB255*AB222+AC255*AC222+AD255*AD222+AE255*AE222+AF255*AF222+AG255*AG222+AH255*AH222+AI255*AI222+AJ255*AJ222+AK255*AK222+AL255*AL222+AM255*AM222+AN255*AN222+AO255*AO222+AP255*AP222+AQ255*AQ222+AR255*AR222+AS255*AS222+AT255*AT222+AU255*AU222+AV255*AV222+AW255*AW222+AX255*AX222+AY255*AY222+AZ255*AZ222+BA255*BA222+BB255*BB222+BC255*BC222+BD255*BD222+BE255*BE222+BF255*BF222+BG255*BG222+BH255*BH222+BI255*BI222+BJ255*BJ222+BK255*BK222+BL255*BL222+BM255*BM222+BN255*BN222+BO255*BO222+BP255*BP222+BQ255*BQ222+BR255*BR222+BS255*BS222+BT255*BT222+BU255*BU222+BV255*BV222+BW255*BW222+BX255*BX222+BY255*BY222+BZ255*BZ222+CA255*CA222+CB255*CB222+CC255*CC222+CD255*CD222+CE255*CE222+CF255*CF222+CG255*CG222+CH255*CH222+CI255*CI222+CJ255*CJ222+CK255*CK222+CL255*CL222+CM255*CM222+CN255*CN222</f>
        <v>0</v>
      </c>
      <c r="CY222" s="2652">
        <f>E256*E222+F256*F222+G256*G222+H256*H222+I256*I222+J256*J222+K256*K222+L256*L222+M256*M222+N256*N222+O256*O222+P256*P222+Q256*Q222+R256*R222+S256*S222+T256*T222+U256*U222+V256*V222+W256*W222+X256*X222+Y256*Y222+Z256*Z222+AA256*AA222+AB256*AB222+AC256*AC222+AD256*AD222+AE256*AE222+AF256*AF222+AG256*AG222+AH256*AH222+AI256*AI222+AJ256*AJ222+AK256*AK222+AL256*AL222+AM256*AM222+AN256*AN222+AO256*AO222+AP256*AP222+AQ256*AQ222+AR256*AR222+AS256*AS222+AT256*AT222+AU256*AU222+AV256*AV222+AW256*AW222+AX256*AX222+AY256*AY222+AZ256*AZ222+BA256*BA222+BB256*BB222+BC256*BC222+BD256*BD222+BE256*BE222+BF256*BF222+BG256*BG222+BH256*BH222+BI256*BI222+BJ256*BJ222+BK256*BK222+BL256*BL222+BM256*BM222+BN256*BN222+BO256*BO222+BP256*BP222+BQ256*BQ222+BR256*BR222+BS256*BS222+BT256*BT222+BU256*BU222+BV256*BV222+BW256*BW222+BX256*BX222+BY256*BY222+BZ256*BZ222+CA256*CA222+CB256*CB222+CC256*CC222+CD256*CD222+CE256*CE222+CF256*CF222+CG256*CG222+CH256*CH222+CI256*CI222+CJ256*CJ222+CK256*CK222+CL256*CL222+CM256*CM222+CN256*CN222</f>
        <v>0</v>
      </c>
      <c r="CZ222" s="2652">
        <f>E257*E222+F257*F222+G257*G222+H257*H222+I257*I222+J257*J222+K257*K222+L257*L222+M257*M222+N257*N222+O257*O222+P257*P222+Q257*Q222+R257*R222+S257*S222+T257*T222+U257*U222+V257*V222+W257*W222+X257*X222+Y257*Y222+Z257*Z222+AA257*AA222+AB257*AB222+AC257*AC222+AD257*AD222+AE257*AE222+AF257*AF222+AG257*AG222+AH257*AH222+AI257*AI222+AJ257*AJ222+AK257*AK222+AL257*AL222+AM257*AM222+AN257*AN222+AO257*AO222+AP257*AP222+AQ257*AQ222+AR257*AR222+AS257*AS222+AT257*AT222+AU257*AU222+AV257*AV222+AW257*AW222+AX257*AX222+AY257*AY222+AZ257*AZ222+BA257*BA222+BB257*BB222+BC257*BC222+BD257*BD222+BE257*BE222+BF257*BF222+BG257*BG222+BH257*BH222+BI257*BI222+BJ257*BJ222+BK257*BK222+BL257*BL222+BM257*BM222+BN257*BN222+BO257*BO222+BP257*BP222+BQ257*BQ222+BR257*BR222+BS257*BS222+BT257*BT222+BU257*BU222+BV257*BV222+BW257*BW222+BX257*BX222+BY257*BY222+BZ257*BZ222+CA257*CA222+CB257*CB222+CC257*CC222+CD257*CD222+CE257*CE222+CF257*CF222+CG257*CG222+CH257*CH222+CI257*CI222+CJ257*CJ222+CK257*CK222+CL257*CL222+CM257*CM222+CN257*CN222</f>
        <v>0</v>
      </c>
      <c r="DA222" s="2652">
        <f>E258*E222+F258*F222+G258*G222+H258*H222+I258*I222+J258*J222+K258*K222+L258*L222+M258*M222+N258*N222+O258*O222+P258*P222+Q258*Q222+R258*R222+S258*S222+T258*T222+U258*U222+V258*V222+W258*W222+X258*X222+Y258*Y222+Z258*Z222+AA258*AA222+AB258*AB222+AC258*AC222+AD258*AD222+AE258*AE222+AF258*AF222+AG258*AG222+AH258*AH222+AI258*AI222+AJ258*AJ222+AK258*AK222+AL258*AL222+AM258*AM222+AN258*AN222+AO258*AO222+AP258*AP222+AQ258*AQ222+AR258*AR222+AS258*AS222+AT258*AT222+AU258*AU222+AV258*AV222+AW258*AW222+AX258*AX222+AY258*AY222+AZ258*AZ222+BA258*BA222+BB258*BB222+BC258*BC222+BD258*BD222+BE258*BE222+BF258*BF222+BG258*BG222+BH258*BH222+BI258*BI222+BJ258*BJ222+BK258*BK222+BL258*BL222+BM258*BM222+BN258*BN222+BO258*BO222+BP258*BP222+BQ258*BQ222+BR258*BR222+BS258*BS222+BT258*BT222+BU258*BU222+BV258*BV222+BW258*BW222+BX258*BX222+BY258*BY222+BZ258*BZ222+CA258*CA222+CB258*CB222+CC258*CC222+CD258*CD222+CE258*CE222+CF258*CF222+CG258*CG222+CH258*CH222+CI258*CI222+CJ258*CJ222+CK258*CK222+CL258*CL222+CM258*CM222+CN258*CN222</f>
        <v>0</v>
      </c>
    </row>
    <row r="223" spans="2:105" ht="18" x14ac:dyDescent="0.25">
      <c r="B223" s="2181">
        <v>90</v>
      </c>
      <c r="C223" s="2182" t="s">
        <v>3174</v>
      </c>
      <c r="D223" s="1408" t="s">
        <v>4333</v>
      </c>
      <c r="E223" s="2698">
        <f>0</f>
        <v>0</v>
      </c>
      <c r="F223" s="2698">
        <f>0</f>
        <v>0</v>
      </c>
      <c r="G223" s="2698">
        <f>0</f>
        <v>0</v>
      </c>
      <c r="H223" s="2698">
        <f>0</f>
        <v>0</v>
      </c>
      <c r="I223" s="2698">
        <f>0</f>
        <v>0</v>
      </c>
      <c r="J223" s="2698">
        <f>0</f>
        <v>0</v>
      </c>
      <c r="K223" s="2693">
        <f>0</f>
        <v>0</v>
      </c>
      <c r="L223" s="2698">
        <f>0</f>
        <v>0</v>
      </c>
      <c r="M223" s="2698">
        <f>0</f>
        <v>0</v>
      </c>
      <c r="N223" s="2698">
        <f>0</f>
        <v>0</v>
      </c>
      <c r="O223" s="2698">
        <f>0</f>
        <v>0</v>
      </c>
      <c r="P223" s="2698">
        <f>0</f>
        <v>0</v>
      </c>
      <c r="Q223" s="2698">
        <f>0</f>
        <v>0</v>
      </c>
      <c r="R223" s="2729">
        <f>0</f>
        <v>0</v>
      </c>
      <c r="S223" s="2698">
        <f>0</f>
        <v>0</v>
      </c>
      <c r="T223" s="2698">
        <f>0</f>
        <v>0</v>
      </c>
      <c r="U223" s="2698">
        <f>0</f>
        <v>0</v>
      </c>
      <c r="V223" s="2698">
        <f>0</f>
        <v>0</v>
      </c>
      <c r="W223" s="2698">
        <f>0</f>
        <v>0</v>
      </c>
      <c r="X223" s="2698">
        <f>0</f>
        <v>0</v>
      </c>
      <c r="Y223" s="2698">
        <f>0</f>
        <v>0</v>
      </c>
      <c r="Z223" s="2698">
        <f>0</f>
        <v>0</v>
      </c>
      <c r="AA223" s="2698">
        <f>0</f>
        <v>0</v>
      </c>
      <c r="AB223" s="2698">
        <f>0</f>
        <v>0</v>
      </c>
      <c r="AC223" s="2693">
        <f>0</f>
        <v>0</v>
      </c>
      <c r="AD223" s="2698">
        <f>0</f>
        <v>0</v>
      </c>
      <c r="AE223" s="2729">
        <f>0</f>
        <v>0</v>
      </c>
      <c r="AF223" s="2698">
        <f>0</f>
        <v>0</v>
      </c>
      <c r="AG223" s="2698">
        <f>0</f>
        <v>0</v>
      </c>
      <c r="AH223" s="2729">
        <f>0</f>
        <v>0</v>
      </c>
      <c r="AI223" s="2698">
        <f>0</f>
        <v>0</v>
      </c>
      <c r="AJ223" s="2693">
        <f>0</f>
        <v>0</v>
      </c>
      <c r="AK223" s="2729">
        <f>0</f>
        <v>0</v>
      </c>
      <c r="AL223" s="2729">
        <f>(A_SFHAO_L*(A_MP/A_MAl))</f>
        <v>0.11479629449808203</v>
      </c>
      <c r="AM223" s="2698">
        <f>0</f>
        <v>0</v>
      </c>
      <c r="AN223" s="2729">
        <f>0</f>
        <v>0</v>
      </c>
      <c r="AO223" s="2698">
        <f>0</f>
        <v>0</v>
      </c>
      <c r="AP223" s="2693">
        <f>0</f>
        <v>0</v>
      </c>
      <c r="AQ223" s="2698">
        <f>0</f>
        <v>0</v>
      </c>
      <c r="AR223" s="2698">
        <f>0</f>
        <v>0</v>
      </c>
      <c r="AS223" s="2698">
        <f>0</f>
        <v>0</v>
      </c>
      <c r="AT223" s="2698">
        <f>0</f>
        <v>0</v>
      </c>
      <c r="AU223" s="2698">
        <f>0</f>
        <v>0</v>
      </c>
      <c r="AV223" s="2729">
        <f>0</f>
        <v>0</v>
      </c>
      <c r="AW223" s="2698">
        <f>0</f>
        <v>0</v>
      </c>
      <c r="AX223" s="2698">
        <f>0</f>
        <v>0</v>
      </c>
      <c r="AY223" s="2698">
        <f>0</f>
        <v>0</v>
      </c>
      <c r="AZ223" s="2729">
        <f>0</f>
        <v>0</v>
      </c>
      <c r="BA223" s="2698">
        <f>0</f>
        <v>0</v>
      </c>
      <c r="BB223" s="2729">
        <f>0</f>
        <v>0</v>
      </c>
      <c r="BC223" s="2729">
        <f>0</f>
        <v>0</v>
      </c>
      <c r="BD223" s="2761">
        <f>0</f>
        <v>0</v>
      </c>
      <c r="BE223" s="2761">
        <f>0</f>
        <v>0</v>
      </c>
      <c r="BF223" s="2761">
        <f>0</f>
        <v>0</v>
      </c>
      <c r="BG223" s="2761">
        <f>0</f>
        <v>0</v>
      </c>
      <c r="BH223" s="2761">
        <f>0</f>
        <v>0</v>
      </c>
      <c r="BI223" s="2761">
        <f>0</f>
        <v>0</v>
      </c>
      <c r="BJ223" s="2761">
        <f>0</f>
        <v>0</v>
      </c>
      <c r="BK223" s="2761">
        <f>1</f>
        <v>1</v>
      </c>
      <c r="BL223" s="2761">
        <f>0</f>
        <v>0</v>
      </c>
      <c r="BM223" s="2761">
        <f>0</f>
        <v>0</v>
      </c>
      <c r="BN223" s="2761">
        <f>-1</f>
        <v>-1</v>
      </c>
      <c r="BO223" s="2761">
        <f>0</f>
        <v>0</v>
      </c>
      <c r="BP223" s="2761">
        <f>0</f>
        <v>0</v>
      </c>
      <c r="BQ223" s="2729">
        <f>0</f>
        <v>0</v>
      </c>
      <c r="BR223" s="2729">
        <f>0</f>
        <v>0</v>
      </c>
      <c r="BS223" s="2729">
        <f>0</f>
        <v>0</v>
      </c>
      <c r="BT223" s="2729">
        <f>0</f>
        <v>0</v>
      </c>
      <c r="BU223" s="2729">
        <f>0</f>
        <v>0</v>
      </c>
      <c r="BV223" s="2752">
        <f>0</f>
        <v>0</v>
      </c>
      <c r="BW223" s="2752">
        <f>0</f>
        <v>0</v>
      </c>
      <c r="BX223" s="2752">
        <f>0</f>
        <v>0</v>
      </c>
      <c r="BY223" s="2752">
        <f>0</f>
        <v>0</v>
      </c>
      <c r="BZ223" s="2729">
        <f>0</f>
        <v>0</v>
      </c>
      <c r="CA223" s="2729">
        <f>0</f>
        <v>0</v>
      </c>
      <c r="CB223" s="2811">
        <f>0</f>
        <v>0</v>
      </c>
      <c r="CC223" s="2729">
        <f>0</f>
        <v>0</v>
      </c>
      <c r="CD223" s="2729">
        <f>0</f>
        <v>0</v>
      </c>
      <c r="CE223" s="2729">
        <f>0</f>
        <v>0</v>
      </c>
      <c r="CF223" s="2729">
        <f>0</f>
        <v>0</v>
      </c>
      <c r="CG223" s="2729">
        <f>0</f>
        <v>0</v>
      </c>
      <c r="CH223" s="2729">
        <f>0</f>
        <v>0</v>
      </c>
      <c r="CI223" s="2729">
        <f>0</f>
        <v>0</v>
      </c>
      <c r="CJ223" s="2729">
        <f>0</f>
        <v>0</v>
      </c>
      <c r="CK223" s="2729">
        <f>0</f>
        <v>0</v>
      </c>
      <c r="CL223" s="2729">
        <f>0</f>
        <v>0</v>
      </c>
      <c r="CM223" s="2729">
        <f>0</f>
        <v>0</v>
      </c>
      <c r="CN223" s="2729">
        <f>0</f>
        <v>0</v>
      </c>
      <c r="CO223" s="2843">
        <f>q_HAOL_DESORP*X_HAO_L_P*M_inhSPO4_KiP_HAO_DESORP</f>
        <v>1.6666666666666666E-50</v>
      </c>
      <c r="CQ223" s="2650">
        <f>E248*E223+F248*F223+G248*G223+H248*H223+I248*I223+J248*J223+K248*K223+L248*L223+M248*M223+N248*N223+O248*O223+P248*P223+Q248*Q223+R248*R223+S248*S223+T248*T223+U248*U223+V248*V223+W248*W223+X248*X223+Y248*Y223+Z248*Z223+AA248*AA223+AB248*AB223+AC248*AC223+AD248*AD223+AE248*AE223+AF248*AF223+AG248*AG223+AH248*AH223+AI248*AI223+AJ248*AJ223+AK248*AK223+AL248*AL223+AM248*AM223+AN248*AN223+AO248*AO223+AP248*AP223+AQ248*AQ223+AR248*AR223+AS248*AS223+AT248*AT223+AU248*AU223+AV248*AV223+AW248*AW223+AX248*AX223+AY248*AY223+AZ248*AZ223+BA248*BA223+BB248*BB223+BC248*BC223+BD248*BD223+BE248*BE223+BF248*BF223+BG248*BG223+BH248*BH223+BI248*BI223+BJ248*BJ223+BK248*BK223+BL248*BL223+BM248*BM223+BN248*BN223+BO248*BO223+BP248*BP223+BQ248*BQ223+BR248*BR223+BS248*BS223+BT248*BT223+BU248*BU223+BV248*BV223+BW248*BW223+BX248*BX223+BY248*BY223+BZ248*BZ223+CA248*CA223+CB248*CB223+CC248*CC223+CD248*CD223+CE248*CE223+CF248*CF223+CG248*CG223+CH248*CH223+CI248*CI223+CJ248*CJ223+CK248*CK223+CL248*CL223+CM248*CM223+CN248*CN223</f>
        <v>0</v>
      </c>
      <c r="CR223" s="2650">
        <f>E249*E223+F249*F223+G249*G223+H249*H223+I249*I223+J249*J223+K249*K223+L249*L223+M249*M223+N249*N223+O249*O223+P249*P223+Q249*Q223+R249*R223+S249*S223+T249*T223+U249*U223+V249*V223+W249*W223+X249*X223+Y249*Y223+Z249*Z223+AA249*AA223+AB249*AB223+AC249*AC223+AD249*AD223+AE249*AE223+AF249*AF223+AG249*AG223+AH249*AH223+AI249*AI223+AJ249*AJ223+AK249*AK223+AL249*AL223+AM249*AM223+AN249*AN223+AO249*AO223+AP249*AP223+AQ249*AQ223+AR249*AR223+AS249*AS223+AT249*AT223+AU249*AU223+AV249*AV223+AW249*AW223+AX249*AX223+AY249*AY223+AZ249*AZ223+BA249*BA223+BB249*BB223+BC249*BC223+BD249*BD223+BE249*BE223+BF249*BF223+BG249*BG223+BH249*BH223+BI249*BI223+BJ249*BJ223+BK249*BK223+BL249*BL223+BM249*BM223+BN249*BN223+BO249*BO223+BP249*BP223+BQ249*BQ223+BR249*BR223+BS249*BS223+BT249*BT223+BU249*BU223+BV249*BV223+BW249*BW223+BX249*BX223+BY249*BY223+BZ249*BZ223+CA249*CA223+CB249*CB223+CC249*CC223+CD249*CD223+CE249*CE223+CF249*CF223+CG249*CG223+CH249*CH223+CI249*CI223+CJ249*CJ223+CK249*CK223+CL249*CL223+CM249*CM223+CN249*CN223</f>
        <v>0</v>
      </c>
      <c r="CS223" s="2651">
        <f>E250*E223+F250*F223+G250*G223+H250*H223+I250*I223+J250*J223+K250*K223+L250*L223+M250*M223+N250*N223+O250*O223+P250*P223+Q250*Q223+R250*R223+S250*S223+T250*T223+U250*U223+V250*V223+W250*W223+X250*X223+Y250*Y223+Z250*Z223+AA250*AA223+AB250*AB223+AC250*AC223+AD250*AD223+AE250*AE223+AF250*AF223+AG250*AG223+AH250*AH223+AI250*AI223+AJ250*AJ223+AK250*AK223+AL250*AL223+AM250*AM223+AN250*AN223+AO250*AO223+AP250*AP223+AQ250*AQ223+AR250*AR223+AS250*AS223+AT250*AT223+AU250*AU223+AV250*AV223+AW250*AW223+AX250*AX223+AY250*AY223+AZ250*AZ223+BA250*BA223+BB250*BB223+BC250*BC223+BD250*BD223+BE250*BE223+BF250*BF223+BG250*BG223+BH250*BH223+BI250*BI223+BJ250*BJ223+BK250*BK223+BL250*BL223+BM250*BM223+BN250*BN223+BO250*BO223+BP250*BP223+BQ250*BQ223+BR250*BR223+BS250*BS223+BT250*BT223+BU250*BU223+BV250*BV223+BW250*BW223+BX250*BX223+BY250*BY223+BZ250*BZ223+CA250*CA223+CB250*CB223+CC250*CC223+CD250*CD223+CE250*CE223+CF250*CF223+CG250*CG223+CH250*CH223+CI250*CI223+CJ250*CJ223+CK250*CK223+CL250*CL223+CM250*CM223+CN250*CN223</f>
        <v>0</v>
      </c>
      <c r="CT223" s="2652">
        <f>E251*E223+F251*F223+G251*G223+H251*H223+I251*I223+J251*J223+K251*K223+L251*L223+M251*M223+N251*N223+O251*O223+P251*P223+Q251*Q223+R251*R223+S251*S223+T251*T223+U251*U223+V251*V223+W251*W223+X251*X223+Y251*Y223+Z251*Z223+AA251*AA223+AB251*AB223+AC251*AC223+AD251*AD223+AE251*AE223+AF251*AF223+AG251*AG223+AH251*AH223+AI251*AI223+AJ251*AJ223+AK251*AK223+AL251*AL223+AM251*AM223+AN251*AN223+AO251*AO223+AP251*AP223+AQ251*AQ223+AR251*AR223+AS251*AS223+AT251*AT223+AU251*AU223+AV251*AV223+AW251*AW223+AX251*AX223+AY251*AY223+AZ251*AZ223+BA251*BA223+BB251*BB223+BC251*BC223+BD251*BD223+BE251*BE223+BF251*BF223+BG251*BG223+BH251*BH223+BI251*BI223+BJ251*BJ223+BK251*BK223+BL251*BL223+BM251*BM223+BN251*BN223+BO251*BO223+BP251*BP223+BQ251*BQ223+BR251*BR223+BS251*BS223+BT251*BT223+BU251*BU223+BV251*BV223+BW251*BW223+BX251*BX223+BY251*BY223+BZ251*BZ223+CA251*CA223+CB251*CB223+CC251*CC223+CD251*CD223+CE251*CE223+CF251*CF223+CG251*CG223+CH251*CH223+CI251*CI223+CJ251*CJ223+CK251*CK223+CL251*CL223+CM251*CM223+CN251*CN223</f>
        <v>0</v>
      </c>
      <c r="CU223" s="2652">
        <f>E252*E223+F252*F223+G252*G223+H252*H223+I252*I223+J252*J223+K252*K223+L252*L223+M252*M223+N252*N223+O252*O223+P252*P223+Q252*Q223+R252*R223+S252*S223+T252*T223+U252*U223+V252*V223+W252*W223+X252*X223+Y252*Y223+Z252*Z223+AA252*AA223+AB252*AB223+AC252*AC223+AD252*AD223+AE252*AE223+AF252*AF223+AG252*AG223+AH252*AH223+AI252*AI223+AJ252*AJ223+AK252*AK223+AL252*AL223+AM252*AM223+AN252*AN223+AO252*AO223+AP252*AP223+AQ252*AQ223+AR252*AR223+AS252*AS223+AT252*AT223+AU252*AU223+AV252*AV223+AW252*AW223+AX252*AX223+AY252*AY223+AZ252*AZ223+BA252*BA223+BB252*BB223+BC252*BC223+BD252*BD223+BE252*BE223+BF252*BF223+BG252*BG223+BH252*BH223+BI252*BI223+BJ252*BJ223+BK252*BK223+BL252*BL223+BM252*BM223+BN252*BN223+BO252*BO223+BP252*BP223+BQ252*BQ223+BR252*BR223+BS252*BS223+BT252*BT223+BU252*BU223+BV252*BV223+BW252*BW223+BX252*BX223+BY252*BY223+BZ252*BZ223+CA252*CA223+CB252*CB223+CC252*CC223+CD252*CD223+CE252*CE223+CF252*CF223+CG252*CG223+CH252*CH223+CI252*CI223+CJ252*CJ223+CK252*CK223+CL252*CL223+CM252*CM223+CN252*CN223</f>
        <v>0</v>
      </c>
      <c r="CV223" s="2652">
        <f>E253*E223+F253*F223+G253*G223+H253*H223+I253*I223+J253*J223+K253*K223+L253*L223+M253*M223+N253*N223+O253*O223+P253*P223+Q253*Q223+R253*R223+S253*S223+T253*T223+U253*U223+V253*V223+W253*W223+X253*X223+Y253*Y223+Z253*Z223+AA253*AA223+AB253*AB223+AC253*AC223+AD253*AD223+AE253*AE223+AF253*AF223+AG253*AG223+AH253*AH223+AI253*AI223+AJ253*AJ223+AK253*AK223+AL253*AL223+AM253*AM223+AN253*AN223+AO253*AO223+AP253*AP223+AQ253*AQ223+AR253*AR223+AS253*AS223+AT253*AT223+AU253*AU223+AV253*AV223+AW253*AW223+AX253*AX223+AY253*AY223+AZ253*AZ223+BA253*BA223+BB253*BB223+BC253*BC223+BD253*BD223+BE253*BE223+BF253*BF223+BG253*BG223+BH253*BH223+BI253*BI223+BJ253*BJ223+BK253*BK223+BL253*BL223+BM253*BM223+BN253*BN223+BO253*BO223+BP253*BP223+BQ253*BQ223+BR253*BR223+BS253*BS223+BT253*BT223+BU253*BU223+BV253*BV223+BW253*BW223+BX253*BX223+BY253*BY223+BZ253*BZ223+CA253*CA223+CB253*CB223+CC253*CC223+CD253*CD223+CE253*CE223+CF253*CF223+CG253*CG223+CH253*CH223+CI253*CI223+CJ253*CJ223+CK253*CK223+CL253*CL223+CM253*CM223+CN253*CN223</f>
        <v>0</v>
      </c>
      <c r="CW223" s="2652">
        <f>E254*E223+F254*F223+G254*G223+H254*H223+I254*I223+J254*J223+K254*K223+L254*L223+M254*M223+N254*N223+O254*O223+P254*P223+Q254*Q223+R254*R223+S254*S223+T254*T223+U254*U223+V254*V223+W254*W223+X254*X223+Y254*Y223+Z254*Z223+AA254*AA223+AB254*AB223+AC254*AC223+AD254*AD223+AE254*AE223+AF254*AF223+AG254*AG223+AH254*AH223+AI254*AI223+AJ254*AJ223+AK254*AK223+AL254*AL223+AM254*AM223+AN254*AN223+AO254*AO223+AP254*AP223+AQ254*AQ223+AR254*AR223+AS254*AS223+AT254*AT223+AU254*AU223+AV254*AV223+AW254*AW223+AX254*AX223+AY254*AY223+AZ254*AZ223+BA254*BA223+BB254*BB223+BC254*BC223+BD254*BD223+BE254*BE223+BF254*BF223+BG254*BG223+BH254*BH223+BI254*BI223+BJ254*BJ223+BK254*BK223+BL254*BL223+BM254*BM223+BN254*BN223+BO254*BO223+BP254*BP223+BQ254*BQ223+BR254*BR223+BS254*BS223+BT254*BT223+BU254*BU223+BV254*BV223+BW254*BW223+BX254*BX223+BY254*BY223+BZ254*BZ223+CA254*CA223+CB254*CB223+CC254*CC223+CD254*CD223+CE254*CE223+CF254*CF223+CG254*CG223+CH254*CH223+CI254*CI223+CJ254*CJ223+CK254*CK223+CL254*CL223+CM254*CM223+CN254*CN223</f>
        <v>0</v>
      </c>
      <c r="CX223" s="2652">
        <f>E255*E223+F255*F223+G255*G223+H255*H223+I255*I223+J255*J223+K255*K223+L255*L223+M255*M223+N255*N223+O255*O223+P255*P223+Q255*Q223+R255*R223+S255*S223+T255*T223+U255*U223+V255*V223+W255*W223+X255*X223+Y255*Y223+Z255*Z223+AA255*AA223+AB255*AB223+AC255*AC223+AD255*AD223+AE255*AE223+AF255*AF223+AG255*AG223+AH255*AH223+AI255*AI223+AJ255*AJ223+AK255*AK223+AL255*AL223+AM255*AM223+AN255*AN223+AO255*AO223+AP255*AP223+AQ255*AQ223+AR255*AR223+AS255*AS223+AT255*AT223+AU255*AU223+AV255*AV223+AW255*AW223+AX255*AX223+AY255*AY223+AZ255*AZ223+BA255*BA223+BB255*BB223+BC255*BC223+BD255*BD223+BE255*BE223+BF255*BF223+BG255*BG223+BH255*BH223+BI255*BI223+BJ255*BJ223+BK255*BK223+BL255*BL223+BM255*BM223+BN255*BN223+BO255*BO223+BP255*BP223+BQ255*BQ223+BR255*BR223+BS255*BS223+BT255*BT223+BU255*BU223+BV255*BV223+BW255*BW223+BX255*BX223+BY255*BY223+BZ255*BZ223+CA255*CA223+CB255*CB223+CC255*CC223+CD255*CD223+CE255*CE223+CF255*CF223+CG255*CG223+CH255*CH223+CI255*CI223+CJ255*CJ223+CK255*CK223+CL255*CL223+CM255*CM223+CN255*CN223</f>
        <v>0</v>
      </c>
      <c r="CY223" s="2652">
        <f>E256*E223+F256*F223+G256*G223+H256*H223+I256*I223+J256*J223+K256*K223+L256*L223+M256*M223+N256*N223+O256*O223+P256*P223+Q256*Q223+R256*R223+S256*S223+T256*T223+U256*U223+V256*V223+W256*W223+X256*X223+Y256*Y223+Z256*Z223+AA256*AA223+AB256*AB223+AC256*AC223+AD256*AD223+AE256*AE223+AF256*AF223+AG256*AG223+AH256*AH223+AI256*AI223+AJ256*AJ223+AK256*AK223+AL256*AL223+AM256*AM223+AN256*AN223+AO256*AO223+AP256*AP223+AQ256*AQ223+AR256*AR223+AS256*AS223+AT256*AT223+AU256*AU223+AV256*AV223+AW256*AW223+AX256*AX223+AY256*AY223+AZ256*AZ223+BA256*BA223+BB256*BB223+BC256*BC223+BD256*BD223+BE256*BE223+BF256*BF223+BG256*BG223+BH256*BH223+BI256*BI223+BJ256*BJ223+BK256*BK223+BL256*BL223+BM256*BM223+BN256*BN223+BO256*BO223+BP256*BP223+BQ256*BQ223+BR256*BR223+BS256*BS223+BT256*BT223+BU256*BU223+BV256*BV223+BW256*BW223+BX256*BX223+BY256*BY223+BZ256*BZ223+CA256*CA223+CB256*CB223+CC256*CC223+CD256*CD223+CE256*CE223+CF256*CF223+CG256*CG223+CH256*CH223+CI256*CI223+CJ256*CJ223+CK256*CK223+CL256*CL223+CM256*CM223+CN256*CN223</f>
        <v>0</v>
      </c>
      <c r="CZ223" s="2652">
        <f>E257*E223+F257*F223+G257*G223+H257*H223+I257*I223+J257*J223+K257*K223+L257*L223+M257*M223+N257*N223+O257*O223+P257*P223+Q257*Q223+R257*R223+S257*S223+T257*T223+U257*U223+V257*V223+W257*W223+X257*X223+Y257*Y223+Z257*Z223+AA257*AA223+AB257*AB223+AC257*AC223+AD257*AD223+AE257*AE223+AF257*AF223+AG257*AG223+AH257*AH223+AI257*AI223+AJ257*AJ223+AK257*AK223+AL257*AL223+AM257*AM223+AN257*AN223+AO257*AO223+AP257*AP223+AQ257*AQ223+AR257*AR223+AS257*AS223+AT257*AT223+AU257*AU223+AV257*AV223+AW257*AW223+AX257*AX223+AY257*AY223+AZ257*AZ223+BA257*BA223+BB257*BB223+BC257*BC223+BD257*BD223+BE257*BE223+BF257*BF223+BG257*BG223+BH257*BH223+BI257*BI223+BJ257*BJ223+BK257*BK223+BL257*BL223+BM257*BM223+BN257*BN223+BO257*BO223+BP257*BP223+BQ257*BQ223+BR257*BR223+BS257*BS223+BT257*BT223+BU257*BU223+BV257*BV223+BW257*BW223+BX257*BX223+BY257*BY223+BZ257*BZ223+CA257*CA223+CB257*CB223+CC257*CC223+CD257*CD223+CE257*CE223+CF257*CF223+CG257*CG223+CH257*CH223+CI257*CI223+CJ257*CJ223+CK257*CK223+CL257*CL223+CM257*CM223+CN257*CN223</f>
        <v>0</v>
      </c>
      <c r="DA223" s="2652">
        <f>E258*E223+F258*F223+G258*G223+H258*H223+I258*I223+J258*J223+K258*K223+L258*L223+M258*M223+N258*N223+O258*O223+P258*P223+Q258*Q223+R258*R223+S258*S223+T258*T223+U258*U223+V258*V223+W258*W223+X258*X223+Y258*Y223+Z258*Z223+AA258*AA223+AB258*AB223+AC258*AC223+AD258*AD223+AE258*AE223+AF258*AF223+AG258*AG223+AH258*AH223+AI258*AI223+AJ258*AJ223+AK258*AK223+AL258*AL223+AM258*AM223+AN258*AN223+AO258*AO223+AP258*AP223+AQ258*AQ223+AR258*AR223+AS258*AS223+AT258*AT223+AU258*AU223+AV258*AV223+AW258*AW223+AX258*AX223+AY258*AY223+AZ258*AZ223+BA258*BA223+BB258*BB223+BC258*BC223+BD258*BD223+BE258*BE223+BF258*BF223+BG258*BG223+BH258*BH223+BI258*BI223+BJ258*BJ223+BK258*BK223+BL258*BL223+BM258*BM223+BN258*BN223+BO258*BO223+BP258*BP223+BQ258*BQ223+BR258*BR223+BS258*BS223+BT258*BT223+BU258*BU223+BV258*BV223+BW258*BW223+BX258*BX223+BY258*BY223+BZ258*BZ223+CA258*CA223+CB258*CB223+CC258*CC223+CD258*CD223+CE258*CE223+CF258*CF223+CG258*CG223+CH258*CH223+CI258*CI223+CJ258*CJ223+CK258*CK223+CL258*CL223+CM258*CM223+CN258*CN223</f>
        <v>0</v>
      </c>
    </row>
    <row r="224" spans="2:105" ht="18" x14ac:dyDescent="0.25">
      <c r="B224" s="2181">
        <v>91</v>
      </c>
      <c r="C224" s="2182" t="s">
        <v>3254</v>
      </c>
      <c r="D224" s="1408" t="s">
        <v>4336</v>
      </c>
      <c r="E224" s="2698">
        <f>0</f>
        <v>0</v>
      </c>
      <c r="F224" s="2698">
        <f>0</f>
        <v>0</v>
      </c>
      <c r="G224" s="2698">
        <f>0</f>
        <v>0</v>
      </c>
      <c r="H224" s="2698">
        <f>0</f>
        <v>0</v>
      </c>
      <c r="I224" s="2698">
        <f>0</f>
        <v>0</v>
      </c>
      <c r="J224" s="2698">
        <f>0</f>
        <v>0</v>
      </c>
      <c r="K224" s="2693">
        <f>0</f>
        <v>0</v>
      </c>
      <c r="L224" s="2698">
        <f>0</f>
        <v>0</v>
      </c>
      <c r="M224" s="2698">
        <f>0</f>
        <v>0</v>
      </c>
      <c r="N224" s="2698">
        <f>0</f>
        <v>0</v>
      </c>
      <c r="O224" s="2698">
        <f>0</f>
        <v>0</v>
      </c>
      <c r="P224" s="2698">
        <f>0</f>
        <v>0</v>
      </c>
      <c r="Q224" s="2698">
        <f>0</f>
        <v>0</v>
      </c>
      <c r="R224" s="2729">
        <f>0</f>
        <v>0</v>
      </c>
      <c r="S224" s="2698">
        <f>0</f>
        <v>0</v>
      </c>
      <c r="T224" s="2698">
        <f>0</f>
        <v>0</v>
      </c>
      <c r="U224" s="2698">
        <f>0</f>
        <v>0</v>
      </c>
      <c r="V224" s="2698">
        <f>0</f>
        <v>0</v>
      </c>
      <c r="W224" s="2698">
        <f>0</f>
        <v>0</v>
      </c>
      <c r="X224" s="2698">
        <f>0</f>
        <v>0</v>
      </c>
      <c r="Y224" s="2698">
        <f>0</f>
        <v>0</v>
      </c>
      <c r="Z224" s="2698">
        <f>0</f>
        <v>0</v>
      </c>
      <c r="AA224" s="2698">
        <f>0</f>
        <v>0</v>
      </c>
      <c r="AB224" s="2698">
        <f>0</f>
        <v>0</v>
      </c>
      <c r="AC224" s="2693">
        <f>0</f>
        <v>0</v>
      </c>
      <c r="AD224" s="2698">
        <f>0</f>
        <v>0</v>
      </c>
      <c r="AE224" s="2729">
        <f>0</f>
        <v>0</v>
      </c>
      <c r="AF224" s="2698">
        <f>0</f>
        <v>0</v>
      </c>
      <c r="AG224" s="2698">
        <f>0</f>
        <v>0</v>
      </c>
      <c r="AH224" s="2729">
        <f>0</f>
        <v>0</v>
      </c>
      <c r="AI224" s="2698">
        <f>0</f>
        <v>0</v>
      </c>
      <c r="AJ224" s="2693">
        <f>0</f>
        <v>0</v>
      </c>
      <c r="AK224" s="2729">
        <f>0</f>
        <v>0</v>
      </c>
      <c r="AL224" s="2729">
        <f>(A_SFHAO_H*(A_MP/A_MAl))*X_HAO_H_P_old/(X_HAO_H_P_old+X_HAO_L_P_old)+(A_SFHAO_L*(A_MP/A_MAl))*X_HAO_L_P_old/(X_HAO_H_P_old+X_HAO_L_P_old)</f>
        <v>0.63137961973945111</v>
      </c>
      <c r="AM224" s="2698">
        <f>0</f>
        <v>0</v>
      </c>
      <c r="AN224" s="2729">
        <f>0</f>
        <v>0</v>
      </c>
      <c r="AO224" s="2698">
        <f>0</f>
        <v>0</v>
      </c>
      <c r="AP224" s="2693">
        <f>0</f>
        <v>0</v>
      </c>
      <c r="AQ224" s="2698">
        <f>0</f>
        <v>0</v>
      </c>
      <c r="AR224" s="2698">
        <f>0</f>
        <v>0</v>
      </c>
      <c r="AS224" s="2698">
        <f>0</f>
        <v>0</v>
      </c>
      <c r="AT224" s="2698">
        <f>0</f>
        <v>0</v>
      </c>
      <c r="AU224" s="2698">
        <f>0</f>
        <v>0</v>
      </c>
      <c r="AV224" s="2729">
        <f>0</f>
        <v>0</v>
      </c>
      <c r="AW224" s="2698">
        <f>0</f>
        <v>0</v>
      </c>
      <c r="AX224" s="2698">
        <f>0</f>
        <v>0</v>
      </c>
      <c r="AY224" s="2698">
        <f>0</f>
        <v>0</v>
      </c>
      <c r="AZ224" s="2729">
        <f>0</f>
        <v>0</v>
      </c>
      <c r="BA224" s="2698">
        <f>0</f>
        <v>0</v>
      </c>
      <c r="BB224" s="2729">
        <f>0</f>
        <v>0</v>
      </c>
      <c r="BC224" s="2729">
        <f>0</f>
        <v>0</v>
      </c>
      <c r="BD224" s="2761">
        <f>0</f>
        <v>0</v>
      </c>
      <c r="BE224" s="2761">
        <f>0</f>
        <v>0</v>
      </c>
      <c r="BF224" s="2761">
        <f>0</f>
        <v>0</v>
      </c>
      <c r="BG224" s="2761">
        <f>0</f>
        <v>0</v>
      </c>
      <c r="BH224" s="2761">
        <f>0</f>
        <v>0</v>
      </c>
      <c r="BI224" s="2761">
        <f>0</f>
        <v>0</v>
      </c>
      <c r="BJ224" s="2761">
        <f>0</f>
        <v>0</v>
      </c>
      <c r="BK224" s="2761">
        <f>0</f>
        <v>0</v>
      </c>
      <c r="BL224" s="2761">
        <f>1</f>
        <v>1</v>
      </c>
      <c r="BM224" s="2761">
        <f>0</f>
        <v>0</v>
      </c>
      <c r="BN224" s="2761">
        <f>0</f>
        <v>0</v>
      </c>
      <c r="BO224" s="2781">
        <f>-X_HAO_H_P_old/(X_HAO_H_P_old+X_HAO_L_P_old)</f>
        <v>-0.5</v>
      </c>
      <c r="BP224" s="2781">
        <f>-X_HAO_L_P_old/(X_HAO_H_P_old+X_HAO_L_P_old)</f>
        <v>-0.5</v>
      </c>
      <c r="BQ224" s="2729">
        <f>0</f>
        <v>0</v>
      </c>
      <c r="BR224" s="2729">
        <f>0</f>
        <v>0</v>
      </c>
      <c r="BS224" s="2729">
        <f>0</f>
        <v>0</v>
      </c>
      <c r="BT224" s="2729">
        <f>0</f>
        <v>0</v>
      </c>
      <c r="BU224" s="2729">
        <f>0</f>
        <v>0</v>
      </c>
      <c r="BV224" s="2752">
        <f>0</f>
        <v>0</v>
      </c>
      <c r="BW224" s="2752">
        <f>0</f>
        <v>0</v>
      </c>
      <c r="BX224" s="2752">
        <f>0</f>
        <v>0</v>
      </c>
      <c r="BY224" s="2752">
        <f>0</f>
        <v>0</v>
      </c>
      <c r="BZ224" s="2729">
        <f>0</f>
        <v>0</v>
      </c>
      <c r="CA224" s="2729">
        <f>0</f>
        <v>0</v>
      </c>
      <c r="CB224" s="2811">
        <f>0</f>
        <v>0</v>
      </c>
      <c r="CC224" s="2729">
        <f>0</f>
        <v>0</v>
      </c>
      <c r="CD224" s="2729">
        <f>0</f>
        <v>0</v>
      </c>
      <c r="CE224" s="2729">
        <f>0</f>
        <v>0</v>
      </c>
      <c r="CF224" s="2729">
        <f>0</f>
        <v>0</v>
      </c>
      <c r="CG224" s="2729">
        <f>0</f>
        <v>0</v>
      </c>
      <c r="CH224" s="2729">
        <f>0</f>
        <v>0</v>
      </c>
      <c r="CI224" s="2729">
        <f>0</f>
        <v>0</v>
      </c>
      <c r="CJ224" s="2729">
        <f>0</f>
        <v>0</v>
      </c>
      <c r="CK224" s="2729">
        <f>0</f>
        <v>0</v>
      </c>
      <c r="CL224" s="2729">
        <f>0</f>
        <v>0</v>
      </c>
      <c r="CM224" s="2729">
        <f>0</f>
        <v>0</v>
      </c>
      <c r="CN224" s="2729">
        <f>0</f>
        <v>0</v>
      </c>
      <c r="CO224" s="2843">
        <f>q_HAO_DISS*(X_HAO_H_P_old+X_HAO_L_P_old)*L_oginhSPO4_KiP_HAO_DISS</f>
        <v>0</v>
      </c>
      <c r="CQ224" s="2650">
        <f>E248*E224+F248*F224+G248*G224+H248*H224+I248*I224+J248*J224+K248*K224+L248*L224+M248*M224+N248*N224+O248*O224+P248*P224+Q248*Q224+R248*R224+S248*S224+T248*T224+U248*U224+V248*V224+W248*W224+X248*X224+Y248*Y224+Z248*Z224+AA248*AA224+AB248*AB224+AC248*AC224+AD248*AD224+AE248*AE224+AF248*AF224+AG248*AG224+AH248*AH224+AI248*AI224+AJ248*AJ224+AK248*AK224+AL248*AL224+AM248*AM224+AN248*AN224+AO248*AO224+AP248*AP224+AQ248*AQ224+AR248*AR224+AS248*AS224+AT248*AT224+AU248*AU224+AV248*AV224+AW248*AW224+AX248*AX224+AY248*AY224+AZ248*AZ224+BA248*BA224+BB248*BB224+BC248*BC224+BD248*BD224+BE248*BE224+BF248*BF224+BG248*BG224+BH248*BH224+BI248*BI224+BJ248*BJ224+BK248*BK224+BL248*BL224+BM248*BM224+BN248*BN224+BO248*BO224+BP248*BP224+BQ248*BQ224+BR248*BR224+BS248*BS224+BT248*BT224+BU248*BU224+BV248*BV224+BW248*BW224+BX248*BX224+BY248*BY224+BZ248*BZ224+CA248*CA224+CB248*CB224+CC248*CC224+CD248*CD224+CE248*CE224+CF248*CF224+CG248*CG224+CH248*CH224+CI248*CI224+CJ248*CJ224+CK248*CK224+CL248*CL224+CM248*CM224+CN248*CN224</f>
        <v>0</v>
      </c>
      <c r="CR224" s="2650">
        <f>E249*E224+F249*F224+G249*G224+H249*H224+I249*I224+J249*J224+K249*K224+L249*L224+M249*M224+N249*N224+O249*O224+P249*P224+Q249*Q224+R249*R224+S249*S224+T249*T224+U249*U224+V249*V224+W249*W224+X249*X224+Y249*Y224+Z249*Z224+AA249*AA224+AB249*AB224+AC249*AC224+AD249*AD224+AE249*AE224+AF249*AF224+AG249*AG224+AH249*AH224+AI249*AI224+AJ249*AJ224+AK249*AK224+AL249*AL224+AM249*AM224+AN249*AN224+AO249*AO224+AP249*AP224+AQ249*AQ224+AR249*AR224+AS249*AS224+AT249*AT224+AU249*AU224+AV249*AV224+AW249*AW224+AX249*AX224+AY249*AY224+AZ249*AZ224+BA249*BA224+BB249*BB224+BC249*BC224+BD249*BD224+BE249*BE224+BF249*BF224+BG249*BG224+BH249*BH224+BI249*BI224+BJ249*BJ224+BK249*BK224+BL249*BL224+BM249*BM224+BN249*BN224+BO249*BO224+BP249*BP224+BQ249*BQ224+BR249*BR224+BS249*BS224+BT249*BT224+BU249*BU224+BV249*BV224+BW249*BW224+BX249*BX224+BY249*BY224+BZ249*BZ224+CA249*CA224+CB249*CB224+CC249*CC224+CD249*CD224+CE249*CE224+CF249*CF224+CG249*CG224+CH249*CH224+CI249*CI224+CJ249*CJ224+CK249*CK224+CL249*CL224+CM249*CM224+CN249*CN224</f>
        <v>0</v>
      </c>
      <c r="CS224" s="2651">
        <f>E250*E224+F250*F224+G250*G224+H250*H224+I250*I224+J250*J224+K250*K224+L250*L224+M250*M224+N250*N224+O250*O224+P250*P224+Q250*Q224+R250*R224+S250*S224+T250*T224+U250*U224+V250*V224+W250*W224+X250*X224+Y250*Y224+Z250*Z224+AA250*AA224+AB250*AB224+AC250*AC224+AD250*AD224+AE250*AE224+AF250*AF224+AG250*AG224+AH250*AH224+AI250*AI224+AJ250*AJ224+AK250*AK224+AL250*AL224+AM250*AM224+AN250*AN224+AO250*AO224+AP250*AP224+AQ250*AQ224+AR250*AR224+AS250*AS224+AT250*AT224+AU250*AU224+AV250*AV224+AW250*AW224+AX250*AX224+AY250*AY224+AZ250*AZ224+BA250*BA224+BB250*BB224+BC250*BC224+BD250*BD224+BE250*BE224+BF250*BF224+BG250*BG224+BH250*BH224+BI250*BI224+BJ250*BJ224+BK250*BK224+BL250*BL224+BM250*BM224+BN250*BN224+BO250*BO224+BP250*BP224+BQ250*BQ224+BR250*BR224+BS250*BS224+BT250*BT224+BU250*BU224+BV250*BV224+BW250*BW224+BX250*BX224+BY250*BY224+BZ250*BZ224+CA250*CA224+CB250*CB224+CC250*CC224+CD250*CD224+CE250*CE224+CF250*CF224+CG250*CG224+CH250*CH224+CI250*CI224+CJ250*CJ224+CK250*CK224+CL250*CL224+CM250*CM224+CN250*CN224</f>
        <v>0</v>
      </c>
      <c r="CT224" s="2652">
        <f>E251*E224+F251*F224+G251*G224+H251*H224+I251*I224+J251*J224+K251*K224+L251*L224+M251*M224+N251*N224+O251*O224+P251*P224+Q251*Q224+R251*R224+S251*S224+T251*T224+U251*U224+V251*V224+W251*W224+X251*X224+Y251*Y224+Z251*Z224+AA251*AA224+AB251*AB224+AC251*AC224+AD251*AD224+AE251*AE224+AF251*AF224+AG251*AG224+AH251*AH224+AI251*AI224+AJ251*AJ224+AK251*AK224+AL251*AL224+AM251*AM224+AN251*AN224+AO251*AO224+AP251*AP224+AQ251*AQ224+AR251*AR224+AS251*AS224+AT251*AT224+AU251*AU224+AV251*AV224+AW251*AW224+AX251*AX224+AY251*AY224+AZ251*AZ224+BA251*BA224+BB251*BB224+BC251*BC224+BD251*BD224+BE251*BE224+BF251*BF224+BG251*BG224+BH251*BH224+BI251*BI224+BJ251*BJ224+BK251*BK224+BL251*BL224+BM251*BM224+BN251*BN224+BO251*BO224+BP251*BP224+BQ251*BQ224+BR251*BR224+BS251*BS224+BT251*BT224+BU251*BU224+BV251*BV224+BW251*BW224+BX251*BX224+BY251*BY224+BZ251*BZ224+CA251*CA224+CB251*CB224+CC251*CC224+CD251*CD224+CE251*CE224+CF251*CF224+CG251*CG224+CH251*CH224+CI251*CI224+CJ251*CJ224+CK251*CK224+CL251*CL224+CM251*CM224+CN251*CN224</f>
        <v>6.9388939039072284E-18</v>
      </c>
      <c r="CU224" s="2652">
        <f>E252*E224+F252*F224+G252*G224+H252*H224+I252*I224+J252*J224+K252*K224+L252*L224+M252*M224+N252*N224+O252*O224+P252*P224+Q252*Q224+R252*R224+S252*S224+T252*T224+U252*U224+V252*V224+W252*W224+X252*X224+Y252*Y224+Z252*Z224+AA252*AA224+AB252*AB224+AC252*AC224+AD252*AD224+AE252*AE224+AF252*AF224+AG252*AG224+AH252*AH224+AI252*AI224+AJ252*AJ224+AK252*AK224+AL252*AL224+AM252*AM224+AN252*AN224+AO252*AO224+AP252*AP224+AQ252*AQ224+AR252*AR224+AS252*AS224+AT252*AT224+AU252*AU224+AV252*AV224+AW252*AW224+AX252*AX224+AY252*AY224+AZ252*AZ224+BA252*BA224+BB252*BB224+BC252*BC224+BD252*BD224+BE252*BE224+BF252*BF224+BG252*BG224+BH252*BH224+BI252*BI224+BJ252*BJ224+BK252*BK224+BL252*BL224+BM252*BM224+BN252*BN224+BO252*BO224+BP252*BP224+BQ252*BQ224+BR252*BR224+BS252*BS224+BT252*BT224+BU252*BU224+BV252*BV224+BW252*BW224+BX252*BX224+BY252*BY224+BZ252*BZ224+CA252*CA224+CB252*CB224+CC252*CC224+CD252*CD224+CE252*CE224+CF252*CF224+CG252*CG224+CH252*CH224+CI252*CI224+CJ252*CJ224+CK252*CK224+CL252*CL224+CM252*CM224+CN252*CN224</f>
        <v>0</v>
      </c>
      <c r="CV224" s="2652">
        <f>E253*E224+F253*F224+G253*G224+H253*H224+I253*I224+J253*J224+K253*K224+L253*L224+M253*M224+N253*N224+O253*O224+P253*P224+Q253*Q224+R253*R224+S253*S224+T253*T224+U253*U224+V253*V224+W253*W224+X253*X224+Y253*Y224+Z253*Z224+AA253*AA224+AB253*AB224+AC253*AC224+AD253*AD224+AE253*AE224+AF253*AF224+AG253*AG224+AH253*AH224+AI253*AI224+AJ253*AJ224+AK253*AK224+AL253*AL224+AM253*AM224+AN253*AN224+AO253*AO224+AP253*AP224+AQ253*AQ224+AR253*AR224+AS253*AS224+AT253*AT224+AU253*AU224+AV253*AV224+AW253*AW224+AX253*AX224+AY253*AY224+AZ253*AZ224+BA253*BA224+BB253*BB224+BC253*BC224+BD253*BD224+BE253*BE224+BF253*BF224+BG253*BG224+BH253*BH224+BI253*BI224+BJ253*BJ224+BK253*BK224+BL253*BL224+BM253*BM224+BN253*BN224+BO253*BO224+BP253*BP224+BQ253*BQ224+BR253*BR224+BS253*BS224+BT253*BT224+BU253*BU224+BV253*BV224+BW253*BW224+BX253*BX224+BY253*BY224+BZ253*BZ224+CA253*CA224+CB253*CB224+CC253*CC224+CD253*CD224+CE253*CE224+CF253*CF224+CG253*CG224+CH253*CH224+CI253*CI224+CJ253*CJ224+CK253*CK224+CL253*CL224+CM253*CM224+CN253*CN224</f>
        <v>0</v>
      </c>
      <c r="CW224" s="2652">
        <f>E254*E224+F254*F224+G254*G224+H254*H224+I254*I224+J254*J224+K254*K224+L254*L224+M254*M224+N254*N224+O254*O224+P254*P224+Q254*Q224+R254*R224+S254*S224+T254*T224+U254*U224+V254*V224+W254*W224+X254*X224+Y254*Y224+Z254*Z224+AA254*AA224+AB254*AB224+AC254*AC224+AD254*AD224+AE254*AE224+AF254*AF224+AG254*AG224+AH254*AH224+AI254*AI224+AJ254*AJ224+AK254*AK224+AL254*AL224+AM254*AM224+AN254*AN224+AO254*AO224+AP254*AP224+AQ254*AQ224+AR254*AR224+AS254*AS224+AT254*AT224+AU254*AU224+AV254*AV224+AW254*AW224+AX254*AX224+AY254*AY224+AZ254*AZ224+BA254*BA224+BB254*BB224+BC254*BC224+BD254*BD224+BE254*BE224+BF254*BF224+BG254*BG224+BH254*BH224+BI254*BI224+BJ254*BJ224+BK254*BK224+BL254*BL224+BM254*BM224+BN254*BN224+BO254*BO224+BP254*BP224+BQ254*BQ224+BR254*BR224+BS254*BS224+BT254*BT224+BU254*BU224+BV254*BV224+BW254*BW224+BX254*BX224+BY254*BY224+BZ254*BZ224+CA254*CA224+CB254*CB224+CC254*CC224+CD254*CD224+CE254*CE224+CF254*CF224+CG254*CG224+CH254*CH224+CI254*CI224+CJ254*CJ224+CK254*CK224+CL254*CL224+CM254*CM224+CN254*CN224</f>
        <v>0</v>
      </c>
      <c r="CX224" s="2652">
        <f>E255*E224+F255*F224+G255*G224+H255*H224+I255*I224+J255*J224+K255*K224+L255*L224+M255*M224+N255*N224+O255*O224+P255*P224+Q255*Q224+R255*R224+S255*S224+T255*T224+U255*U224+V255*V224+W255*W224+X255*X224+Y255*Y224+Z255*Z224+AA255*AA224+AB255*AB224+AC255*AC224+AD255*AD224+AE255*AE224+AF255*AF224+AG255*AG224+AH255*AH224+AI255*AI224+AJ255*AJ224+AK255*AK224+AL255*AL224+AM255*AM224+AN255*AN224+AO255*AO224+AP255*AP224+AQ255*AQ224+AR255*AR224+AS255*AS224+AT255*AT224+AU255*AU224+AV255*AV224+AW255*AW224+AX255*AX224+AY255*AY224+AZ255*AZ224+BA255*BA224+BB255*BB224+BC255*BC224+BD255*BD224+BE255*BE224+BF255*BF224+BG255*BG224+BH255*BH224+BI255*BI224+BJ255*BJ224+BK255*BK224+BL255*BL224+BM255*BM224+BN255*BN224+BO255*BO224+BP255*BP224+BQ255*BQ224+BR255*BR224+BS255*BS224+BT255*BT224+BU255*BU224+BV255*BV224+BW255*BW224+BX255*BX224+BY255*BY224+BZ255*BZ224+CA255*CA224+CB255*CB224+CC255*CC224+CD255*CD224+CE255*CE224+CF255*CF224+CG255*CG224+CH255*CH224+CI255*CI224+CJ255*CJ224+CK255*CK224+CL255*CL224+CM255*CM224+CN255*CN224</f>
        <v>0</v>
      </c>
      <c r="CY224" s="2652">
        <f>E256*E224+F256*F224+G256*G224+H256*H224+I256*I224+J256*J224+K256*K224+L256*L224+M256*M224+N256*N224+O256*O224+P256*P224+Q256*Q224+R256*R224+S256*S224+T256*T224+U256*U224+V256*V224+W256*W224+X256*X224+Y256*Y224+Z256*Z224+AA256*AA224+AB256*AB224+AC256*AC224+AD256*AD224+AE256*AE224+AF256*AF224+AG256*AG224+AH256*AH224+AI256*AI224+AJ256*AJ224+AK256*AK224+AL256*AL224+AM256*AM224+AN256*AN224+AO256*AO224+AP256*AP224+AQ256*AQ224+AR256*AR224+AS256*AS224+AT256*AT224+AU256*AU224+AV256*AV224+AW256*AW224+AX256*AX224+AY256*AY224+AZ256*AZ224+BA256*BA224+BB256*BB224+BC256*BC224+BD256*BD224+BE256*BE224+BF256*BF224+BG256*BG224+BH256*BH224+BI256*BI224+BJ256*BJ224+BK256*BK224+BL256*BL224+BM256*BM224+BN256*BN224+BO256*BO224+BP256*BP224+BQ256*BQ224+BR256*BR224+BS256*BS224+BT256*BT224+BU256*BU224+BV256*BV224+BW256*BW224+BX256*BX224+BY256*BY224+BZ256*BZ224+CA256*CA224+CB256*CB224+CC256*CC224+CD256*CD224+CE256*CE224+CF256*CF224+CG256*CG224+CH256*CH224+CI256*CI224+CJ256*CJ224+CK256*CK224+CL256*CL224+CM256*CM224+CN256*CN224</f>
        <v>0</v>
      </c>
      <c r="CZ224" s="2652">
        <f>E257*E224+F257*F224+G257*G224+H257*H224+I257*I224+J257*J224+K257*K224+L257*L224+M257*M224+N257*N224+O257*O224+P257*P224+Q257*Q224+R257*R224+S257*S224+T257*T224+U257*U224+V257*V224+W257*W224+X257*X224+Y257*Y224+Z257*Z224+AA257*AA224+AB257*AB224+AC257*AC224+AD257*AD224+AE257*AE224+AF257*AF224+AG257*AG224+AH257*AH224+AI257*AI224+AJ257*AJ224+AK257*AK224+AL257*AL224+AM257*AM224+AN257*AN224+AO257*AO224+AP257*AP224+AQ257*AQ224+AR257*AR224+AS257*AS224+AT257*AT224+AU257*AU224+AV257*AV224+AW257*AW224+AX257*AX224+AY257*AY224+AZ257*AZ224+BA257*BA224+BB257*BB224+BC257*BC224+BD257*BD224+BE257*BE224+BF257*BF224+BG257*BG224+BH257*BH224+BI257*BI224+BJ257*BJ224+BK257*BK224+BL257*BL224+BM257*BM224+BN257*BN224+BO257*BO224+BP257*BP224+BQ257*BQ224+BR257*BR224+BS257*BS224+BT257*BT224+BU257*BU224+BV257*BV224+BW257*BW224+BX257*BX224+BY257*BY224+BZ257*BZ224+CA257*CA224+CB257*CB224+CC257*CC224+CD257*CD224+CE257*CE224+CF257*CF224+CG257*CG224+CH257*CH224+CI257*CI224+CJ257*CJ224+CK257*CK224+CL257*CL224+CM257*CM224+CN257*CN224</f>
        <v>0</v>
      </c>
      <c r="DA224" s="2652">
        <f>E258*E224+F258*F224+G258*G224+H258*H224+I258*I224+J258*J224+K258*K224+L258*L224+M258*M224+N258*N224+O258*O224+P258*P224+Q258*Q224+R258*R224+S258*S224+T258*T224+U258*U224+V258*V224+W258*W224+X258*X224+Y258*Y224+Z258*Z224+AA258*AA224+AB258*AB224+AC258*AC224+AD258*AD224+AE258*AE224+AF258*AF224+AG258*AG224+AH258*AH224+AI258*AI224+AJ258*AJ224+AK258*AK224+AL258*AL224+AM258*AM224+AN258*AN224+AO258*AO224+AP258*AP224+AQ258*AQ224+AR258*AR224+AS258*AS224+AT258*AT224+AU258*AU224+AV258*AV224+AW258*AW224+AX258*AX224+AY258*AY224+AZ258*AZ224+BA258*BA224+BB258*BB224+BC258*BC224+BD258*BD224+BE258*BE224+BF258*BF224+BG258*BG224+BH258*BH224+BI258*BI224+BJ258*BJ224+BK258*BK224+BL258*BL224+BM258*BM224+BN258*BN224+BO258*BO224+BP258*BP224+BQ258*BQ224+BR258*BR224+BS258*BS224+BT258*BT224+BU258*BU224+BV258*BV224+BW258*BW224+BX258*BX224+BY258*BY224+BZ258*BZ224+CA258*CA224+CB258*CB224+CC258*CC224+CD258*CD224+CE258*CE224+CF258*CF224+CG258*CG224+CH258*CH224+CI258*CI224+CJ258*CJ224+CK258*CK224+CL258*CL224+CM258*CM224+CN258*CN224</f>
        <v>0</v>
      </c>
    </row>
    <row r="225" spans="2:105" ht="18" x14ac:dyDescent="0.25">
      <c r="B225" s="2183">
        <v>92</v>
      </c>
      <c r="C225" s="2184" t="s">
        <v>3483</v>
      </c>
      <c r="D225" s="857" t="s">
        <v>1128</v>
      </c>
      <c r="E225" s="2699">
        <f>0</f>
        <v>0</v>
      </c>
      <c r="F225" s="2699">
        <f>0</f>
        <v>0</v>
      </c>
      <c r="G225" s="2699">
        <f>0</f>
        <v>0</v>
      </c>
      <c r="H225" s="2699">
        <f>0</f>
        <v>0</v>
      </c>
      <c r="I225" s="2699">
        <f>0</f>
        <v>0</v>
      </c>
      <c r="J225" s="2699">
        <f>0</f>
        <v>0</v>
      </c>
      <c r="K225" s="2722">
        <f>0</f>
        <v>0</v>
      </c>
      <c r="L225" s="2699">
        <f>0</f>
        <v>0</v>
      </c>
      <c r="M225" s="2699">
        <f>0</f>
        <v>0</v>
      </c>
      <c r="N225" s="2699">
        <f>0</f>
        <v>0</v>
      </c>
      <c r="O225" s="2699">
        <f>0</f>
        <v>0</v>
      </c>
      <c r="P225" s="2699">
        <f>0</f>
        <v>0</v>
      </c>
      <c r="Q225" s="2699">
        <f>0</f>
        <v>0</v>
      </c>
      <c r="R225" s="2699">
        <f>0</f>
        <v>0</v>
      </c>
      <c r="S225" s="2699">
        <f>0</f>
        <v>0</v>
      </c>
      <c r="T225" s="2732">
        <f>0</f>
        <v>0</v>
      </c>
      <c r="U225" s="2732">
        <f>0</f>
        <v>0</v>
      </c>
      <c r="V225" s="2699">
        <f>0</f>
        <v>0</v>
      </c>
      <c r="W225" s="2699">
        <f>0</f>
        <v>0</v>
      </c>
      <c r="X225" s="2699">
        <f>0</f>
        <v>0</v>
      </c>
      <c r="Y225" s="2699">
        <f>0</f>
        <v>0</v>
      </c>
      <c r="Z225" s="2699">
        <f>0</f>
        <v>0</v>
      </c>
      <c r="AA225" s="2699">
        <f>0</f>
        <v>0</v>
      </c>
      <c r="AB225" s="2699">
        <f>0</f>
        <v>0</v>
      </c>
      <c r="AC225" s="2722">
        <f>0</f>
        <v>0</v>
      </c>
      <c r="AD225" s="2699">
        <f>0</f>
        <v>0</v>
      </c>
      <c r="AE225" s="2699">
        <f>0</f>
        <v>0</v>
      </c>
      <c r="AF225" s="2699">
        <f>0</f>
        <v>0</v>
      </c>
      <c r="AG225" s="2699">
        <f>0</f>
        <v>0</v>
      </c>
      <c r="AH225" s="2699">
        <f>0</f>
        <v>0</v>
      </c>
      <c r="AI225" s="2699">
        <f>0</f>
        <v>0</v>
      </c>
      <c r="AJ225" s="2722">
        <f>0</f>
        <v>0</v>
      </c>
      <c r="AK225" s="2699">
        <f>0</f>
        <v>0</v>
      </c>
      <c r="AL225" s="2732">
        <f>0</f>
        <v>0</v>
      </c>
      <c r="AM225" s="2699">
        <f>0</f>
        <v>0</v>
      </c>
      <c r="AN225" s="2699">
        <f>0</f>
        <v>0</v>
      </c>
      <c r="AO225" s="2699">
        <f>0</f>
        <v>0</v>
      </c>
      <c r="AP225" s="2722">
        <f>0</f>
        <v>0</v>
      </c>
      <c r="AQ225" s="2699">
        <f>0</f>
        <v>0</v>
      </c>
      <c r="AR225" s="2699">
        <f>0</f>
        <v>0</v>
      </c>
      <c r="AS225" s="2699">
        <f>0</f>
        <v>0</v>
      </c>
      <c r="AT225" s="2699">
        <f>0</f>
        <v>0</v>
      </c>
      <c r="AU225" s="2732">
        <f>-A_MC/M_MCaCO3</f>
        <v>-0.12000271763837225</v>
      </c>
      <c r="AV225" s="2699">
        <f>0</f>
        <v>0</v>
      </c>
      <c r="AW225" s="2699">
        <f>0</f>
        <v>0</v>
      </c>
      <c r="AX225" s="2699">
        <f>0</f>
        <v>0</v>
      </c>
      <c r="AY225" s="2732">
        <f>-A_MCa/M_MCaCO3</f>
        <v>-0.40043202457064814</v>
      </c>
      <c r="AZ225" s="2699">
        <f>0</f>
        <v>0</v>
      </c>
      <c r="BA225" s="2699">
        <f>0</f>
        <v>0</v>
      </c>
      <c r="BB225" s="2732">
        <f>0</f>
        <v>0</v>
      </c>
      <c r="BC225" s="2699">
        <f>0</f>
        <v>0</v>
      </c>
      <c r="BD225" s="2699">
        <f>0</f>
        <v>0</v>
      </c>
      <c r="BE225" s="2732">
        <f>0</f>
        <v>0</v>
      </c>
      <c r="BF225" s="2732">
        <f>0</f>
        <v>0</v>
      </c>
      <c r="BG225" s="2699">
        <f>0</f>
        <v>0</v>
      </c>
      <c r="BH225" s="2732">
        <f>0</f>
        <v>0</v>
      </c>
      <c r="BI225" s="2732">
        <f>0</f>
        <v>0</v>
      </c>
      <c r="BJ225" s="2733">
        <f>0</f>
        <v>0</v>
      </c>
      <c r="BK225" s="2733">
        <f>0</f>
        <v>0</v>
      </c>
      <c r="BL225" s="2733">
        <f>0</f>
        <v>0</v>
      </c>
      <c r="BM225" s="2733">
        <f>0</f>
        <v>0</v>
      </c>
      <c r="BN225" s="2733">
        <f>0</f>
        <v>0</v>
      </c>
      <c r="BO225" s="2733">
        <f>0</f>
        <v>0</v>
      </c>
      <c r="BP225" s="2733">
        <f>0</f>
        <v>0</v>
      </c>
      <c r="BQ225" s="2732">
        <f>1</f>
        <v>1</v>
      </c>
      <c r="BR225" s="2732">
        <f>0</f>
        <v>0</v>
      </c>
      <c r="BS225" s="2733">
        <f>0</f>
        <v>0</v>
      </c>
      <c r="BT225" s="2732">
        <f>0</f>
        <v>0</v>
      </c>
      <c r="BU225" s="2732">
        <f>0</f>
        <v>0</v>
      </c>
      <c r="BV225" s="2792">
        <f>0</f>
        <v>0</v>
      </c>
      <c r="BW225" s="2792">
        <f>0</f>
        <v>0</v>
      </c>
      <c r="BX225" s="2792">
        <f>0</f>
        <v>0</v>
      </c>
      <c r="BY225" s="2792">
        <f>0</f>
        <v>0</v>
      </c>
      <c r="BZ225" s="2732">
        <f>0</f>
        <v>0</v>
      </c>
      <c r="CA225" s="2732">
        <f>0</f>
        <v>0</v>
      </c>
      <c r="CB225" s="2812">
        <f>0</f>
        <v>0</v>
      </c>
      <c r="CC225" s="2732">
        <f>0</f>
        <v>0</v>
      </c>
      <c r="CD225" s="2732">
        <f>0</f>
        <v>0</v>
      </c>
      <c r="CE225" s="2732">
        <f>0</f>
        <v>0</v>
      </c>
      <c r="CF225" s="2732">
        <f>0</f>
        <v>0</v>
      </c>
      <c r="CG225" s="2732">
        <f>0</f>
        <v>0</v>
      </c>
      <c r="CH225" s="2732">
        <f>0</f>
        <v>0</v>
      </c>
      <c r="CI225" s="2732">
        <f>0</f>
        <v>0</v>
      </c>
      <c r="CJ225" s="2732">
        <f>0</f>
        <v>0</v>
      </c>
      <c r="CK225" s="2732">
        <f>0</f>
        <v>0</v>
      </c>
      <c r="CL225" s="2732">
        <f>0</f>
        <v>0</v>
      </c>
      <c r="CM225" s="2732">
        <f>0</f>
        <v>0</v>
      </c>
      <c r="CN225" s="2732">
        <f>0</f>
        <v>0</v>
      </c>
      <c r="CO225" s="2844">
        <f>q_CaCO3*P_recipDrivingForceCaCO3^2</f>
        <v>-6.8022866319041923E-50</v>
      </c>
      <c r="CQ225" s="2650">
        <f>E248*E225+F248*F225+G248*G225+H248*H225+I248*I225+J248*J225+K248*K225+L248*L225+M248*M225+N248*N225+O248*O225+P248*P225+Q248*Q225+R248*R225+S248*S225+T248*T225+U248*U225+V248*V225+W248*W225+X248*X225+Y248*Y225+Z248*Z225+AA248*AA225+AB248*AB225+AC248*AC225+AD248*AD225+AE248*AE225+AF248*AF225+AG248*AG225+AH248*AH225+AI248*AI225+AJ248*AJ225+AK248*AK225+AL248*AL225+AM248*AM225+AN248*AN225+AO248*AO225+AP248*AP225+AQ248*AQ225+AR248*AR225+AS248*AS225+AT248*AT225+AU248*AU225+AV248*AV225+AW248*AW225+AX248*AX225+AY248*AY225+AZ248*AZ225+BA248*BA225+BB248*BB225+BC248*BC225+BD248*BD225+BE248*BE225+BF248*BF225+BG248*BG225+BH248*BH225+BI248*BI225+BJ248*BJ225+BK248*BK225+BL248*BL225+BM248*BM225+BN248*BN225+BO248*BO225+BP248*BP225+BQ248*BQ225+BR248*BR225+BS248*BS225+BT248*BT225+BU248*BU225+BV248*BV225+BW248*BW225+BX248*BX225+BY248*BY225+BZ248*BZ225+CA248*CA225+CB248*CB225+CC248*CC225+CD248*CD225+CE248*CE225+CF248*CF225+CG248*CG225+CH248*CH225+CI248*CI225+CJ248*CJ225+CK248*CK225+CL248*CL225+CM248*CM225+CN248*CN225</f>
        <v>0</v>
      </c>
      <c r="CR225" s="2650">
        <f>E249*E225+F249*F225+G249*G225+H249*H225+I249*I225+J249*J225+K249*K225+L249*L225+M249*M225+N249*N225+O249*O225+P249*P225+Q249*Q225+R249*R225+S249*S225+T249*T225+U249*U225+V249*V225+W249*W225+X249*X225+Y249*Y225+Z249*Z225+AA249*AA225+AB249*AB225+AC249*AC225+AD249*AD225+AE249*AE225+AF249*AF225+AG249*AG225+AH249*AH225+AI249*AI225+AJ249*AJ225+AK249*AK225+AL249*AL225+AM249*AM225+AN249*AN225+AO249*AO225+AP249*AP225+AQ249*AQ225+AR249*AR225+AS249*AS225+AT249*AT225+AU249*AU225+AV249*AV225+AW249*AW225+AX249*AX225+AY249*AY225+AZ249*AZ225+BA249*BA225+BB249*BB225+BC249*BC225+BD249*BD225+BE249*BE225+BF249*BF225+BG249*BG225+BH249*BH225+BI249*BI225+BJ249*BJ225+BK249*BK225+BL249*BL225+BM249*BM225+BN249*BN225+BO249*BO225+BP249*BP225+BQ249*BQ225+BR249*BR225+BS249*BS225+BT249*BT225+BU249*BU225+BV249*BV225+BW249*BW225+BX249*BX225+BY249*BY225+BZ249*BZ225+CA249*CA225+CB249*CB225+CC249*CC225+CD249*CD225+CE249*CE225+CF249*CF225+CG249*CG225+CH249*CH225+CI249*CI225+CJ249*CJ225+CK249*CK225+CL249*CL225+CM249*CM225+CN249*CN225</f>
        <v>0</v>
      </c>
      <c r="CS225" s="2651">
        <f>E250*E225+F250*F225+G250*G225+H250*H225+I250*I225+J250*J225+K250*K225+L250*L225+M250*M225+N250*N225+O250*O225+P250*P225+Q250*Q225+R250*R225+S250*S225+T250*T225+U250*U225+V250*V225+W250*W225+X250*X225+Y250*Y225+Z250*Z225+AA250*AA225+AB250*AB225+AC250*AC225+AD250*AD225+AE250*AE225+AF250*AF225+AG250*AG225+AH250*AH225+AI250*AI225+AJ250*AJ225+AK250*AK225+AL250*AL225+AM250*AM225+AN250*AN225+AO250*AO225+AP250*AP225+AQ250*AQ225+AR250*AR225+AS250*AS225+AT250*AT225+AU250*AU225+AV250*AV225+AW250*AW225+AX250*AX225+AY250*AY225+AZ250*AZ225+BA250*BA225+BB250*BB225+BC250*BC225+BD250*BD225+BE250*BE225+BF250*BF225+BG250*BG225+BH250*BH225+BI250*BI225+BJ250*BJ225+BK250*BK225+BL250*BL225+BM250*BM225+BN250*BN225+BO250*BO225+BP250*BP225+BQ250*BQ225+BR250*BR225+BS250*BS225+BT250*BT225+BU250*BU225+BV250*BV225+BW250*BW225+BX250*BX225+BY250*BY225+BZ250*BZ225+CA250*CA225+CB250*CB225+CC250*CC225+CD250*CD225+CE250*CE225+CF250*CF225+CG250*CG225+CH250*CH225+CI250*CI225+CJ250*CJ225+CK250*CK225+CL250*CL225+CM250*CM225+CN250*CN225</f>
        <v>0</v>
      </c>
      <c r="CT225" s="2652">
        <f>E251*E225+F251*F225+G251*G225+H251*H225+I251*I225+J251*J225+K251*K225+L251*L225+M251*M225+N251*N225+O251*O225+P251*P225+Q251*Q225+R251*R225+S251*S225+T251*T225+U251*U225+V251*V225+W251*W225+X251*X225+Y251*Y225+Z251*Z225+AA251*AA225+AB251*AB225+AC251*AC225+AD251*AD225+AE251*AE225+AF251*AF225+AG251*AG225+AH251*AH225+AI251*AI225+AJ251*AJ225+AK251*AK225+AL251*AL225+AM251*AM225+AN251*AN225+AO251*AO225+AP251*AP225+AQ251*AQ225+AR251*AR225+AS251*AS225+AT251*AT225+AU251*AU225+AV251*AV225+AW251*AW225+AX251*AX225+AY251*AY225+AZ251*AZ225+BA251*BA225+BB251*BB225+BC251*BC225+BD251*BD225+BE251*BE225+BF251*BF225+BG251*BG225+BH251*BH225+BI251*BI225+BJ251*BJ225+BK251*BK225+BL251*BL225+BM251*BM225+BN251*BN225+BO251*BO225+BP251*BP225+BQ251*BQ225+BR251*BR225+BS251*BS225+BT251*BT225+BU251*BU225+BV251*BV225+BW251*BW225+BX251*BX225+BY251*BY225+BZ251*BZ225+CA251*CA225+CB251*CB225+CC251*CC225+CD251*CD225+CE251*CE225+CF251*CF225+CG251*CG225+CH251*CH225+CI251*CI225+CJ251*CJ225+CK251*CK225+CL251*CL225+CM251*CM225+CN251*CN225</f>
        <v>0</v>
      </c>
      <c r="CU225" s="2652">
        <f>E252*E225+F252*F225+G252*G225+H252*H225+I252*I225+J252*J225+K252*K225+L252*L225+M252*M225+N252*N225+O252*O225+P252*P225+Q252*Q225+R252*R225+S252*S225+T252*T225+U252*U225+V252*V225+W252*W225+X252*X225+Y252*Y225+Z252*Z225+AA252*AA225+AB252*AB225+AC252*AC225+AD252*AD225+AE252*AE225+AF252*AF225+AG252*AG225+AH252*AH225+AI252*AI225+AJ252*AJ225+AK252*AK225+AL252*AL225+AM252*AM225+AN252*AN225+AO252*AO225+AP252*AP225+AQ252*AQ225+AR252*AR225+AS252*AS225+AT252*AT225+AU252*AU225+AV252*AV225+AW252*AW225+AX252*AX225+AY252*AY225+AZ252*AZ225+BA252*BA225+BB252*BB225+BC252*BC225+BD252*BD225+BE252*BE225+BF252*BF225+BG252*BG225+BH252*BH225+BI252*BI225+BJ252*BJ225+BK252*BK225+BL252*BL225+BM252*BM225+BN252*BN225+BO252*BO225+BP252*BP225+BQ252*BQ225+BR252*BR225+BS252*BS225+BT252*BT225+BU252*BU225+BV252*BV225+BW252*BW225+BX252*BX225+BY252*BY225+BZ252*BZ225+CA252*CA225+CB252*CB225+CC252*CC225+CD252*CD225+CE252*CE225+CF252*CF225+CG252*CG225+CH252*CH225+CI252*CI225+CJ252*CJ225+CK252*CK225+CL252*CL225+CM252*CM225+CN252*CN225</f>
        <v>0</v>
      </c>
      <c r="CV225" s="2652">
        <f>E253*E225+F253*F225+G253*G225+H253*H225+I253*I225+J253*J225+K253*K225+L253*L225+M253*M225+N253*N225+O253*O225+P253*P225+Q253*Q225+R253*R225+S253*S225+T253*T225+U253*U225+V253*V225+W253*W225+X253*X225+Y253*Y225+Z253*Z225+AA253*AA225+AB253*AB225+AC253*AC225+AD253*AD225+AE253*AE225+AF253*AF225+AG253*AG225+AH253*AH225+AI253*AI225+AJ253*AJ225+AK253*AK225+AL253*AL225+AM253*AM225+AN253*AN225+AO253*AO225+AP253*AP225+AQ253*AQ225+AR253*AR225+AS253*AS225+AT253*AT225+AU253*AU225+AV253*AV225+AW253*AW225+AX253*AX225+AY253*AY225+AZ253*AZ225+BA253*BA225+BB253*BB225+BC253*BC225+BD253*BD225+BE253*BE225+BF253*BF225+BG253*BG225+BH253*BH225+BI253*BI225+BJ253*BJ225+BK253*BK225+BL253*BL225+BM253*BM225+BN253*BN225+BO253*BO225+BP253*BP225+BQ253*BQ225+BR253*BR225+BS253*BS225+BT253*BT225+BU253*BU225+BV253*BV225+BW253*BW225+BX253*BX225+BY253*BY225+BZ253*BZ225+CA253*CA225+CB253*CB225+CC253*CC225+CD253*CD225+CE253*CE225+CF253*CF225+CG253*CG225+CH253*CH225+CI253*CI225+CJ253*CJ225+CK253*CK225+CL253*CL225+CM253*CM225+CN253*CN225</f>
        <v>0</v>
      </c>
      <c r="CW225" s="2652">
        <f>E254*E225+F254*F225+G254*G225+H254*H225+I254*I225+J254*J225+K254*K225+L254*L225+M254*M225+N254*N225+O254*O225+P254*P225+Q254*Q225+R254*R225+S254*S225+T254*T225+U254*U225+V254*V225+W254*W225+X254*X225+Y254*Y225+Z254*Z225+AA254*AA225+AB254*AB225+AC254*AC225+AD254*AD225+AE254*AE225+AF254*AF225+AG254*AG225+AH254*AH225+AI254*AI225+AJ254*AJ225+AK254*AK225+AL254*AL225+AM254*AM225+AN254*AN225+AO254*AO225+AP254*AP225+AQ254*AQ225+AR254*AR225+AS254*AS225+AT254*AT225+AU254*AU225+AV254*AV225+AW254*AW225+AX254*AX225+AY254*AY225+AZ254*AZ225+BA254*BA225+BB254*BB225+BC254*BC225+BD254*BD225+BE254*BE225+BF254*BF225+BG254*BG225+BH254*BH225+BI254*BI225+BJ254*BJ225+BK254*BK225+BL254*BL225+BM254*BM225+BN254*BN225+BO254*BO225+BP254*BP225+BQ254*BQ225+BR254*BR225+BS254*BS225+BT254*BT225+BU254*BU225+BV254*BV225+BW254*BW225+BX254*BX225+BY254*BY225+BZ254*BZ225+CA254*CA225+CB254*CB225+CC254*CC225+CD254*CD225+CE254*CE225+CF254*CF225+CG254*CG225+CH254*CH225+CI254*CI225+CJ254*CJ225+CK254*CK225+CL254*CL225+CM254*CM225+CN254*CN225</f>
        <v>0</v>
      </c>
      <c r="CX225" s="2652">
        <f>E255*E225+F255*F225+G255*G225+H255*H225+I255*I225+J255*J225+K255*K225+L255*L225+M255*M225+N255*N225+O255*O225+P255*P225+Q255*Q225+R255*R225+S255*S225+T255*T225+U255*U225+V255*V225+W255*W225+X255*X225+Y255*Y225+Z255*Z225+AA255*AA225+AB255*AB225+AC255*AC225+AD255*AD225+AE255*AE225+AF255*AF225+AG255*AG225+AH255*AH225+AI255*AI225+AJ255*AJ225+AK255*AK225+AL255*AL225+AM255*AM225+AN255*AN225+AO255*AO225+AP255*AP225+AQ255*AQ225+AR255*AR225+AS255*AS225+AT255*AT225+AU255*AU225+AV255*AV225+AW255*AW225+AX255*AX225+AY255*AY225+AZ255*AZ225+BA255*BA225+BB255*BB225+BC255*BC225+BD255*BD225+BE255*BE225+BF255*BF225+BG255*BG225+BH255*BH225+BI255*BI225+BJ255*BJ225+BK255*BK225+BL255*BL225+BM255*BM225+BN255*BN225+BO255*BO225+BP255*BP225+BQ255*BQ225+BR255*BR225+BS255*BS225+BT255*BT225+BU255*BU225+BV255*BV225+BW255*BW225+BX255*BX225+BY255*BY225+BZ255*BZ225+CA255*CA225+CB255*CB225+CC255*CC225+CD255*CD225+CE255*CE225+CF255*CF225+CG255*CG225+CH255*CH225+CI255*CI225+CJ255*CJ225+CK255*CK225+CL255*CL225+CM255*CM225+CN255*CN225</f>
        <v>0</v>
      </c>
      <c r="CY225" s="2652">
        <f>E256*E225+F256*F225+G256*G225+H256*H225+I256*I225+J256*J225+K256*K225+L256*L225+M256*M225+N256*N225+O256*O225+P256*P225+Q256*Q225+R256*R225+S256*S225+T256*T225+U256*U225+V256*V225+W256*W225+X256*X225+Y256*Y225+Z256*Z225+AA256*AA225+AB256*AB225+AC256*AC225+AD256*AD225+AE256*AE225+AF256*AF225+AG256*AG225+AH256*AH225+AI256*AI225+AJ256*AJ225+AK256*AK225+AL256*AL225+AM256*AM225+AN256*AN225+AO256*AO225+AP256*AP225+AQ256*AQ225+AR256*AR225+AS256*AS225+AT256*AT225+AU256*AU225+AV256*AV225+AW256*AW225+AX256*AX225+AY256*AY225+AZ256*AZ225+BA256*BA225+BB256*BB225+BC256*BC225+BD256*BD225+BE256*BE225+BF256*BF225+BG256*BG225+BH256*BH225+BI256*BI225+BJ256*BJ225+BK256*BK225+BL256*BL225+BM256*BM225+BN256*BN225+BO256*BO225+BP256*BP225+BQ256*BQ225+BR256*BR225+BS256*BS225+BT256*BT225+BU256*BU225+BV256*BV225+BW256*BW225+BX256*BX225+BY256*BY225+BZ256*BZ225+CA256*CA225+CB256*CB225+CC256*CC225+CD256*CD225+CE256*CE225+CF256*CF225+CG256*CG225+CH256*CH225+CI256*CI225+CJ256*CJ225+CK256*CK225+CL256*CL225+CM256*CM225+CN256*CN225</f>
        <v>0</v>
      </c>
      <c r="CZ225" s="2652">
        <f>E257*E225+F257*F225+G257*G225+H257*H225+I257*I225+J257*J225+K257*K225+L257*L225+M257*M225+N257*N225+O257*O225+P257*P225+Q257*Q225+R257*R225+S257*S225+T257*T225+U257*U225+V257*V225+W257*W225+X257*X225+Y257*Y225+Z257*Z225+AA257*AA225+AB257*AB225+AC257*AC225+AD257*AD225+AE257*AE225+AF257*AF225+AG257*AG225+AH257*AH225+AI257*AI225+AJ257*AJ225+AK257*AK225+AL257*AL225+AM257*AM225+AN257*AN225+AO257*AO225+AP257*AP225+AQ257*AQ225+AR257*AR225+AS257*AS225+AT257*AT225+AU257*AU225+AV257*AV225+AW257*AW225+AX257*AX225+AY257*AY225+AZ257*AZ225+BA257*BA225+BB257*BB225+BC257*BC225+BD257*BD225+BE257*BE225+BF257*BF225+BG257*BG225+BH257*BH225+BI257*BI225+BJ257*BJ225+BK257*BK225+BL257*BL225+BM257*BM225+BN257*BN225+BO257*BO225+BP257*BP225+BQ257*BQ225+BR257*BR225+BS257*BS225+BT257*BT225+BU257*BU225+BV257*BV225+BW257*BW225+BX257*BX225+BY257*BY225+BZ257*BZ225+CA257*CA225+CB257*CB225+CC257*CC225+CD257*CD225+CE257*CE225+CF257*CF225+CG257*CG225+CH257*CH225+CI257*CI225+CJ257*CJ225+CK257*CK225+CL257*CL225+CM257*CM225+CN257*CN225</f>
        <v>0</v>
      </c>
      <c r="DA225" s="2652">
        <f>E258*E225+F258*F225+G258*G225+H258*H225+I258*I225+J258*J225+K258*K225+L258*L225+M258*M225+N258*N225+O258*O225+P258*P225+Q258*Q225+R258*R225+S258*S225+T258*T225+U258*U225+V258*V225+W258*W225+X258*X225+Y258*Y225+Z258*Z225+AA258*AA225+AB258*AB225+AC258*AC225+AD258*AD225+AE258*AE225+AF258*AF225+AG258*AG225+AH258*AH225+AI258*AI225+AJ258*AJ225+AK258*AK225+AL258*AL225+AM258*AM225+AN258*AN225+AO258*AO225+AP258*AP225+AQ258*AQ225+AR258*AR225+AS258*AS225+AT258*AT225+AU258*AU225+AV258*AV225+AW258*AW225+AX258*AX225+AY258*AY225+AZ258*AZ225+BA258*BA225+BB258*BB225+BC258*BC225+BD258*BD225+BE258*BE225+BF258*BF225+BG258*BG225+BH258*BH225+BI258*BI225+BJ258*BJ225+BK258*BK225+BL258*BL225+BM258*BM225+BN258*BN225+BO258*BO225+BP258*BP225+BQ258*BQ225+BR258*BR225+BS258*BS225+BT258*BT225+BU258*BU225+BV258*BV225+BW258*BW225+BX258*BX225+BY258*BY225+BZ258*BZ225+CA258*CA225+CB258*CB225+CC258*CC225+CD258*CD225+CE258*CE225+CF258*CF225+CG258*CG225+CH258*CH225+CI258*CI225+CJ258*CJ225+CK258*CK225+CL258*CL225+CM258*CM225+CN258*CN225</f>
        <v>0</v>
      </c>
    </row>
    <row r="226" spans="2:105" ht="18" x14ac:dyDescent="0.25">
      <c r="B226" s="2183">
        <v>93</v>
      </c>
      <c r="C226" s="2184" t="s">
        <v>3484</v>
      </c>
      <c r="D226" s="857" t="s">
        <v>1127</v>
      </c>
      <c r="E226" s="2699">
        <f>0</f>
        <v>0</v>
      </c>
      <c r="F226" s="2699">
        <f>0</f>
        <v>0</v>
      </c>
      <c r="G226" s="2699">
        <f>0</f>
        <v>0</v>
      </c>
      <c r="H226" s="2699">
        <f>0</f>
        <v>0</v>
      </c>
      <c r="I226" s="2699">
        <f>0</f>
        <v>0</v>
      </c>
      <c r="J226" s="2699">
        <f>0</f>
        <v>0</v>
      </c>
      <c r="K226" s="2722">
        <f>0</f>
        <v>0</v>
      </c>
      <c r="L226" s="2699">
        <f>0</f>
        <v>0</v>
      </c>
      <c r="M226" s="2699">
        <f>0</f>
        <v>0</v>
      </c>
      <c r="N226" s="2699">
        <f>0</f>
        <v>0</v>
      </c>
      <c r="O226" s="2699">
        <f>0</f>
        <v>0</v>
      </c>
      <c r="P226" s="2699">
        <f>0</f>
        <v>0</v>
      </c>
      <c r="Q226" s="2699">
        <f>0</f>
        <v>0</v>
      </c>
      <c r="R226" s="2699">
        <f>0</f>
        <v>0</v>
      </c>
      <c r="S226" s="2699">
        <f>0</f>
        <v>0</v>
      </c>
      <c r="T226" s="2732">
        <f>0</f>
        <v>0</v>
      </c>
      <c r="U226" s="2732">
        <f>0</f>
        <v>0</v>
      </c>
      <c r="V226" s="2699">
        <f>0</f>
        <v>0</v>
      </c>
      <c r="W226" s="2699">
        <f>0</f>
        <v>0</v>
      </c>
      <c r="X226" s="2699">
        <f>0</f>
        <v>0</v>
      </c>
      <c r="Y226" s="2699">
        <f>0</f>
        <v>0</v>
      </c>
      <c r="Z226" s="2699">
        <f>0</f>
        <v>0</v>
      </c>
      <c r="AA226" s="2699">
        <f>0</f>
        <v>0</v>
      </c>
      <c r="AB226" s="2699">
        <f>0</f>
        <v>0</v>
      </c>
      <c r="AC226" s="2722">
        <f>0</f>
        <v>0</v>
      </c>
      <c r="AD226" s="2699">
        <f>0</f>
        <v>0</v>
      </c>
      <c r="AE226" s="2699">
        <f>0</f>
        <v>0</v>
      </c>
      <c r="AF226" s="2699">
        <f>0</f>
        <v>0</v>
      </c>
      <c r="AG226" s="2699">
        <f>0</f>
        <v>0</v>
      </c>
      <c r="AH226" s="2699">
        <f>0</f>
        <v>0</v>
      </c>
      <c r="AI226" s="2699">
        <f>0</f>
        <v>0</v>
      </c>
      <c r="AJ226" s="2722">
        <f>0</f>
        <v>0</v>
      </c>
      <c r="AK226" s="2699">
        <f>0</f>
        <v>0</v>
      </c>
      <c r="AL226" s="2732">
        <f>-2*A_MP/M_MACP</f>
        <v>-0.16206538757887573</v>
      </c>
      <c r="AM226" s="2699">
        <f>0</f>
        <v>0</v>
      </c>
      <c r="AN226" s="2699">
        <f>0</f>
        <v>0</v>
      </c>
      <c r="AO226" s="2699">
        <f>0</f>
        <v>0</v>
      </c>
      <c r="AP226" s="2722">
        <f>0</f>
        <v>0</v>
      </c>
      <c r="AQ226" s="2699">
        <f>0</f>
        <v>0</v>
      </c>
      <c r="AR226" s="2699">
        <f>0</f>
        <v>0</v>
      </c>
      <c r="AS226" s="2699">
        <f>0</f>
        <v>0</v>
      </c>
      <c r="AT226" s="2699">
        <f>0</f>
        <v>0</v>
      </c>
      <c r="AU226" s="2699">
        <f>0</f>
        <v>0</v>
      </c>
      <c r="AV226" s="2699">
        <f>0</f>
        <v>0</v>
      </c>
      <c r="AW226" s="2699">
        <f>0</f>
        <v>0</v>
      </c>
      <c r="AX226" s="2699">
        <f>0</f>
        <v>0</v>
      </c>
      <c r="AY226" s="2732">
        <f>-3*A_MCa/M_MACP</f>
        <v>-0.31455284127800509</v>
      </c>
      <c r="AZ226" s="2699">
        <f>0</f>
        <v>0</v>
      </c>
      <c r="BA226" s="2699">
        <f>0</f>
        <v>0</v>
      </c>
      <c r="BB226" s="2732">
        <f>0</f>
        <v>0</v>
      </c>
      <c r="BC226" s="2699">
        <f>0</f>
        <v>0</v>
      </c>
      <c r="BD226" s="2699">
        <f>0</f>
        <v>0</v>
      </c>
      <c r="BE226" s="2732">
        <f>0</f>
        <v>0</v>
      </c>
      <c r="BF226" s="2732">
        <f>0</f>
        <v>0</v>
      </c>
      <c r="BG226" s="2699">
        <f>0</f>
        <v>0</v>
      </c>
      <c r="BH226" s="2732">
        <f>0</f>
        <v>0</v>
      </c>
      <c r="BI226" s="2732">
        <f>0</f>
        <v>0</v>
      </c>
      <c r="BJ226" s="2733">
        <f>0</f>
        <v>0</v>
      </c>
      <c r="BK226" s="2733">
        <f>0</f>
        <v>0</v>
      </c>
      <c r="BL226" s="2733">
        <f>0</f>
        <v>0</v>
      </c>
      <c r="BM226" s="2733">
        <f>0</f>
        <v>0</v>
      </c>
      <c r="BN226" s="2733">
        <f>0</f>
        <v>0</v>
      </c>
      <c r="BO226" s="2733">
        <f>0</f>
        <v>0</v>
      </c>
      <c r="BP226" s="2733">
        <f>0</f>
        <v>0</v>
      </c>
      <c r="BQ226" s="2732">
        <f>0</f>
        <v>0</v>
      </c>
      <c r="BR226" s="2732">
        <f>1</f>
        <v>1</v>
      </c>
      <c r="BS226" s="2733">
        <f>0</f>
        <v>0</v>
      </c>
      <c r="BT226" s="2732">
        <f>0</f>
        <v>0</v>
      </c>
      <c r="BU226" s="2732">
        <f>0</f>
        <v>0</v>
      </c>
      <c r="BV226" s="2792">
        <f>0</f>
        <v>0</v>
      </c>
      <c r="BW226" s="2792">
        <f>0</f>
        <v>0</v>
      </c>
      <c r="BX226" s="2792">
        <f>0</f>
        <v>0</v>
      </c>
      <c r="BY226" s="2792">
        <f>0</f>
        <v>0</v>
      </c>
      <c r="BZ226" s="2732">
        <f>0</f>
        <v>0</v>
      </c>
      <c r="CA226" s="2732">
        <f>0</f>
        <v>0</v>
      </c>
      <c r="CB226" s="2812">
        <f>0</f>
        <v>0</v>
      </c>
      <c r="CC226" s="2732">
        <f>0</f>
        <v>0</v>
      </c>
      <c r="CD226" s="2732">
        <f>0</f>
        <v>0</v>
      </c>
      <c r="CE226" s="2732">
        <f>0</f>
        <v>0</v>
      </c>
      <c r="CF226" s="2732">
        <f>0</f>
        <v>0</v>
      </c>
      <c r="CG226" s="2732">
        <f>0</f>
        <v>0</v>
      </c>
      <c r="CH226" s="2732">
        <f>0</f>
        <v>0</v>
      </c>
      <c r="CI226" s="2732">
        <f>0</f>
        <v>0</v>
      </c>
      <c r="CJ226" s="2732">
        <f>0</f>
        <v>0</v>
      </c>
      <c r="CK226" s="2732">
        <f>0</f>
        <v>0</v>
      </c>
      <c r="CL226" s="2732">
        <f>0</f>
        <v>0</v>
      </c>
      <c r="CM226" s="2732">
        <f>0</f>
        <v>0</v>
      </c>
      <c r="CN226" s="2732">
        <f>0</f>
        <v>0</v>
      </c>
      <c r="CO226" s="2844">
        <f>q_ACP*P_recipDrivingForceACP^2</f>
        <v>-1.734514248696108E-48</v>
      </c>
      <c r="CQ226" s="2650">
        <f>E248*E226+F248*F226+G248*G226+H248*H226+I248*I226+J248*J226+K248*K226+L248*L226+M248*M226+N248*N226+O248*O226+P248*P226+Q248*Q226+R248*R226+S248*S226+T248*T226+U248*U226+V248*V226+W248*W226+X248*X226+Y248*Y226+Z248*Z226+AA248*AA226+AB248*AB226+AC248*AC226+AD248*AD226+AE248*AE226+AF248*AF226+AG248*AG226+AH248*AH226+AI248*AI226+AJ248*AJ226+AK248*AK226+AL248*AL226+AM248*AM226+AN248*AN226+AO248*AO226+AP248*AP226+AQ248*AQ226+AR248*AR226+AS248*AS226+AT248*AT226+AU248*AU226+AV248*AV226+AW248*AW226+AX248*AX226+AY248*AY226+AZ248*AZ226+BA248*BA226+BB248*BB226+BC248*BC226+BD248*BD226+BE248*BE226+BF248*BF226+BG248*BG226+BH248*BH226+BI248*BI226+BJ248*BJ226+BK248*BK226+BL248*BL226+BM248*BM226+BN248*BN226+BO248*BO226+BP248*BP226+BQ248*BQ226+BR248*BR226+BS248*BS226+BT248*BT226+BU248*BU226+BV248*BV226+BW248*BW226+BX248*BX226+BY248*BY226+BZ248*BZ226+CA248*CA226+CB248*CB226+CC248*CC226+CD248*CD226+CE248*CE226+CF248*CF226+CG248*CG226+CH248*CH226+CI248*CI226+CJ248*CJ226+CK248*CK226+CL248*CL226+CM248*CM226+CN248*CN226</f>
        <v>0</v>
      </c>
      <c r="CR226" s="2650">
        <f>E249*E226+F249*F226+G249*G226+H249*H226+I249*I226+J249*J226+K249*K226+L249*L226+M249*M226+N249*N226+O249*O226+P249*P226+Q249*Q226+R249*R226+S249*S226+T249*T226+U249*U226+V249*V226+W249*W226+X249*X226+Y249*Y226+Z249*Z226+AA249*AA226+AB249*AB226+AC249*AC226+AD249*AD226+AE249*AE226+AF249*AF226+AG249*AG226+AH249*AH226+AI249*AI226+AJ249*AJ226+AK249*AK226+AL249*AL226+AM249*AM226+AN249*AN226+AO249*AO226+AP249*AP226+AQ249*AQ226+AR249*AR226+AS249*AS226+AT249*AT226+AU249*AU226+AV249*AV226+AW249*AW226+AX249*AX226+AY249*AY226+AZ249*AZ226+BA249*BA226+BB249*BB226+BC249*BC226+BD249*BD226+BE249*BE226+BF249*BF226+BG249*BG226+BH249*BH226+BI249*BI226+BJ249*BJ226+BK249*BK226+BL249*BL226+BM249*BM226+BN249*BN226+BO249*BO226+BP249*BP226+BQ249*BQ226+BR249*BR226+BS249*BS226+BT249*BT226+BU249*BU226+BV249*BV226+BW249*BW226+BX249*BX226+BY249*BY226+BZ249*BZ226+CA249*CA226+CB249*CB226+CC249*CC226+CD249*CD226+CE249*CE226+CF249*CF226+CG249*CG226+CH249*CH226+CI249*CI226+CJ249*CJ226+CK249*CK226+CL249*CL226+CM249*CM226+CN249*CN226</f>
        <v>0</v>
      </c>
      <c r="CS226" s="2651">
        <f>E250*E226+F250*F226+G250*G226+H250*H226+I250*I226+J250*J226+K250*K226+L250*L226+M250*M226+N250*N226+O250*O226+P250*P226+Q250*Q226+R250*R226+S250*S226+T250*T226+U250*U226+V250*V226+W250*W226+X250*X226+Y250*Y226+Z250*Z226+AA250*AA226+AB250*AB226+AC250*AC226+AD250*AD226+AE250*AE226+AF250*AF226+AG250*AG226+AH250*AH226+AI250*AI226+AJ250*AJ226+AK250*AK226+AL250*AL226+AM250*AM226+AN250*AN226+AO250*AO226+AP250*AP226+AQ250*AQ226+AR250*AR226+AS250*AS226+AT250*AT226+AU250*AU226+AV250*AV226+AW250*AW226+AX250*AX226+AY250*AY226+AZ250*AZ226+BA250*BA226+BB250*BB226+BC250*BC226+BD250*BD226+BE250*BE226+BF250*BF226+BG250*BG226+BH250*BH226+BI250*BI226+BJ250*BJ226+BK250*BK226+BL250*BL226+BM250*BM226+BN250*BN226+BO250*BO226+BP250*BP226+BQ250*BQ226+BR250*BR226+BS250*BS226+BT250*BT226+BU250*BU226+BV250*BV226+BW250*BW226+BX250*BX226+BY250*BY226+BZ250*BZ226+CA250*CA226+CB250*CB226+CC250*CC226+CD250*CD226+CE250*CE226+CF250*CF226+CG250*CG226+CH250*CH226+CI250*CI226+CJ250*CJ226+CK250*CK226+CL250*CL226+CM250*CM226+CN250*CN226</f>
        <v>0</v>
      </c>
      <c r="CT226" s="2652">
        <f>E251*E226+F251*F226+G251*G226+H251*H226+I251*I226+J251*J226+K251*K226+L251*L226+M251*M226+N251*N226+O251*O226+P251*P226+Q251*Q226+R251*R226+S251*S226+T251*T226+U251*U226+V251*V226+W251*W226+X251*X226+Y251*Y226+Z251*Z226+AA251*AA226+AB251*AB226+AC251*AC226+AD251*AD226+AE251*AE226+AF251*AF226+AG251*AG226+AH251*AH226+AI251*AI226+AJ251*AJ226+AK251*AK226+AL251*AL226+AM251*AM226+AN251*AN226+AO251*AO226+AP251*AP226+AQ251*AQ226+AR251*AR226+AS251*AS226+AT251*AT226+AU251*AU226+AV251*AV226+AW251*AW226+AX251*AX226+AY251*AY226+AZ251*AZ226+BA251*BA226+BB251*BB226+BC251*BC226+BD251*BD226+BE251*BE226+BF251*BF226+BG251*BG226+BH251*BH226+BI251*BI226+BJ251*BJ226+BK251*BK226+BL251*BL226+BM251*BM226+BN251*BN226+BO251*BO226+BP251*BP226+BQ251*BQ226+BR251*BR226+BS251*BS226+BT251*BT226+BU251*BU226+BV251*BV226+BW251*BW226+BX251*BX226+BY251*BY226+BZ251*BZ226+CA251*CA226+CB251*CB226+CC251*CC226+CD251*CD226+CE251*CE226+CF251*CF226+CG251*CG226+CH251*CH226+CI251*CI226+CJ251*CJ226+CK251*CK226+CL251*CL226+CM251*CM226+CN251*CN226</f>
        <v>0</v>
      </c>
      <c r="CU226" s="2652">
        <f>E252*E226+F252*F226+G252*G226+H252*H226+I252*I226+J252*J226+K252*K226+L252*L226+M252*M226+N252*N226+O252*O226+P252*P226+Q252*Q226+R252*R226+S252*S226+T252*T226+U252*U226+V252*V226+W252*W226+X252*X226+Y252*Y226+Z252*Z226+AA252*AA226+AB252*AB226+AC252*AC226+AD252*AD226+AE252*AE226+AF252*AF226+AG252*AG226+AH252*AH226+AI252*AI226+AJ252*AJ226+AK252*AK226+AL252*AL226+AM252*AM226+AN252*AN226+AO252*AO226+AP252*AP226+AQ252*AQ226+AR252*AR226+AS252*AS226+AT252*AT226+AU252*AU226+AV252*AV226+AW252*AW226+AX252*AX226+AY252*AY226+AZ252*AZ226+BA252*BA226+BB252*BB226+BC252*BC226+BD252*BD226+BE252*BE226+BF252*BF226+BG252*BG226+BH252*BH226+BI252*BI226+BJ252*BJ226+BK252*BK226+BL252*BL226+BM252*BM226+BN252*BN226+BO252*BO226+BP252*BP226+BQ252*BQ226+BR252*BR226+BS252*BS226+BT252*BT226+BU252*BU226+BV252*BV226+BW252*BW226+BX252*BX226+BY252*BY226+BZ252*BZ226+CA252*CA226+CB252*CB226+CC252*CC226+CD252*CD226+CE252*CE226+CF252*CF226+CG252*CG226+CH252*CH226+CI252*CI226+CJ252*CJ226+CK252*CK226+CL252*CL226+CM252*CM226+CN252*CN226</f>
        <v>0</v>
      </c>
      <c r="CV226" s="2652">
        <f>E253*E226+F253*F226+G253*G226+H253*H226+I253*I226+J253*J226+K253*K226+L253*L226+M253*M226+N253*N226+O253*O226+P253*P226+Q253*Q226+R253*R226+S253*S226+T253*T226+U253*U226+V253*V226+W253*W226+X253*X226+Y253*Y226+Z253*Z226+AA253*AA226+AB253*AB226+AC253*AC226+AD253*AD226+AE253*AE226+AF253*AF226+AG253*AG226+AH253*AH226+AI253*AI226+AJ253*AJ226+AK253*AK226+AL253*AL226+AM253*AM226+AN253*AN226+AO253*AO226+AP253*AP226+AQ253*AQ226+AR253*AR226+AS253*AS226+AT253*AT226+AU253*AU226+AV253*AV226+AW253*AW226+AX253*AX226+AY253*AY226+AZ253*AZ226+BA253*BA226+BB253*BB226+BC253*BC226+BD253*BD226+BE253*BE226+BF253*BF226+BG253*BG226+BH253*BH226+BI253*BI226+BJ253*BJ226+BK253*BK226+BL253*BL226+BM253*BM226+BN253*BN226+BO253*BO226+BP253*BP226+BQ253*BQ226+BR253*BR226+BS253*BS226+BT253*BT226+BU253*BU226+BV253*BV226+BW253*BW226+BX253*BX226+BY253*BY226+BZ253*BZ226+CA253*CA226+CB253*CB226+CC253*CC226+CD253*CD226+CE253*CE226+CF253*CF226+CG253*CG226+CH253*CH226+CI253*CI226+CJ253*CJ226+CK253*CK226+CL253*CL226+CM253*CM226+CN253*CN226</f>
        <v>0</v>
      </c>
      <c r="CW226" s="2652">
        <f>E254*E226+F254*F226+G254*G226+H254*H226+I254*I226+J254*J226+K254*K226+L254*L226+M254*M226+N254*N226+O254*O226+P254*P226+Q254*Q226+R254*R226+S254*S226+T254*T226+U254*U226+V254*V226+W254*W226+X254*X226+Y254*Y226+Z254*Z226+AA254*AA226+AB254*AB226+AC254*AC226+AD254*AD226+AE254*AE226+AF254*AF226+AG254*AG226+AH254*AH226+AI254*AI226+AJ254*AJ226+AK254*AK226+AL254*AL226+AM254*AM226+AN254*AN226+AO254*AO226+AP254*AP226+AQ254*AQ226+AR254*AR226+AS254*AS226+AT254*AT226+AU254*AU226+AV254*AV226+AW254*AW226+AX254*AX226+AY254*AY226+AZ254*AZ226+BA254*BA226+BB254*BB226+BC254*BC226+BD254*BD226+BE254*BE226+BF254*BF226+BG254*BG226+BH254*BH226+BI254*BI226+BJ254*BJ226+BK254*BK226+BL254*BL226+BM254*BM226+BN254*BN226+BO254*BO226+BP254*BP226+BQ254*BQ226+BR254*BR226+BS254*BS226+BT254*BT226+BU254*BU226+BV254*BV226+BW254*BW226+BX254*BX226+BY254*BY226+BZ254*BZ226+CA254*CA226+CB254*CB226+CC254*CC226+CD254*CD226+CE254*CE226+CF254*CF226+CG254*CG226+CH254*CH226+CI254*CI226+CJ254*CJ226+CK254*CK226+CL254*CL226+CM254*CM226+CN254*CN226</f>
        <v>0</v>
      </c>
      <c r="CX226" s="2652">
        <f>E255*E226+F255*F226+G255*G226+H255*H226+I255*I226+J255*J226+K255*K226+L255*L226+M255*M226+N255*N226+O255*O226+P255*P226+Q255*Q226+R255*R226+S255*S226+T255*T226+U255*U226+V255*V226+W255*W226+X255*X226+Y255*Y226+Z255*Z226+AA255*AA226+AB255*AB226+AC255*AC226+AD255*AD226+AE255*AE226+AF255*AF226+AG255*AG226+AH255*AH226+AI255*AI226+AJ255*AJ226+AK255*AK226+AL255*AL226+AM255*AM226+AN255*AN226+AO255*AO226+AP255*AP226+AQ255*AQ226+AR255*AR226+AS255*AS226+AT255*AT226+AU255*AU226+AV255*AV226+AW255*AW226+AX255*AX226+AY255*AY226+AZ255*AZ226+BA255*BA226+BB255*BB226+BC255*BC226+BD255*BD226+BE255*BE226+BF255*BF226+BG255*BG226+BH255*BH226+BI255*BI226+BJ255*BJ226+BK255*BK226+BL255*BL226+BM255*BM226+BN255*BN226+BO255*BO226+BP255*BP226+BQ255*BQ226+BR255*BR226+BS255*BS226+BT255*BT226+BU255*BU226+BV255*BV226+BW255*BW226+BX255*BX226+BY255*BY226+BZ255*BZ226+CA255*CA226+CB255*CB226+CC255*CC226+CD255*CD226+CE255*CE226+CF255*CF226+CG255*CG226+CH255*CH226+CI255*CI226+CJ255*CJ226+CK255*CK226+CL255*CL226+CM255*CM226+CN255*CN226</f>
        <v>0</v>
      </c>
      <c r="CY226" s="2652">
        <f>E256*E226+F256*F226+G256*G226+H256*H226+I256*I226+J256*J226+K256*K226+L256*L226+M256*M226+N256*N226+O256*O226+P256*P226+Q256*Q226+R256*R226+S256*S226+T256*T226+U256*U226+V256*V226+W256*W226+X256*X226+Y256*Y226+Z256*Z226+AA256*AA226+AB256*AB226+AC256*AC226+AD256*AD226+AE256*AE226+AF256*AF226+AG256*AG226+AH256*AH226+AI256*AI226+AJ256*AJ226+AK256*AK226+AL256*AL226+AM256*AM226+AN256*AN226+AO256*AO226+AP256*AP226+AQ256*AQ226+AR256*AR226+AS256*AS226+AT256*AT226+AU256*AU226+AV256*AV226+AW256*AW226+AX256*AX226+AY256*AY226+AZ256*AZ226+BA256*BA226+BB256*BB226+BC256*BC226+BD256*BD226+BE256*BE226+BF256*BF226+BG256*BG226+BH256*BH226+BI256*BI226+BJ256*BJ226+BK256*BK226+BL256*BL226+BM256*BM226+BN256*BN226+BO256*BO226+BP256*BP226+BQ256*BQ226+BR256*BR226+BS256*BS226+BT256*BT226+BU256*BU226+BV256*BV226+BW256*BW226+BX256*BX226+BY256*BY226+BZ256*BZ226+CA256*CA226+CB256*CB226+CC256*CC226+CD256*CD226+CE256*CE226+CF256*CF226+CG256*CG226+CH256*CH226+CI256*CI226+CJ256*CJ226+CK256*CK226+CL256*CL226+CM256*CM226+CN256*CN226</f>
        <v>0</v>
      </c>
      <c r="CZ226" s="2652">
        <f>E257*E226+F257*F226+G257*G226+H257*H226+I257*I226+J257*J226+K257*K226+L257*L226+M257*M226+N257*N226+O257*O226+P257*P226+Q257*Q226+R257*R226+S257*S226+T257*T226+U257*U226+V257*V226+W257*W226+X257*X226+Y257*Y226+Z257*Z226+AA257*AA226+AB257*AB226+AC257*AC226+AD257*AD226+AE257*AE226+AF257*AF226+AG257*AG226+AH257*AH226+AI257*AI226+AJ257*AJ226+AK257*AK226+AL257*AL226+AM257*AM226+AN257*AN226+AO257*AO226+AP257*AP226+AQ257*AQ226+AR257*AR226+AS257*AS226+AT257*AT226+AU257*AU226+AV257*AV226+AW257*AW226+AX257*AX226+AY257*AY226+AZ257*AZ226+BA257*BA226+BB257*BB226+BC257*BC226+BD257*BD226+BE257*BE226+BF257*BF226+BG257*BG226+BH257*BH226+BI257*BI226+BJ257*BJ226+BK257*BK226+BL257*BL226+BM257*BM226+BN257*BN226+BO257*BO226+BP257*BP226+BQ257*BQ226+BR257*BR226+BS257*BS226+BT257*BT226+BU257*BU226+BV257*BV226+BW257*BW226+BX257*BX226+BY257*BY226+BZ257*BZ226+CA257*CA226+CB257*CB226+CC257*CC226+CD257*CD226+CE257*CE226+CF257*CF226+CG257*CG226+CH257*CH226+CI257*CI226+CJ257*CJ226+CK257*CK226+CL257*CL226+CM257*CM226+CN257*CN226</f>
        <v>0</v>
      </c>
      <c r="DA226" s="2652">
        <f>E258*E226+F258*F226+G258*G226+H258*H226+I258*I226+J258*J226+K258*K226+L258*L226+M258*M226+N258*N226+O258*O226+P258*P226+Q258*Q226+R258*R226+S258*S226+T258*T226+U258*U226+V258*V226+W258*W226+X258*X226+Y258*Y226+Z258*Z226+AA258*AA226+AB258*AB226+AC258*AC226+AD258*AD226+AE258*AE226+AF258*AF226+AG258*AG226+AH258*AH226+AI258*AI226+AJ258*AJ226+AK258*AK226+AL258*AL226+AM258*AM226+AN258*AN226+AO258*AO226+AP258*AP226+AQ258*AQ226+AR258*AR226+AS258*AS226+AT258*AT226+AU258*AU226+AV258*AV226+AW258*AW226+AX258*AX226+AY258*AY226+AZ258*AZ226+BA258*BA226+BB258*BB226+BC258*BC226+BD258*BD226+BE258*BE226+BF258*BF226+BG258*BG226+BH258*BH226+BI258*BI226+BJ258*BJ226+BK258*BK226+BL258*BL226+BM258*BM226+BN258*BN226+BO258*BO226+BP258*BP226+BQ258*BQ226+BR258*BR226+BS258*BS226+BT258*BT226+BU258*BU226+BV258*BV226+BW258*BW226+BX258*BX226+BY258*BY226+BZ258*BZ226+CA258*CA226+CB258*CB226+CC258*CC226+CD258*CD226+CE258*CE226+CF258*CF226+CG258*CG226+CH258*CH226+CI258*CI226+CJ258*CJ226+CK258*CK226+CL258*CL226+CM258*CM226+CN258*CN226</f>
        <v>0</v>
      </c>
    </row>
    <row r="227" spans="2:105" ht="18" x14ac:dyDescent="0.25">
      <c r="B227" s="2183">
        <v>94</v>
      </c>
      <c r="C227" s="2184" t="s">
        <v>3485</v>
      </c>
      <c r="D227" s="1342" t="s">
        <v>4219</v>
      </c>
      <c r="E227" s="2700">
        <f>0</f>
        <v>0</v>
      </c>
      <c r="F227" s="2700">
        <f>0</f>
        <v>0</v>
      </c>
      <c r="G227" s="2700">
        <f>0</f>
        <v>0</v>
      </c>
      <c r="H227" s="2700">
        <f>0</f>
        <v>0</v>
      </c>
      <c r="I227" s="2700">
        <f>0</f>
        <v>0</v>
      </c>
      <c r="J227" s="2700">
        <f>0</f>
        <v>0</v>
      </c>
      <c r="K227" s="2722">
        <f>0</f>
        <v>0</v>
      </c>
      <c r="L227" s="2700">
        <f>0</f>
        <v>0</v>
      </c>
      <c r="M227" s="2700">
        <f>0</f>
        <v>0</v>
      </c>
      <c r="N227" s="2700">
        <f>0</f>
        <v>0</v>
      </c>
      <c r="O227" s="2700">
        <f>0</f>
        <v>0</v>
      </c>
      <c r="P227" s="2700">
        <f>0</f>
        <v>0</v>
      </c>
      <c r="Q227" s="2700">
        <f>0</f>
        <v>0</v>
      </c>
      <c r="R227" s="2700">
        <f>0</f>
        <v>0</v>
      </c>
      <c r="S227" s="2700">
        <f>0</f>
        <v>0</v>
      </c>
      <c r="T227" s="2733">
        <f>0</f>
        <v>0</v>
      </c>
      <c r="U227" s="2733">
        <f>0</f>
        <v>0</v>
      </c>
      <c r="V227" s="2700">
        <f>0</f>
        <v>0</v>
      </c>
      <c r="W227" s="2700">
        <f>0</f>
        <v>0</v>
      </c>
      <c r="X227" s="2700">
        <f>0</f>
        <v>0</v>
      </c>
      <c r="Y227" s="2700">
        <f>0</f>
        <v>0</v>
      </c>
      <c r="Z227" s="2700">
        <f>0</f>
        <v>0</v>
      </c>
      <c r="AA227" s="2700">
        <f>0</f>
        <v>0</v>
      </c>
      <c r="AB227" s="2700">
        <f>0</f>
        <v>0</v>
      </c>
      <c r="AC227" s="2722">
        <f>0</f>
        <v>0</v>
      </c>
      <c r="AD227" s="2700">
        <f>0</f>
        <v>0</v>
      </c>
      <c r="AE227" s="2700">
        <f>0</f>
        <v>0</v>
      </c>
      <c r="AF227" s="2700">
        <f>0</f>
        <v>0</v>
      </c>
      <c r="AG227" s="2700">
        <f>0</f>
        <v>0</v>
      </c>
      <c r="AH227" s="2700">
        <f>0</f>
        <v>0</v>
      </c>
      <c r="AI227" s="2700">
        <f>0</f>
        <v>0</v>
      </c>
      <c r="AJ227" s="2722">
        <f>0</f>
        <v>0</v>
      </c>
      <c r="AK227" s="2700">
        <f>0</f>
        <v>0</v>
      </c>
      <c r="AL227" s="2733">
        <f>-A_MP/M_MBSH</f>
        <v>-0.17998807007087103</v>
      </c>
      <c r="AM227" s="2700">
        <f>0</f>
        <v>0</v>
      </c>
      <c r="AN227" s="2700">
        <f>0</f>
        <v>0</v>
      </c>
      <c r="AO227" s="2700">
        <f>0</f>
        <v>0</v>
      </c>
      <c r="AP227" s="2722">
        <f>0</f>
        <v>0</v>
      </c>
      <c r="AQ227" s="2700">
        <f>0</f>
        <v>0</v>
      </c>
      <c r="AR227" s="2700">
        <f>0</f>
        <v>0</v>
      </c>
      <c r="AS227" s="2700">
        <f>0</f>
        <v>0</v>
      </c>
      <c r="AT227" s="2700">
        <f>0</f>
        <v>0</v>
      </c>
      <c r="AU227" s="2700">
        <f>0</f>
        <v>0</v>
      </c>
      <c r="AV227" s="2700">
        <f>0</f>
        <v>0</v>
      </c>
      <c r="AW227" s="2700">
        <f>0</f>
        <v>0</v>
      </c>
      <c r="AX227" s="2700">
        <f>0</f>
        <v>0</v>
      </c>
      <c r="AY227" s="2733">
        <f>-A_MCa/M_MBSH</f>
        <v>-0.2328926601076691</v>
      </c>
      <c r="AZ227" s="2700">
        <f>0</f>
        <v>0</v>
      </c>
      <c r="BA227" s="2700">
        <f>0</f>
        <v>0</v>
      </c>
      <c r="BB227" s="2733">
        <f>0</f>
        <v>0</v>
      </c>
      <c r="BC227" s="2700">
        <f>0</f>
        <v>0</v>
      </c>
      <c r="BD227" s="2700">
        <f>0</f>
        <v>0</v>
      </c>
      <c r="BE227" s="2733">
        <f>0</f>
        <v>0</v>
      </c>
      <c r="BF227" s="2733">
        <f>0</f>
        <v>0</v>
      </c>
      <c r="BG227" s="2700">
        <f>0</f>
        <v>0</v>
      </c>
      <c r="BH227" s="2733">
        <f>0</f>
        <v>0</v>
      </c>
      <c r="BI227" s="2733">
        <f>0</f>
        <v>0</v>
      </c>
      <c r="BJ227" s="2733">
        <f>0</f>
        <v>0</v>
      </c>
      <c r="BK227" s="2733">
        <f>0</f>
        <v>0</v>
      </c>
      <c r="BL227" s="2733">
        <f>0</f>
        <v>0</v>
      </c>
      <c r="BM227" s="2733">
        <f>0</f>
        <v>0</v>
      </c>
      <c r="BN227" s="2733">
        <f>0</f>
        <v>0</v>
      </c>
      <c r="BO227" s="2733">
        <f>0</f>
        <v>0</v>
      </c>
      <c r="BP227" s="2733">
        <f>0</f>
        <v>0</v>
      </c>
      <c r="BQ227" s="2733">
        <f>0</f>
        <v>0</v>
      </c>
      <c r="BR227" s="2733">
        <f>0</f>
        <v>0</v>
      </c>
      <c r="BS227" s="2733">
        <f>1</f>
        <v>1</v>
      </c>
      <c r="BT227" s="2733">
        <f>0</f>
        <v>0</v>
      </c>
      <c r="BU227" s="2733">
        <f>0</f>
        <v>0</v>
      </c>
      <c r="BV227" s="2792">
        <f>0</f>
        <v>0</v>
      </c>
      <c r="BW227" s="2792">
        <f>0</f>
        <v>0</v>
      </c>
      <c r="BX227" s="2792">
        <f>0</f>
        <v>0</v>
      </c>
      <c r="BY227" s="2792">
        <f>0</f>
        <v>0</v>
      </c>
      <c r="BZ227" s="2733">
        <f>0</f>
        <v>0</v>
      </c>
      <c r="CA227" s="2733">
        <f>0</f>
        <v>0</v>
      </c>
      <c r="CB227" s="2812">
        <f>0</f>
        <v>0</v>
      </c>
      <c r="CC227" s="2733">
        <f>0</f>
        <v>0</v>
      </c>
      <c r="CD227" s="2733">
        <f>0</f>
        <v>0</v>
      </c>
      <c r="CE227" s="2733">
        <f>0</f>
        <v>0</v>
      </c>
      <c r="CF227" s="2733">
        <f>0</f>
        <v>0</v>
      </c>
      <c r="CG227" s="2733">
        <f>0</f>
        <v>0</v>
      </c>
      <c r="CH227" s="2733">
        <f>0</f>
        <v>0</v>
      </c>
      <c r="CI227" s="2733">
        <f>0</f>
        <v>0</v>
      </c>
      <c r="CJ227" s="2733">
        <f>0</f>
        <v>0</v>
      </c>
      <c r="CK227" s="2733">
        <f>0</f>
        <v>0</v>
      </c>
      <c r="CL227" s="2733">
        <f>0</f>
        <v>0</v>
      </c>
      <c r="CM227" s="2733">
        <f>0</f>
        <v>0</v>
      </c>
      <c r="CN227" s="2733">
        <f>0</f>
        <v>0</v>
      </c>
      <c r="CO227" s="2845">
        <f>q_BSH*P_recipDrivingForceBSH^2</f>
        <v>-2.4636481662170684E-46</v>
      </c>
      <c r="CQ227" s="2650">
        <f>E248*E227+F248*F227+G248*G227+H248*H227+I248*I227+J248*J227+K248*K227+L248*L227+M248*M227+N248*N227+O248*O227+P248*P227+Q248*Q227+R248*R227+S248*S227+T248*T227+U248*U227+V248*V227+W248*W227+X248*X227+Y248*Y227+Z248*Z227+AA248*AA227+AB248*AB227+AC248*AC227+AD248*AD227+AE248*AE227+AF248*AF227+AG248*AG227+AH248*AH227+AI248*AI227+AJ248*AJ227+AK248*AK227+AL248*AL227+AM248*AM227+AN248*AN227+AO248*AO227+AP248*AP227+AQ248*AQ227+AR248*AR227+AS248*AS227+AT248*AT227+AU248*AU227+AV248*AV227+AW248*AW227+AX248*AX227+AY248*AY227+AZ248*AZ227+BA248*BA227+BB248*BB227+BC248*BC227+BD248*BD227+BE248*BE227+BF248*BF227+BG248*BG227+BH248*BH227+BI248*BI227+BJ248*BJ227+BK248*BK227+BL248*BL227+BM248*BM227+BN248*BN227+BO248*BO227+BP248*BP227+BQ248*BQ227+BR248*BR227+BS248*BS227+BT248*BT227+BU248*BU227+BV248*BV227+BW248*BW227+BX248*BX227+BY248*BY227+BZ248*BZ227+CA248*CA227+CB248*CB227+CC248*CC227+CD248*CD227+CE248*CE227+CF248*CF227+CG248*CG227+CH248*CH227+CI248*CI227+CJ248*CJ227+CK248*CK227+CL248*CL227+CM248*CM227+CN248*CN227</f>
        <v>0</v>
      </c>
      <c r="CR227" s="2650">
        <f>E249*E227+F249*F227+G249*G227+H249*H227+I249*I227+J249*J227+K249*K227+L249*L227+M249*M227+N249*N227+O249*O227+P249*P227+Q249*Q227+R249*R227+S249*S227+T249*T227+U249*U227+V249*V227+W249*W227+X249*X227+Y249*Y227+Z249*Z227+AA249*AA227+AB249*AB227+AC249*AC227+AD249*AD227+AE249*AE227+AF249*AF227+AG249*AG227+AH249*AH227+AI249*AI227+AJ249*AJ227+AK249*AK227+AL249*AL227+AM249*AM227+AN249*AN227+AO249*AO227+AP249*AP227+AQ249*AQ227+AR249*AR227+AS249*AS227+AT249*AT227+AU249*AU227+AV249*AV227+AW249*AW227+AX249*AX227+AY249*AY227+AZ249*AZ227+BA249*BA227+BB249*BB227+BC249*BC227+BD249*BD227+BE249*BE227+BF249*BF227+BG249*BG227+BH249*BH227+BI249*BI227+BJ249*BJ227+BK249*BK227+BL249*BL227+BM249*BM227+BN249*BN227+BO249*BO227+BP249*BP227+BQ249*BQ227+BR249*BR227+BS249*BS227+BT249*BT227+BU249*BU227+BV249*BV227+BW249*BW227+BX249*BX227+BY249*BY227+BZ249*BZ227+CA249*CA227+CB249*CB227+CC249*CC227+CD249*CD227+CE249*CE227+CF249*CF227+CG249*CG227+CH249*CH227+CI249*CI227+CJ249*CJ227+CK249*CK227+CL249*CL227+CM249*CM227+CN249*CN227</f>
        <v>0</v>
      </c>
      <c r="CS227" s="2651">
        <f>E250*E227+F250*F227+G250*G227+H250*H227+I250*I227+J250*J227+K250*K227+L250*L227+M250*M227+N250*N227+O250*O227+P250*P227+Q250*Q227+R250*R227+S250*S227+T250*T227+U250*U227+V250*V227+W250*W227+X250*X227+Y250*Y227+Z250*Z227+AA250*AA227+AB250*AB227+AC250*AC227+AD250*AD227+AE250*AE227+AF250*AF227+AG250*AG227+AH250*AH227+AI250*AI227+AJ250*AJ227+AK250*AK227+AL250*AL227+AM250*AM227+AN250*AN227+AO250*AO227+AP250*AP227+AQ250*AQ227+AR250*AR227+AS250*AS227+AT250*AT227+AU250*AU227+AV250*AV227+AW250*AW227+AX250*AX227+AY250*AY227+AZ250*AZ227+BA250*BA227+BB250*BB227+BC250*BC227+BD250*BD227+BE250*BE227+BF250*BF227+BG250*BG227+BH250*BH227+BI250*BI227+BJ250*BJ227+BK250*BK227+BL250*BL227+BM250*BM227+BN250*BN227+BO250*BO227+BP250*BP227+BQ250*BQ227+BR250*BR227+BS250*BS227+BT250*BT227+BU250*BU227+BV250*BV227+BW250*BW227+BX250*BX227+BY250*BY227+BZ250*BZ227+CA250*CA227+CB250*CB227+CC250*CC227+CD250*CD227+CE250*CE227+CF250*CF227+CG250*CG227+CH250*CH227+CI250*CI227+CJ250*CJ227+CK250*CK227+CL250*CL227+CM250*CM227+CN250*CN227</f>
        <v>0</v>
      </c>
      <c r="CT227" s="2652">
        <f>E251*E227+F251*F227+G251*G227+H251*H227+I251*I227+J251*J227+K251*K227+L251*L227+M251*M227+N251*N227+O251*O227+P251*P227+Q251*Q227+R251*R227+S251*S227+T251*T227+U251*U227+V251*V227+W251*W227+X251*X227+Y251*Y227+Z251*Z227+AA251*AA227+AB251*AB227+AC251*AC227+AD251*AD227+AE251*AE227+AF251*AF227+AG251*AG227+AH251*AH227+AI251*AI227+AJ251*AJ227+AK251*AK227+AL251*AL227+AM251*AM227+AN251*AN227+AO251*AO227+AP251*AP227+AQ251*AQ227+AR251*AR227+AS251*AS227+AT251*AT227+AU251*AU227+AV251*AV227+AW251*AW227+AX251*AX227+AY251*AY227+AZ251*AZ227+BA251*BA227+BB251*BB227+BC251*BC227+BD251*BD227+BE251*BE227+BF251*BF227+BG251*BG227+BH251*BH227+BI251*BI227+BJ251*BJ227+BK251*BK227+BL251*BL227+BM251*BM227+BN251*BN227+BO251*BO227+BP251*BP227+BQ251*BQ227+BR251*BR227+BS251*BS227+BT251*BT227+BU251*BU227+BV251*BV227+BW251*BW227+BX251*BX227+BY251*BY227+BZ251*BZ227+CA251*CA227+CB251*CB227+CC251*CC227+CD251*CD227+CE251*CE227+CF251*CF227+CG251*CG227+CH251*CH227+CI251*CI227+CJ251*CJ227+CK251*CK227+CL251*CL227+CM251*CM227+CN251*CN227</f>
        <v>0</v>
      </c>
      <c r="CU227" s="2652">
        <f>E252*E227+F252*F227+G252*G227+H252*H227+I252*I227+J252*J227+K252*K227+L252*L227+M252*M227+N252*N227+O252*O227+P252*P227+Q252*Q227+R252*R227+S252*S227+T252*T227+U252*U227+V252*V227+W252*W227+X252*X227+Y252*Y227+Z252*Z227+AA252*AA227+AB252*AB227+AC252*AC227+AD252*AD227+AE252*AE227+AF252*AF227+AG252*AG227+AH252*AH227+AI252*AI227+AJ252*AJ227+AK252*AK227+AL252*AL227+AM252*AM227+AN252*AN227+AO252*AO227+AP252*AP227+AQ252*AQ227+AR252*AR227+AS252*AS227+AT252*AT227+AU252*AU227+AV252*AV227+AW252*AW227+AX252*AX227+AY252*AY227+AZ252*AZ227+BA252*BA227+BB252*BB227+BC252*BC227+BD252*BD227+BE252*BE227+BF252*BF227+BG252*BG227+BH252*BH227+BI252*BI227+BJ252*BJ227+BK252*BK227+BL252*BL227+BM252*BM227+BN252*BN227+BO252*BO227+BP252*BP227+BQ252*BQ227+BR252*BR227+BS252*BS227+BT252*BT227+BU252*BU227+BV252*BV227+BW252*BW227+BX252*BX227+BY252*BY227+BZ252*BZ227+CA252*CA227+CB252*CB227+CC252*CC227+CD252*CD227+CE252*CE227+CF252*CF227+CG252*CG227+CH252*CH227+CI252*CI227+CJ252*CJ227+CK252*CK227+CL252*CL227+CM252*CM227+CN252*CN227</f>
        <v>0</v>
      </c>
      <c r="CV227" s="2652">
        <f>E253*E227+F253*F227+G253*G227+H253*H227+I253*I227+J253*J227+K253*K227+L253*L227+M253*M227+N253*N227+O253*O227+P253*P227+Q253*Q227+R253*R227+S253*S227+T253*T227+U253*U227+V253*V227+W253*W227+X253*X227+Y253*Y227+Z253*Z227+AA253*AA227+AB253*AB227+AC253*AC227+AD253*AD227+AE253*AE227+AF253*AF227+AG253*AG227+AH253*AH227+AI253*AI227+AJ253*AJ227+AK253*AK227+AL253*AL227+AM253*AM227+AN253*AN227+AO253*AO227+AP253*AP227+AQ253*AQ227+AR253*AR227+AS253*AS227+AT253*AT227+AU253*AU227+AV253*AV227+AW253*AW227+AX253*AX227+AY253*AY227+AZ253*AZ227+BA253*BA227+BB253*BB227+BC253*BC227+BD253*BD227+BE253*BE227+BF253*BF227+BG253*BG227+BH253*BH227+BI253*BI227+BJ253*BJ227+BK253*BK227+BL253*BL227+BM253*BM227+BN253*BN227+BO253*BO227+BP253*BP227+BQ253*BQ227+BR253*BR227+BS253*BS227+BT253*BT227+BU253*BU227+BV253*BV227+BW253*BW227+BX253*BX227+BY253*BY227+BZ253*BZ227+CA253*CA227+CB253*CB227+CC253*CC227+CD253*CD227+CE253*CE227+CF253*CF227+CG253*CG227+CH253*CH227+CI253*CI227+CJ253*CJ227+CK253*CK227+CL253*CL227+CM253*CM227+CN253*CN227</f>
        <v>0</v>
      </c>
      <c r="CW227" s="2652">
        <f>E254*E227+F254*F227+G254*G227+H254*H227+I254*I227+J254*J227+K254*K227+L254*L227+M254*M227+N254*N227+O254*O227+P254*P227+Q254*Q227+R254*R227+S254*S227+T254*T227+U254*U227+V254*V227+W254*W227+X254*X227+Y254*Y227+Z254*Z227+AA254*AA227+AB254*AB227+AC254*AC227+AD254*AD227+AE254*AE227+AF254*AF227+AG254*AG227+AH254*AH227+AI254*AI227+AJ254*AJ227+AK254*AK227+AL254*AL227+AM254*AM227+AN254*AN227+AO254*AO227+AP254*AP227+AQ254*AQ227+AR254*AR227+AS254*AS227+AT254*AT227+AU254*AU227+AV254*AV227+AW254*AW227+AX254*AX227+AY254*AY227+AZ254*AZ227+BA254*BA227+BB254*BB227+BC254*BC227+BD254*BD227+BE254*BE227+BF254*BF227+BG254*BG227+BH254*BH227+BI254*BI227+BJ254*BJ227+BK254*BK227+BL254*BL227+BM254*BM227+BN254*BN227+BO254*BO227+BP254*BP227+BQ254*BQ227+BR254*BR227+BS254*BS227+BT254*BT227+BU254*BU227+BV254*BV227+BW254*BW227+BX254*BX227+BY254*BY227+BZ254*BZ227+CA254*CA227+CB254*CB227+CC254*CC227+CD254*CD227+CE254*CE227+CF254*CF227+CG254*CG227+CH254*CH227+CI254*CI227+CJ254*CJ227+CK254*CK227+CL254*CL227+CM254*CM227+CN254*CN227</f>
        <v>0</v>
      </c>
      <c r="CX227" s="2652">
        <f>E255*E227+F255*F227+G255*G227+H255*H227+I255*I227+J255*J227+K255*K227+L255*L227+M255*M227+N255*N227+O255*O227+P255*P227+Q255*Q227+R255*R227+S255*S227+T255*T227+U255*U227+V255*V227+W255*W227+X255*X227+Y255*Y227+Z255*Z227+AA255*AA227+AB255*AB227+AC255*AC227+AD255*AD227+AE255*AE227+AF255*AF227+AG255*AG227+AH255*AH227+AI255*AI227+AJ255*AJ227+AK255*AK227+AL255*AL227+AM255*AM227+AN255*AN227+AO255*AO227+AP255*AP227+AQ255*AQ227+AR255*AR227+AS255*AS227+AT255*AT227+AU255*AU227+AV255*AV227+AW255*AW227+AX255*AX227+AY255*AY227+AZ255*AZ227+BA255*BA227+BB255*BB227+BC255*BC227+BD255*BD227+BE255*BE227+BF255*BF227+BG255*BG227+BH255*BH227+BI255*BI227+BJ255*BJ227+BK255*BK227+BL255*BL227+BM255*BM227+BN255*BN227+BO255*BO227+BP255*BP227+BQ255*BQ227+BR255*BR227+BS255*BS227+BT255*BT227+BU255*BU227+BV255*BV227+BW255*BW227+BX255*BX227+BY255*BY227+BZ255*BZ227+CA255*CA227+CB255*CB227+CC255*CC227+CD255*CD227+CE255*CE227+CF255*CF227+CG255*CG227+CH255*CH227+CI255*CI227+CJ255*CJ227+CK255*CK227+CL255*CL227+CM255*CM227+CN255*CN227</f>
        <v>0</v>
      </c>
      <c r="CY227" s="2652">
        <f>E256*E227+F256*F227+G256*G227+H256*H227+I256*I227+J256*J227+K256*K227+L256*L227+M256*M227+N256*N227+O256*O227+P256*P227+Q256*Q227+R256*R227+S256*S227+T256*T227+U256*U227+V256*V227+W256*W227+X256*X227+Y256*Y227+Z256*Z227+AA256*AA227+AB256*AB227+AC256*AC227+AD256*AD227+AE256*AE227+AF256*AF227+AG256*AG227+AH256*AH227+AI256*AI227+AJ256*AJ227+AK256*AK227+AL256*AL227+AM256*AM227+AN256*AN227+AO256*AO227+AP256*AP227+AQ256*AQ227+AR256*AR227+AS256*AS227+AT256*AT227+AU256*AU227+AV256*AV227+AW256*AW227+AX256*AX227+AY256*AY227+AZ256*AZ227+BA256*BA227+BB256*BB227+BC256*BC227+BD256*BD227+BE256*BE227+BF256*BF227+BG256*BG227+BH256*BH227+BI256*BI227+BJ256*BJ227+BK256*BK227+BL256*BL227+BM256*BM227+BN256*BN227+BO256*BO227+BP256*BP227+BQ256*BQ227+BR256*BR227+BS256*BS227+BT256*BT227+BU256*BU227+BV256*BV227+BW256*BW227+BX256*BX227+BY256*BY227+BZ256*BZ227+CA256*CA227+CB256*CB227+CC256*CC227+CD256*CD227+CE256*CE227+CF256*CF227+CG256*CG227+CH256*CH227+CI256*CI227+CJ256*CJ227+CK256*CK227+CL256*CL227+CM256*CM227+CN256*CN227</f>
        <v>0</v>
      </c>
      <c r="CZ227" s="2652">
        <f>E257*E227+F257*F227+G257*G227+H257*H227+I257*I227+J257*J227+K257*K227+L257*L227+M257*M227+N257*N227+O257*O227+P257*P227+Q257*Q227+R257*R227+S257*S227+T257*T227+U257*U227+V257*V227+W257*W227+X257*X227+Y257*Y227+Z257*Z227+AA257*AA227+AB257*AB227+AC257*AC227+AD257*AD227+AE257*AE227+AF257*AF227+AG257*AG227+AH257*AH227+AI257*AI227+AJ257*AJ227+AK257*AK227+AL257*AL227+AM257*AM227+AN257*AN227+AO257*AO227+AP257*AP227+AQ257*AQ227+AR257*AR227+AS257*AS227+AT257*AT227+AU257*AU227+AV257*AV227+AW257*AW227+AX257*AX227+AY257*AY227+AZ257*AZ227+BA257*BA227+BB257*BB227+BC257*BC227+BD257*BD227+BE257*BE227+BF257*BF227+BG257*BG227+BH257*BH227+BI257*BI227+BJ257*BJ227+BK257*BK227+BL257*BL227+BM257*BM227+BN257*BN227+BO257*BO227+BP257*BP227+BQ257*BQ227+BR257*BR227+BS257*BS227+BT257*BT227+BU257*BU227+BV257*BV227+BW257*BW227+BX257*BX227+BY257*BY227+BZ257*BZ227+CA257*CA227+CB257*CB227+CC257*CC227+CD257*CD227+CE257*CE227+CF257*CF227+CG257*CG227+CH257*CH227+CI257*CI227+CJ257*CJ227+CK257*CK227+CL257*CL227+CM257*CM227+CN257*CN227</f>
        <v>0</v>
      </c>
      <c r="DA227" s="2652">
        <f>E258*E227+F258*F227+G258*G227+H258*H227+I258*I227+J258*J227+K258*K227+L258*L227+M258*M227+N258*N227+O258*O227+P258*P227+Q258*Q227+R258*R227+S258*S227+T258*T227+U258*U227+V258*V227+W258*W227+X258*X227+Y258*Y227+Z258*Z227+AA258*AA227+AB258*AB227+AC258*AC227+AD258*AD227+AE258*AE227+AF258*AF227+AG258*AG227+AH258*AH227+AI258*AI227+AJ258*AJ227+AK258*AK227+AL258*AL227+AM258*AM227+AN258*AN227+AO258*AO227+AP258*AP227+AQ258*AQ227+AR258*AR227+AS258*AS227+AT258*AT227+AU258*AU227+AV258*AV227+AW258*AW227+AX258*AX227+AY258*AY227+AZ258*AZ227+BA258*BA227+BB258*BB227+BC258*BC227+BD258*BD227+BE258*BE227+BF258*BF227+BG258*BG227+BH258*BH227+BI258*BI227+BJ258*BJ227+BK258*BK227+BL258*BL227+BM258*BM227+BN258*BN227+BO258*BO227+BP258*BP227+BQ258*BQ227+BR258*BR227+BS258*BS227+BT258*BT227+BU258*BU227+BV258*BV227+BW258*BW227+BX258*BX227+BY258*BY227+BZ258*BZ227+CA258*CA227+CB258*CB227+CC258*CC227+CD258*CD227+CE258*CE227+CF258*CF227+CG258*CG227+CH258*CH227+CI258*CI227+CJ258*CJ227+CK258*CK227+CL258*CL227+CM258*CM227+CN258*CN227</f>
        <v>0</v>
      </c>
    </row>
    <row r="228" spans="2:105" ht="18" x14ac:dyDescent="0.25">
      <c r="B228" s="2183">
        <v>95</v>
      </c>
      <c r="C228" s="2184" t="s">
        <v>3486</v>
      </c>
      <c r="D228" s="857" t="s">
        <v>287</v>
      </c>
      <c r="E228" s="2699">
        <f>0</f>
        <v>0</v>
      </c>
      <c r="F228" s="2699">
        <f>0</f>
        <v>0</v>
      </c>
      <c r="G228" s="2699">
        <f>0</f>
        <v>0</v>
      </c>
      <c r="H228" s="2699">
        <f>0</f>
        <v>0</v>
      </c>
      <c r="I228" s="2699">
        <f>0</f>
        <v>0</v>
      </c>
      <c r="J228" s="2699">
        <f>0</f>
        <v>0</v>
      </c>
      <c r="K228" s="2722">
        <f>0</f>
        <v>0</v>
      </c>
      <c r="L228" s="2699">
        <f>0</f>
        <v>0</v>
      </c>
      <c r="M228" s="2699">
        <f>0</f>
        <v>0</v>
      </c>
      <c r="N228" s="2699">
        <f>0</f>
        <v>0</v>
      </c>
      <c r="O228" s="2699">
        <f>0</f>
        <v>0</v>
      </c>
      <c r="P228" s="2699">
        <f>0</f>
        <v>0</v>
      </c>
      <c r="Q228" s="2699">
        <f>0</f>
        <v>0</v>
      </c>
      <c r="R228" s="2699">
        <f>0</f>
        <v>0</v>
      </c>
      <c r="S228" s="2699">
        <f>0</f>
        <v>0</v>
      </c>
      <c r="T228" s="2732">
        <f>0</f>
        <v>0</v>
      </c>
      <c r="U228" s="2732">
        <f>0</f>
        <v>0</v>
      </c>
      <c r="V228" s="2699">
        <f>0</f>
        <v>0</v>
      </c>
      <c r="W228" s="2699">
        <f>0</f>
        <v>0</v>
      </c>
      <c r="X228" s="2699">
        <f>0</f>
        <v>0</v>
      </c>
      <c r="Y228" s="2699">
        <f>0</f>
        <v>0</v>
      </c>
      <c r="Z228" s="2699">
        <f>0</f>
        <v>0</v>
      </c>
      <c r="AA228" s="2699">
        <f>0</f>
        <v>0</v>
      </c>
      <c r="AB228" s="2699">
        <f>0</f>
        <v>0</v>
      </c>
      <c r="AC228" s="2722">
        <f>0</f>
        <v>0</v>
      </c>
      <c r="AD228" s="2732">
        <f>-A_MN/M_MSTR</f>
        <v>-5.7075504823359977E-2</v>
      </c>
      <c r="AE228" s="2699">
        <f>0</f>
        <v>0</v>
      </c>
      <c r="AF228" s="2699">
        <f>0</f>
        <v>0</v>
      </c>
      <c r="AG228" s="2699">
        <f>0</f>
        <v>0</v>
      </c>
      <c r="AH228" s="2699">
        <f>0</f>
        <v>0</v>
      </c>
      <c r="AI228" s="2699">
        <f>0</f>
        <v>0</v>
      </c>
      <c r="AJ228" s="2722">
        <f>0</f>
        <v>0</v>
      </c>
      <c r="AK228" s="2699">
        <f>0</f>
        <v>0</v>
      </c>
      <c r="AL228" s="2732">
        <f>-A_MP/M_MSTR</f>
        <v>-0.12621410566683836</v>
      </c>
      <c r="AM228" s="2699">
        <f>0</f>
        <v>0</v>
      </c>
      <c r="AN228" s="2699">
        <f>0</f>
        <v>0</v>
      </c>
      <c r="AO228" s="2699">
        <f>0</f>
        <v>0</v>
      </c>
      <c r="AP228" s="2722">
        <f>0</f>
        <v>0</v>
      </c>
      <c r="AQ228" s="2699">
        <f>0</f>
        <v>0</v>
      </c>
      <c r="AR228" s="2699">
        <f>0</f>
        <v>0</v>
      </c>
      <c r="AS228" s="2699">
        <f>0</f>
        <v>0</v>
      </c>
      <c r="AT228" s="2699">
        <f>0</f>
        <v>0</v>
      </c>
      <c r="AU228" s="2699">
        <f>0</f>
        <v>0</v>
      </c>
      <c r="AV228" s="2699">
        <f>0</f>
        <v>0</v>
      </c>
      <c r="AW228" s="2699">
        <f>0</f>
        <v>0</v>
      </c>
      <c r="AX228" s="2699">
        <f>0</f>
        <v>0</v>
      </c>
      <c r="AY228" s="2699">
        <f>0</f>
        <v>0</v>
      </c>
      <c r="AZ228" s="2732">
        <f>-A_MMg/M_MSTR</f>
        <v>-9.9039755597804202E-2</v>
      </c>
      <c r="BA228" s="2699">
        <f>0</f>
        <v>0</v>
      </c>
      <c r="BB228" s="2732">
        <f>0</f>
        <v>0</v>
      </c>
      <c r="BC228" s="2699">
        <f>0</f>
        <v>0</v>
      </c>
      <c r="BD228" s="2699">
        <f>0</f>
        <v>0</v>
      </c>
      <c r="BE228" s="2732">
        <f>0</f>
        <v>0</v>
      </c>
      <c r="BF228" s="2732">
        <f>0</f>
        <v>0</v>
      </c>
      <c r="BG228" s="2699">
        <f>0</f>
        <v>0</v>
      </c>
      <c r="BH228" s="2732">
        <f>0</f>
        <v>0</v>
      </c>
      <c r="BI228" s="2732">
        <f>0</f>
        <v>0</v>
      </c>
      <c r="BJ228" s="2733">
        <f>0</f>
        <v>0</v>
      </c>
      <c r="BK228" s="2733">
        <f>0</f>
        <v>0</v>
      </c>
      <c r="BL228" s="2733">
        <f>0</f>
        <v>0</v>
      </c>
      <c r="BM228" s="2733">
        <f>0</f>
        <v>0</v>
      </c>
      <c r="BN228" s="2733">
        <f>0</f>
        <v>0</v>
      </c>
      <c r="BO228" s="2733">
        <f>0</f>
        <v>0</v>
      </c>
      <c r="BP228" s="2733">
        <f>0</f>
        <v>0</v>
      </c>
      <c r="BQ228" s="2732">
        <f>0</f>
        <v>0</v>
      </c>
      <c r="BR228" s="2732">
        <f>0</f>
        <v>0</v>
      </c>
      <c r="BS228" s="2733">
        <f>0</f>
        <v>0</v>
      </c>
      <c r="BT228" s="2732">
        <f>1</f>
        <v>1</v>
      </c>
      <c r="BU228" s="2732">
        <f>0</f>
        <v>0</v>
      </c>
      <c r="BV228" s="2792">
        <f>0</f>
        <v>0</v>
      </c>
      <c r="BW228" s="2792">
        <f>0</f>
        <v>0</v>
      </c>
      <c r="BX228" s="2792">
        <f>0</f>
        <v>0</v>
      </c>
      <c r="BY228" s="2792">
        <f>0</f>
        <v>0</v>
      </c>
      <c r="BZ228" s="2732">
        <f>0</f>
        <v>0</v>
      </c>
      <c r="CA228" s="2732">
        <f>0</f>
        <v>0</v>
      </c>
      <c r="CB228" s="2812">
        <f>0</f>
        <v>0</v>
      </c>
      <c r="CC228" s="2732">
        <f>0</f>
        <v>0</v>
      </c>
      <c r="CD228" s="2732">
        <f>0</f>
        <v>0</v>
      </c>
      <c r="CE228" s="2732">
        <f>0</f>
        <v>0</v>
      </c>
      <c r="CF228" s="2732">
        <f>0</f>
        <v>0</v>
      </c>
      <c r="CG228" s="2732">
        <f>0</f>
        <v>0</v>
      </c>
      <c r="CH228" s="2732">
        <f>0</f>
        <v>0</v>
      </c>
      <c r="CI228" s="2732">
        <f>0</f>
        <v>0</v>
      </c>
      <c r="CJ228" s="2732">
        <f>0</f>
        <v>0</v>
      </c>
      <c r="CK228" s="2732">
        <f>0</f>
        <v>0</v>
      </c>
      <c r="CL228" s="2732">
        <f>0</f>
        <v>0</v>
      </c>
      <c r="CM228" s="2732">
        <f>0</f>
        <v>0</v>
      </c>
      <c r="CN228" s="2732">
        <f>0</f>
        <v>0</v>
      </c>
      <c r="CO228" s="2844">
        <f>q_STR*P_recipDrivingForceSTR^3</f>
        <v>-8.9705628889585427E-48</v>
      </c>
      <c r="CQ228" s="2650">
        <f>E248*E228+F248*F228+G248*G228+H248*H228+I248*I228+J248*J228+K248*K228+L248*L228+M248*M228+N248*N228+O248*O228+P248*P228+Q248*Q228+R248*R228+S248*S228+T248*T228+U248*U228+V248*V228+W248*W228+X248*X228+Y248*Y228+Z248*Z228+AA248*AA228+AB248*AB228+AC248*AC228+AD248*AD228+AE248*AE228+AF248*AF228+AG248*AG228+AH248*AH228+AI248*AI228+AJ248*AJ228+AK248*AK228+AL248*AL228+AM248*AM228+AN248*AN228+AO248*AO228+AP248*AP228+AQ248*AQ228+AR248*AR228+AS248*AS228+AT248*AT228+AU248*AU228+AV248*AV228+AW248*AW228+AX248*AX228+AY248*AY228+AZ248*AZ228+BA248*BA228+BB248*BB228+BC248*BC228+BD248*BD228+BE248*BE228+BF248*BF228+BG248*BG228+BH248*BH228+BI248*BI228+BJ248*BJ228+BK248*BK228+BL248*BL228+BM248*BM228+BN248*BN228+BO248*BO228+BP248*BP228+BQ248*BQ228+BR248*BR228+BS248*BS228+BT248*BT228+BU248*BU228+BV248*BV228+BW248*BW228+BX248*BX228+BY248*BY228+BZ248*BZ228+CA248*CA228+CB248*CB228+CC248*CC228+CD248*CD228+CE248*CE228+CF248*CF228+CG248*CG228+CH248*CH228+CI248*CI228+CJ248*CJ228+CK248*CK228+CL248*CL228+CM248*CM228+CN248*CN228</f>
        <v>0</v>
      </c>
      <c r="CR228" s="2650">
        <f>E249*E228+F249*F228+G249*G228+H249*H228+I249*I228+J249*J228+K249*K228+L249*L228+M249*M228+N249*N228+O249*O228+P249*P228+Q249*Q228+R249*R228+S249*S228+T249*T228+U249*U228+V249*V228+W249*W228+X249*X228+Y249*Y228+Z249*Z228+AA249*AA228+AB249*AB228+AC249*AC228+AD249*AD228+AE249*AE228+AF249*AF228+AG249*AG228+AH249*AH228+AI249*AI228+AJ249*AJ228+AK249*AK228+AL249*AL228+AM249*AM228+AN249*AN228+AO249*AO228+AP249*AP228+AQ249*AQ228+AR249*AR228+AS249*AS228+AT249*AT228+AU249*AU228+AV249*AV228+AW249*AW228+AX249*AX228+AY249*AY228+AZ249*AZ228+BA249*BA228+BB249*BB228+BC249*BC228+BD249*BD228+BE249*BE228+BF249*BF228+BG249*BG228+BH249*BH228+BI249*BI228+BJ249*BJ228+BK249*BK228+BL249*BL228+BM249*BM228+BN249*BN228+BO249*BO228+BP249*BP228+BQ249*BQ228+BR249*BR228+BS249*BS228+BT249*BT228+BU249*BU228+BV249*BV228+BW249*BW228+BX249*BX228+BY249*BY228+BZ249*BZ228+CA249*CA228+CB249*CB228+CC249*CC228+CD249*CD228+CE249*CE228+CF249*CF228+CG249*CG228+CH249*CH228+CI249*CI228+CJ249*CJ228+CK249*CK228+CL249*CL228+CM249*CM228+CN249*CN228</f>
        <v>0</v>
      </c>
      <c r="CS228" s="2651">
        <f>E250*E228+F250*F228+G250*G228+H250*H228+I250*I228+J250*J228+K250*K228+L250*L228+M250*M228+N250*N228+O250*O228+P250*P228+Q250*Q228+R250*R228+S250*S228+T250*T228+U250*U228+V250*V228+W250*W228+X250*X228+Y250*Y228+Z250*Z228+AA250*AA228+AB250*AB228+AC250*AC228+AD250*AD228+AE250*AE228+AF250*AF228+AG250*AG228+AH250*AH228+AI250*AI228+AJ250*AJ228+AK250*AK228+AL250*AL228+AM250*AM228+AN250*AN228+AO250*AO228+AP250*AP228+AQ250*AQ228+AR250*AR228+AS250*AS228+AT250*AT228+AU250*AU228+AV250*AV228+AW250*AW228+AX250*AX228+AY250*AY228+AZ250*AZ228+BA250*BA228+BB250*BB228+BC250*BC228+BD250*BD228+BE250*BE228+BF250*BF228+BG250*BG228+BH250*BH228+BI250*BI228+BJ250*BJ228+BK250*BK228+BL250*BL228+BM250*BM228+BN250*BN228+BO250*BO228+BP250*BP228+BQ250*BQ228+BR250*BR228+BS250*BS228+BT250*BT228+BU250*BU228+BV250*BV228+BW250*BW228+BX250*BX228+BY250*BY228+BZ250*BZ228+CA250*CA228+CB250*CB228+CC250*CC228+CD250*CD228+CE250*CE228+CF250*CF228+CG250*CG228+CH250*CH228+CI250*CI228+CJ250*CJ228+CK250*CK228+CL250*CL228+CM250*CM228+CN250*CN228</f>
        <v>0</v>
      </c>
      <c r="CT228" s="2652">
        <f>E251*E228+F251*F228+G251*G228+H251*H228+I251*I228+J251*J228+K251*K228+L251*L228+M251*M228+N251*N228+O251*O228+P251*P228+Q251*Q228+R251*R228+S251*S228+T251*T228+U251*U228+V251*V228+W251*W228+X251*X228+Y251*Y228+Z251*Z228+AA251*AA228+AB251*AB228+AC251*AC228+AD251*AD228+AE251*AE228+AF251*AF228+AG251*AG228+AH251*AH228+AI251*AI228+AJ251*AJ228+AK251*AK228+AL251*AL228+AM251*AM228+AN251*AN228+AO251*AO228+AP251*AP228+AQ251*AQ228+AR251*AR228+AS251*AS228+AT251*AT228+AU251*AU228+AV251*AV228+AW251*AW228+AX251*AX228+AY251*AY228+AZ251*AZ228+BA251*BA228+BB251*BB228+BC251*BC228+BD251*BD228+BE251*BE228+BF251*BF228+BG251*BG228+BH251*BH228+BI251*BI228+BJ251*BJ228+BK251*BK228+BL251*BL228+BM251*BM228+BN251*BN228+BO251*BO228+BP251*BP228+BQ251*BQ228+BR251*BR228+BS251*BS228+BT251*BT228+BU251*BU228+BV251*BV228+BW251*BW228+BX251*BX228+BY251*BY228+BZ251*BZ228+CA251*CA228+CB251*CB228+CC251*CC228+CD251*CD228+CE251*CE228+CF251*CF228+CG251*CG228+CH251*CH228+CI251*CI228+CJ251*CJ228+CK251*CK228+CL251*CL228+CM251*CM228+CN251*CN228</f>
        <v>0</v>
      </c>
      <c r="CU228" s="2652">
        <f>E252*E228+F252*F228+G252*G228+H252*H228+I252*I228+J252*J228+K252*K228+L252*L228+M252*M228+N252*N228+O252*O228+P252*P228+Q252*Q228+R252*R228+S252*S228+T252*T228+U252*U228+V252*V228+W252*W228+X252*X228+Y252*Y228+Z252*Z228+AA252*AA228+AB252*AB228+AC252*AC228+AD252*AD228+AE252*AE228+AF252*AF228+AG252*AG228+AH252*AH228+AI252*AI228+AJ252*AJ228+AK252*AK228+AL252*AL228+AM252*AM228+AN252*AN228+AO252*AO228+AP252*AP228+AQ252*AQ228+AR252*AR228+AS252*AS228+AT252*AT228+AU252*AU228+AV252*AV228+AW252*AW228+AX252*AX228+AY252*AY228+AZ252*AZ228+BA252*BA228+BB252*BB228+BC252*BC228+BD252*BD228+BE252*BE228+BF252*BF228+BG252*BG228+BH252*BH228+BI252*BI228+BJ252*BJ228+BK252*BK228+BL252*BL228+BM252*BM228+BN252*BN228+BO252*BO228+BP252*BP228+BQ252*BQ228+BR252*BR228+BS252*BS228+BT252*BT228+BU252*BU228+BV252*BV228+BW252*BW228+BX252*BX228+BY252*BY228+BZ252*BZ228+CA252*CA228+CB252*CB228+CC252*CC228+CD252*CD228+CE252*CE228+CF252*CF228+CG252*CG228+CH252*CH228+CI252*CI228+CJ252*CJ228+CK252*CK228+CL252*CL228+CM252*CM228+CN252*CN228</f>
        <v>0</v>
      </c>
      <c r="CV228" s="2652">
        <f>E253*E228+F253*F228+G253*G228+H253*H228+I253*I228+J253*J228+K253*K228+L253*L228+M253*M228+N253*N228+O253*O228+P253*P228+Q253*Q228+R253*R228+S253*S228+T253*T228+U253*U228+V253*V228+W253*W228+X253*X228+Y253*Y228+Z253*Z228+AA253*AA228+AB253*AB228+AC253*AC228+AD253*AD228+AE253*AE228+AF253*AF228+AG253*AG228+AH253*AH228+AI253*AI228+AJ253*AJ228+AK253*AK228+AL253*AL228+AM253*AM228+AN253*AN228+AO253*AO228+AP253*AP228+AQ253*AQ228+AR253*AR228+AS253*AS228+AT253*AT228+AU253*AU228+AV253*AV228+AW253*AW228+AX253*AX228+AY253*AY228+AZ253*AZ228+BA253*BA228+BB253*BB228+BC253*BC228+BD253*BD228+BE253*BE228+BF253*BF228+BG253*BG228+BH253*BH228+BI253*BI228+BJ253*BJ228+BK253*BK228+BL253*BL228+BM253*BM228+BN253*BN228+BO253*BO228+BP253*BP228+BQ253*BQ228+BR253*BR228+BS253*BS228+BT253*BT228+BU253*BU228+BV253*BV228+BW253*BW228+BX253*BX228+BY253*BY228+BZ253*BZ228+CA253*CA228+CB253*CB228+CC253*CC228+CD253*CD228+CE253*CE228+CF253*CF228+CG253*CG228+CH253*CH228+CI253*CI228+CJ253*CJ228+CK253*CK228+CL253*CL228+CM253*CM228+CN253*CN228</f>
        <v>0</v>
      </c>
      <c r="CW228" s="2652">
        <f>E254*E228+F254*F228+G254*G228+H254*H228+I254*I228+J254*J228+K254*K228+L254*L228+M254*M228+N254*N228+O254*O228+P254*P228+Q254*Q228+R254*R228+S254*S228+T254*T228+U254*U228+V254*V228+W254*W228+X254*X228+Y254*Y228+Z254*Z228+AA254*AA228+AB254*AB228+AC254*AC228+AD254*AD228+AE254*AE228+AF254*AF228+AG254*AG228+AH254*AH228+AI254*AI228+AJ254*AJ228+AK254*AK228+AL254*AL228+AM254*AM228+AN254*AN228+AO254*AO228+AP254*AP228+AQ254*AQ228+AR254*AR228+AS254*AS228+AT254*AT228+AU254*AU228+AV254*AV228+AW254*AW228+AX254*AX228+AY254*AY228+AZ254*AZ228+BA254*BA228+BB254*BB228+BC254*BC228+BD254*BD228+BE254*BE228+BF254*BF228+BG254*BG228+BH254*BH228+BI254*BI228+BJ254*BJ228+BK254*BK228+BL254*BL228+BM254*BM228+BN254*BN228+BO254*BO228+BP254*BP228+BQ254*BQ228+BR254*BR228+BS254*BS228+BT254*BT228+BU254*BU228+BV254*BV228+BW254*BW228+BX254*BX228+BY254*BY228+BZ254*BZ228+CA254*CA228+CB254*CB228+CC254*CC228+CD254*CD228+CE254*CE228+CF254*CF228+CG254*CG228+CH254*CH228+CI254*CI228+CJ254*CJ228+CK254*CK228+CL254*CL228+CM254*CM228+CN254*CN228</f>
        <v>0</v>
      </c>
      <c r="CX228" s="2652">
        <f>E255*E228+F255*F228+G255*G228+H255*H228+I255*I228+J255*J228+K255*K228+L255*L228+M255*M228+N255*N228+O255*O228+P255*P228+Q255*Q228+R255*R228+S255*S228+T255*T228+U255*U228+V255*V228+W255*W228+X255*X228+Y255*Y228+Z255*Z228+AA255*AA228+AB255*AB228+AC255*AC228+AD255*AD228+AE255*AE228+AF255*AF228+AG255*AG228+AH255*AH228+AI255*AI228+AJ255*AJ228+AK255*AK228+AL255*AL228+AM255*AM228+AN255*AN228+AO255*AO228+AP255*AP228+AQ255*AQ228+AR255*AR228+AS255*AS228+AT255*AT228+AU255*AU228+AV255*AV228+AW255*AW228+AX255*AX228+AY255*AY228+AZ255*AZ228+BA255*BA228+BB255*BB228+BC255*BC228+BD255*BD228+BE255*BE228+BF255*BF228+BG255*BG228+BH255*BH228+BI255*BI228+BJ255*BJ228+BK255*BK228+BL255*BL228+BM255*BM228+BN255*BN228+BO255*BO228+BP255*BP228+BQ255*BQ228+BR255*BR228+BS255*BS228+BT255*BT228+BU255*BU228+BV255*BV228+BW255*BW228+BX255*BX228+BY255*BY228+BZ255*BZ228+CA255*CA228+CB255*CB228+CC255*CC228+CD255*CD228+CE255*CE228+CF255*CF228+CG255*CG228+CH255*CH228+CI255*CI228+CJ255*CJ228+CK255*CK228+CL255*CL228+CM255*CM228+CN255*CN228</f>
        <v>0</v>
      </c>
      <c r="CY228" s="2652">
        <f>E256*E228+F256*F228+G256*G228+H256*H228+I256*I228+J256*J228+K256*K228+L256*L228+M256*M228+N256*N228+O256*O228+P256*P228+Q256*Q228+R256*R228+S256*S228+T256*T228+U256*U228+V256*V228+W256*W228+X256*X228+Y256*Y228+Z256*Z228+AA256*AA228+AB256*AB228+AC256*AC228+AD256*AD228+AE256*AE228+AF256*AF228+AG256*AG228+AH256*AH228+AI256*AI228+AJ256*AJ228+AK256*AK228+AL256*AL228+AM256*AM228+AN256*AN228+AO256*AO228+AP256*AP228+AQ256*AQ228+AR256*AR228+AS256*AS228+AT256*AT228+AU256*AU228+AV256*AV228+AW256*AW228+AX256*AX228+AY256*AY228+AZ256*AZ228+BA256*BA228+BB256*BB228+BC256*BC228+BD256*BD228+BE256*BE228+BF256*BF228+BG256*BG228+BH256*BH228+BI256*BI228+BJ256*BJ228+BK256*BK228+BL256*BL228+BM256*BM228+BN256*BN228+BO256*BO228+BP256*BP228+BQ256*BQ228+BR256*BR228+BS256*BS228+BT256*BT228+BU256*BU228+BV256*BV228+BW256*BW228+BX256*BX228+BY256*BY228+BZ256*BZ228+CA256*CA228+CB256*CB228+CC256*CC228+CD256*CD228+CE256*CE228+CF256*CF228+CG256*CG228+CH256*CH228+CI256*CI228+CJ256*CJ228+CK256*CK228+CL256*CL228+CM256*CM228+CN256*CN228</f>
        <v>0</v>
      </c>
      <c r="CZ228" s="2652">
        <f>E257*E228+F257*F228+G257*G228+H257*H228+I257*I228+J257*J228+K257*K228+L257*L228+M257*M228+N257*N228+O257*O228+P257*P228+Q257*Q228+R257*R228+S257*S228+T257*T228+U257*U228+V257*V228+W257*W228+X257*X228+Y257*Y228+Z257*Z228+AA257*AA228+AB257*AB228+AC257*AC228+AD257*AD228+AE257*AE228+AF257*AF228+AG257*AG228+AH257*AH228+AI257*AI228+AJ257*AJ228+AK257*AK228+AL257*AL228+AM257*AM228+AN257*AN228+AO257*AO228+AP257*AP228+AQ257*AQ228+AR257*AR228+AS257*AS228+AT257*AT228+AU257*AU228+AV257*AV228+AW257*AW228+AX257*AX228+AY257*AY228+AZ257*AZ228+BA257*BA228+BB257*BB228+BC257*BC228+BD257*BD228+BE257*BE228+BF257*BF228+BG257*BG228+BH257*BH228+BI257*BI228+BJ257*BJ228+BK257*BK228+BL257*BL228+BM257*BM228+BN257*BN228+BO257*BO228+BP257*BP228+BQ257*BQ228+BR257*BR228+BS257*BS228+BT257*BT228+BU257*BU228+BV257*BV228+BW257*BW228+BX257*BX228+BY257*BY228+BZ257*BZ228+CA257*CA228+CB257*CB228+CC257*CC228+CD257*CD228+CE257*CE228+CF257*CF228+CG257*CG228+CH257*CH228+CI257*CI228+CJ257*CJ228+CK257*CK228+CL257*CL228+CM257*CM228+CN257*CN228</f>
        <v>0</v>
      </c>
      <c r="DA228" s="2652">
        <f>E258*E228+F258*F228+G258*G228+H258*H228+I258*I228+J258*J228+K258*K228+L258*L228+M258*M228+N258*N228+O258*O228+P258*P228+Q258*Q228+R258*R228+S258*S228+T258*T228+U258*U228+V258*V228+W258*W228+X258*X228+Y258*Y228+Z258*Z228+AA258*AA228+AB258*AB228+AC258*AC228+AD258*AD228+AE258*AE228+AF258*AF228+AG258*AG228+AH258*AH228+AI258*AI228+AJ258*AJ228+AK258*AK228+AL258*AL228+AM258*AM228+AN258*AN228+AO258*AO228+AP258*AP228+AQ258*AQ228+AR258*AR228+AS258*AS228+AT258*AT228+AU258*AU228+AV258*AV228+AW258*AW228+AX258*AX228+AY258*AY228+AZ258*AZ228+BA258*BA228+BB258*BB228+BC258*BC228+BD258*BD228+BE258*BE228+BF258*BF228+BG258*BG228+BH258*BH228+BI258*BI228+BJ258*BJ228+BK258*BK228+BL258*BL228+BM258*BM228+BN258*BN228+BO258*BO228+BP258*BP228+BQ258*BQ228+BR258*BR228+BS258*BS228+BT258*BT228+BU258*BU228+BV258*BV228+BW258*BW228+BX258*BX228+BY258*BY228+BZ258*BZ228+CA258*CA228+CB258*CB228+CC258*CC228+CD258*CD228+CE258*CE228+CF258*CF228+CG258*CG228+CH258*CH228+CI258*CI228+CJ258*CJ228+CK258*CK228+CL258*CL228+CM258*CM228+CN258*CN228</f>
        <v>0</v>
      </c>
    </row>
    <row r="229" spans="2:105" ht="18" x14ac:dyDescent="0.25">
      <c r="B229" s="2183">
        <v>96</v>
      </c>
      <c r="C229" s="2184" t="s">
        <v>3487</v>
      </c>
      <c r="D229" s="857" t="s">
        <v>1125</v>
      </c>
      <c r="E229" s="2699">
        <f>0</f>
        <v>0</v>
      </c>
      <c r="F229" s="2699">
        <f>0</f>
        <v>0</v>
      </c>
      <c r="G229" s="2699">
        <f>0</f>
        <v>0</v>
      </c>
      <c r="H229" s="2699">
        <f>0</f>
        <v>0</v>
      </c>
      <c r="I229" s="2699">
        <f>0</f>
        <v>0</v>
      </c>
      <c r="J229" s="2699">
        <f>0</f>
        <v>0</v>
      </c>
      <c r="K229" s="2722">
        <f>0</f>
        <v>0</v>
      </c>
      <c r="L229" s="2699">
        <f>0</f>
        <v>0</v>
      </c>
      <c r="M229" s="2699">
        <f>0</f>
        <v>0</v>
      </c>
      <c r="N229" s="2699">
        <f>0</f>
        <v>0</v>
      </c>
      <c r="O229" s="2699">
        <f>0</f>
        <v>0</v>
      </c>
      <c r="P229" s="2699">
        <f>0</f>
        <v>0</v>
      </c>
      <c r="Q229" s="2699">
        <f>0</f>
        <v>0</v>
      </c>
      <c r="R229" s="2699">
        <f>0</f>
        <v>0</v>
      </c>
      <c r="S229" s="2699">
        <f>0</f>
        <v>0</v>
      </c>
      <c r="T229" s="2732">
        <f>0</f>
        <v>0</v>
      </c>
      <c r="U229" s="2732">
        <f>0</f>
        <v>0</v>
      </c>
      <c r="V229" s="2699">
        <f>0</f>
        <v>0</v>
      </c>
      <c r="W229" s="2699">
        <f>0</f>
        <v>0</v>
      </c>
      <c r="X229" s="2699">
        <f>0</f>
        <v>0</v>
      </c>
      <c r="Y229" s="2699">
        <f>0</f>
        <v>0</v>
      </c>
      <c r="Z229" s="2699">
        <f>0</f>
        <v>0</v>
      </c>
      <c r="AA229" s="2699">
        <f>0</f>
        <v>0</v>
      </c>
      <c r="AB229" s="2699">
        <f>0</f>
        <v>0</v>
      </c>
      <c r="AC229" s="2722">
        <f>0</f>
        <v>0</v>
      </c>
      <c r="AD229" s="2732">
        <f>0</f>
        <v>0</v>
      </c>
      <c r="AE229" s="2699">
        <f>0</f>
        <v>0</v>
      </c>
      <c r="AF229" s="2699">
        <f>0</f>
        <v>0</v>
      </c>
      <c r="AG229" s="2699">
        <f>0</f>
        <v>0</v>
      </c>
      <c r="AH229" s="2699">
        <f>0</f>
        <v>0</v>
      </c>
      <c r="AI229" s="2699">
        <f>0</f>
        <v>0</v>
      </c>
      <c r="AJ229" s="2722">
        <f>0</f>
        <v>0</v>
      </c>
      <c r="AK229" s="2699">
        <f>0</f>
        <v>0</v>
      </c>
      <c r="AL229" s="2732">
        <f>-2*A_MP/M_MVivi</f>
        <v>-0.1234998580474381</v>
      </c>
      <c r="AM229" s="2699">
        <f>0</f>
        <v>0</v>
      </c>
      <c r="AN229" s="2699">
        <f>0</f>
        <v>0</v>
      </c>
      <c r="AO229" s="2699">
        <f>0</f>
        <v>0</v>
      </c>
      <c r="AP229" s="2722">
        <f>0</f>
        <v>0</v>
      </c>
      <c r="AQ229" s="2699">
        <f>0</f>
        <v>0</v>
      </c>
      <c r="AR229" s="2699">
        <f>0</f>
        <v>0</v>
      </c>
      <c r="AS229" s="2699">
        <f>0</f>
        <v>0</v>
      </c>
      <c r="AT229" s="2699">
        <f>0</f>
        <v>0</v>
      </c>
      <c r="AU229" s="2699">
        <f>0</f>
        <v>0</v>
      </c>
      <c r="AV229" s="2699">
        <f>0</f>
        <v>0</v>
      </c>
      <c r="AW229" s="2699">
        <f>0</f>
        <v>0</v>
      </c>
      <c r="AX229" s="2699">
        <f>0</f>
        <v>0</v>
      </c>
      <c r="AY229" s="2699">
        <f>0</f>
        <v>0</v>
      </c>
      <c r="AZ229" s="2732">
        <f>0</f>
        <v>0</v>
      </c>
      <c r="BA229" s="2699">
        <f>0</f>
        <v>0</v>
      </c>
      <c r="BB229" s="2732">
        <f>-3*A_MFe/M_MVivi</f>
        <v>-0.33400121987727954</v>
      </c>
      <c r="BC229" s="2699">
        <f>0</f>
        <v>0</v>
      </c>
      <c r="BD229" s="2699">
        <f>0</f>
        <v>0</v>
      </c>
      <c r="BE229" s="2732">
        <f>0</f>
        <v>0</v>
      </c>
      <c r="BF229" s="2732">
        <f>0</f>
        <v>0</v>
      </c>
      <c r="BG229" s="2699">
        <f>0</f>
        <v>0</v>
      </c>
      <c r="BH229" s="2732">
        <f>0</f>
        <v>0</v>
      </c>
      <c r="BI229" s="2732">
        <f>0</f>
        <v>0</v>
      </c>
      <c r="BJ229" s="2733">
        <f>0</f>
        <v>0</v>
      </c>
      <c r="BK229" s="2733">
        <f>0</f>
        <v>0</v>
      </c>
      <c r="BL229" s="2733">
        <f>0</f>
        <v>0</v>
      </c>
      <c r="BM229" s="2733">
        <f>0</f>
        <v>0</v>
      </c>
      <c r="BN229" s="2733">
        <f>0</f>
        <v>0</v>
      </c>
      <c r="BO229" s="2733">
        <f>0</f>
        <v>0</v>
      </c>
      <c r="BP229" s="2733">
        <f>0</f>
        <v>0</v>
      </c>
      <c r="BQ229" s="2732">
        <f>0</f>
        <v>0</v>
      </c>
      <c r="BR229" s="2732">
        <f>0</f>
        <v>0</v>
      </c>
      <c r="BS229" s="2733">
        <f>0</f>
        <v>0</v>
      </c>
      <c r="BT229" s="2732">
        <f>0</f>
        <v>0</v>
      </c>
      <c r="BU229" s="2732">
        <f>1</f>
        <v>1</v>
      </c>
      <c r="BV229" s="2792">
        <f>0</f>
        <v>0</v>
      </c>
      <c r="BW229" s="2792">
        <f>0</f>
        <v>0</v>
      </c>
      <c r="BX229" s="2792">
        <f>0</f>
        <v>0</v>
      </c>
      <c r="BY229" s="2792">
        <f>0</f>
        <v>0</v>
      </c>
      <c r="BZ229" s="2732">
        <f>0</f>
        <v>0</v>
      </c>
      <c r="CA229" s="2732">
        <f>0</f>
        <v>0</v>
      </c>
      <c r="CB229" s="2812">
        <f>0</f>
        <v>0</v>
      </c>
      <c r="CC229" s="2732">
        <f>0</f>
        <v>0</v>
      </c>
      <c r="CD229" s="2732">
        <f>0</f>
        <v>0</v>
      </c>
      <c r="CE229" s="2732">
        <f>0</f>
        <v>0</v>
      </c>
      <c r="CF229" s="2732">
        <f>0</f>
        <v>0</v>
      </c>
      <c r="CG229" s="2732">
        <f>0</f>
        <v>0</v>
      </c>
      <c r="CH229" s="2732">
        <f>0</f>
        <v>0</v>
      </c>
      <c r="CI229" s="2732">
        <f>0</f>
        <v>0</v>
      </c>
      <c r="CJ229" s="2732">
        <f>0</f>
        <v>0</v>
      </c>
      <c r="CK229" s="2732">
        <f>0</f>
        <v>0</v>
      </c>
      <c r="CL229" s="2732">
        <f>0</f>
        <v>0</v>
      </c>
      <c r="CM229" s="2732">
        <f>0</f>
        <v>0</v>
      </c>
      <c r="CN229" s="2732">
        <f>0</f>
        <v>0</v>
      </c>
      <c r="CO229" s="2844">
        <f>q_Vivi*P_recipDrivingForceVivi^2</f>
        <v>-1E-50</v>
      </c>
      <c r="CQ229" s="2650">
        <f>E248*E229+F248*F229+G248*G229+H248*H229+I248*I229+J248*J229+K248*K229+L248*L229+M248*M229+N248*N229+O248*O229+P248*P229+Q248*Q229+R248*R229+S248*S229+T248*T229+U248*U229+V248*V229+W248*W229+X248*X229+Y248*Y229+Z248*Z229+AA248*AA229+AB248*AB229+AC248*AC229+AD248*AD229+AE248*AE229+AF248*AF229+AG248*AG229+AH248*AH229+AI248*AI229+AJ248*AJ229+AK248*AK229+AL248*AL229+AM248*AM229+AN248*AN229+AO248*AO229+AP248*AP229+AQ248*AQ229+AR248*AR229+AS248*AS229+AT248*AT229+AU248*AU229+AV248*AV229+AW248*AW229+AX248*AX229+AY248*AY229+AZ248*AZ229+BA248*BA229+BB248*BB229+BC248*BC229+BD248*BD229+BE248*BE229+BF248*BF229+BG248*BG229+BH248*BH229+BI248*BI229+BJ248*BJ229+BK248*BK229+BL248*BL229+BM248*BM229+BN248*BN229+BO248*BO229+BP248*BP229+BQ248*BQ229+BR248*BR229+BS248*BS229+BT248*BT229+BU248*BU229+BV248*BV229+BW248*BW229+BX248*BX229+BY248*BY229+BZ248*BZ229+CA248*CA229+CB248*CB229+CC248*CC229+CD248*CD229+CE248*CE229+CF248*CF229+CG248*CG229+CH248*CH229+CI248*CI229+CJ248*CJ229+CK248*CK229+CL248*CL229+CM248*CM229+CN248*CN229</f>
        <v>0</v>
      </c>
      <c r="CR229" s="2650">
        <f>E249*E229+F249*F229+G249*G229+H249*H229+I249*I229+J249*J229+K249*K229+L249*L229+M249*M229+N249*N229+O249*O229+P249*P229+Q249*Q229+R249*R229+S249*S229+T249*T229+U249*U229+V249*V229+W249*W229+X249*X229+Y249*Y229+Z249*Z229+AA249*AA229+AB249*AB229+AC249*AC229+AD249*AD229+AE249*AE229+AF249*AF229+AG249*AG229+AH249*AH229+AI249*AI229+AJ249*AJ229+AK249*AK229+AL249*AL229+AM249*AM229+AN249*AN229+AO249*AO229+AP249*AP229+AQ249*AQ229+AR249*AR229+AS249*AS229+AT249*AT229+AU249*AU229+AV249*AV229+AW249*AW229+AX249*AX229+AY249*AY229+AZ249*AZ229+BA249*BA229+BB249*BB229+BC249*BC229+BD249*BD229+BE249*BE229+BF249*BF229+BG249*BG229+BH249*BH229+BI249*BI229+BJ249*BJ229+BK249*BK229+BL249*BL229+BM249*BM229+BN249*BN229+BO249*BO229+BP249*BP229+BQ249*BQ229+BR249*BR229+BS249*BS229+BT249*BT229+BU249*BU229+BV249*BV229+BW249*BW229+BX249*BX229+BY249*BY229+BZ249*BZ229+CA249*CA229+CB249*CB229+CC249*CC229+CD249*CD229+CE249*CE229+CF249*CF229+CG249*CG229+CH249*CH229+CI249*CI229+CJ249*CJ229+CK249*CK229+CL249*CL229+CM249*CM229+CN249*CN229</f>
        <v>0</v>
      </c>
      <c r="CS229" s="2651">
        <f>E250*E229+F250*F229+G250*G229+H250*H229+I250*I229+J250*J229+K250*K229+L250*L229+M250*M229+N250*N229+O250*O229+P250*P229+Q250*Q229+R250*R229+S250*S229+T250*T229+U250*U229+V250*V229+W250*W229+X250*X229+Y250*Y229+Z250*Z229+AA250*AA229+AB250*AB229+AC250*AC229+AD250*AD229+AE250*AE229+AF250*AF229+AG250*AG229+AH250*AH229+AI250*AI229+AJ250*AJ229+AK250*AK229+AL250*AL229+AM250*AM229+AN250*AN229+AO250*AO229+AP250*AP229+AQ250*AQ229+AR250*AR229+AS250*AS229+AT250*AT229+AU250*AU229+AV250*AV229+AW250*AW229+AX250*AX229+AY250*AY229+AZ250*AZ229+BA250*BA229+BB250*BB229+BC250*BC229+BD250*BD229+BE250*BE229+BF250*BF229+BG250*BG229+BH250*BH229+BI250*BI229+BJ250*BJ229+BK250*BK229+BL250*BL229+BM250*BM229+BN250*BN229+BO250*BO229+BP250*BP229+BQ250*BQ229+BR250*BR229+BS250*BS229+BT250*BT229+BU250*BU229+BV250*BV229+BW250*BW229+BX250*BX229+BY250*BY229+BZ250*BZ229+CA250*CA229+CB250*CB229+CC250*CC229+CD250*CD229+CE250*CE229+CF250*CF229+CG250*CG229+CH250*CH229+CI250*CI229+CJ250*CJ229+CK250*CK229+CL250*CL229+CM250*CM229+CN250*CN229</f>
        <v>0</v>
      </c>
      <c r="CT229" s="2652">
        <f>E251*E229+F251*F229+G251*G229+H251*H229+I251*I229+J251*J229+K251*K229+L251*L229+M251*M229+N251*N229+O251*O229+P251*P229+Q251*Q229+R251*R229+S251*S229+T251*T229+U251*U229+V251*V229+W251*W229+X251*X229+Y251*Y229+Z251*Z229+AA251*AA229+AB251*AB229+AC251*AC229+AD251*AD229+AE251*AE229+AF251*AF229+AG251*AG229+AH251*AH229+AI251*AI229+AJ251*AJ229+AK251*AK229+AL251*AL229+AM251*AM229+AN251*AN229+AO251*AO229+AP251*AP229+AQ251*AQ229+AR251*AR229+AS251*AS229+AT251*AT229+AU251*AU229+AV251*AV229+AW251*AW229+AX251*AX229+AY251*AY229+AZ251*AZ229+BA251*BA229+BB251*BB229+BC251*BC229+BD251*BD229+BE251*BE229+BF251*BF229+BG251*BG229+BH251*BH229+BI251*BI229+BJ251*BJ229+BK251*BK229+BL251*BL229+BM251*BM229+BN251*BN229+BO251*BO229+BP251*BP229+BQ251*BQ229+BR251*BR229+BS251*BS229+BT251*BT229+BU251*BU229+BV251*BV229+BW251*BW229+BX251*BX229+BY251*BY229+BZ251*BZ229+CA251*CA229+CB251*CB229+CC251*CC229+CD251*CD229+CE251*CE229+CF251*CF229+CG251*CG229+CH251*CH229+CI251*CI229+CJ251*CJ229+CK251*CK229+CL251*CL229+CM251*CM229+CN251*CN229</f>
        <v>0</v>
      </c>
      <c r="CU229" s="2652">
        <f>E252*E229+F252*F229+G252*G229+H252*H229+I252*I229+J252*J229+K252*K229+L252*L229+M252*M229+N252*N229+O252*O229+P252*P229+Q252*Q229+R252*R229+S252*S229+T252*T229+U252*U229+V252*V229+W252*W229+X252*X229+Y252*Y229+Z252*Z229+AA252*AA229+AB252*AB229+AC252*AC229+AD252*AD229+AE252*AE229+AF252*AF229+AG252*AG229+AH252*AH229+AI252*AI229+AJ252*AJ229+AK252*AK229+AL252*AL229+AM252*AM229+AN252*AN229+AO252*AO229+AP252*AP229+AQ252*AQ229+AR252*AR229+AS252*AS229+AT252*AT229+AU252*AU229+AV252*AV229+AW252*AW229+AX252*AX229+AY252*AY229+AZ252*AZ229+BA252*BA229+BB252*BB229+BC252*BC229+BD252*BD229+BE252*BE229+BF252*BF229+BG252*BG229+BH252*BH229+BI252*BI229+BJ252*BJ229+BK252*BK229+BL252*BL229+BM252*BM229+BN252*BN229+BO252*BO229+BP252*BP229+BQ252*BQ229+BR252*BR229+BS252*BS229+BT252*BT229+BU252*BU229+BV252*BV229+BW252*BW229+BX252*BX229+BY252*BY229+BZ252*BZ229+CA252*CA229+CB252*CB229+CC252*CC229+CD252*CD229+CE252*CE229+CF252*CF229+CG252*CG229+CH252*CH229+CI252*CI229+CJ252*CJ229+CK252*CK229+CL252*CL229+CM252*CM229+CN252*CN229</f>
        <v>0</v>
      </c>
      <c r="CV229" s="2652">
        <f>E253*E229+F253*F229+G253*G229+H253*H229+I253*I229+J253*J229+K253*K229+L253*L229+M253*M229+N253*N229+O253*O229+P253*P229+Q253*Q229+R253*R229+S253*S229+T253*T229+U253*U229+V253*V229+W253*W229+X253*X229+Y253*Y229+Z253*Z229+AA253*AA229+AB253*AB229+AC253*AC229+AD253*AD229+AE253*AE229+AF253*AF229+AG253*AG229+AH253*AH229+AI253*AI229+AJ253*AJ229+AK253*AK229+AL253*AL229+AM253*AM229+AN253*AN229+AO253*AO229+AP253*AP229+AQ253*AQ229+AR253*AR229+AS253*AS229+AT253*AT229+AU253*AU229+AV253*AV229+AW253*AW229+AX253*AX229+AY253*AY229+AZ253*AZ229+BA253*BA229+BB253*BB229+BC253*BC229+BD253*BD229+BE253*BE229+BF253*BF229+BG253*BG229+BH253*BH229+BI253*BI229+BJ253*BJ229+BK253*BK229+BL253*BL229+BM253*BM229+BN253*BN229+BO253*BO229+BP253*BP229+BQ253*BQ229+BR253*BR229+BS253*BS229+BT253*BT229+BU253*BU229+BV253*BV229+BW253*BW229+BX253*BX229+BY253*BY229+BZ253*BZ229+CA253*CA229+CB253*CB229+CC253*CC229+CD253*CD229+CE253*CE229+CF253*CF229+CG253*CG229+CH253*CH229+CI253*CI229+CJ253*CJ229+CK253*CK229+CL253*CL229+CM253*CM229+CN253*CN229</f>
        <v>0</v>
      </c>
      <c r="CW229" s="2652">
        <f>E254*E229+F254*F229+G254*G229+H254*H229+I254*I229+J254*J229+K254*K229+L254*L229+M254*M229+N254*N229+O254*O229+P254*P229+Q254*Q229+R254*R229+S254*S229+T254*T229+U254*U229+V254*V229+W254*W229+X254*X229+Y254*Y229+Z254*Z229+AA254*AA229+AB254*AB229+AC254*AC229+AD254*AD229+AE254*AE229+AF254*AF229+AG254*AG229+AH254*AH229+AI254*AI229+AJ254*AJ229+AK254*AK229+AL254*AL229+AM254*AM229+AN254*AN229+AO254*AO229+AP254*AP229+AQ254*AQ229+AR254*AR229+AS254*AS229+AT254*AT229+AU254*AU229+AV254*AV229+AW254*AW229+AX254*AX229+AY254*AY229+AZ254*AZ229+BA254*BA229+BB254*BB229+BC254*BC229+BD254*BD229+BE254*BE229+BF254*BF229+BG254*BG229+BH254*BH229+BI254*BI229+BJ254*BJ229+BK254*BK229+BL254*BL229+BM254*BM229+BN254*BN229+BO254*BO229+BP254*BP229+BQ254*BQ229+BR254*BR229+BS254*BS229+BT254*BT229+BU254*BU229+BV254*BV229+BW254*BW229+BX254*BX229+BY254*BY229+BZ254*BZ229+CA254*CA229+CB254*CB229+CC254*CC229+CD254*CD229+CE254*CE229+CF254*CF229+CG254*CG229+CH254*CH229+CI254*CI229+CJ254*CJ229+CK254*CK229+CL254*CL229+CM254*CM229+CN254*CN229</f>
        <v>0</v>
      </c>
      <c r="CX229" s="2652">
        <f>E255*E229+F255*F229+G255*G229+H255*H229+I255*I229+J255*J229+K255*K229+L255*L229+M255*M229+N255*N229+O255*O229+P255*P229+Q255*Q229+R255*R229+S255*S229+T255*T229+U255*U229+V255*V229+W255*W229+X255*X229+Y255*Y229+Z255*Z229+AA255*AA229+AB255*AB229+AC255*AC229+AD255*AD229+AE255*AE229+AF255*AF229+AG255*AG229+AH255*AH229+AI255*AI229+AJ255*AJ229+AK255*AK229+AL255*AL229+AM255*AM229+AN255*AN229+AO255*AO229+AP255*AP229+AQ255*AQ229+AR255*AR229+AS255*AS229+AT255*AT229+AU255*AU229+AV255*AV229+AW255*AW229+AX255*AX229+AY255*AY229+AZ255*AZ229+BA255*BA229+BB255*BB229+BC255*BC229+BD255*BD229+BE255*BE229+BF255*BF229+BG255*BG229+BH255*BH229+BI255*BI229+BJ255*BJ229+BK255*BK229+BL255*BL229+BM255*BM229+BN255*BN229+BO255*BO229+BP255*BP229+BQ255*BQ229+BR255*BR229+BS255*BS229+BT255*BT229+BU255*BU229+BV255*BV229+BW255*BW229+BX255*BX229+BY255*BY229+BZ255*BZ229+CA255*CA229+CB255*CB229+CC255*CC229+CD255*CD229+CE255*CE229+CF255*CF229+CG255*CG229+CH255*CH229+CI255*CI229+CJ255*CJ229+CK255*CK229+CL255*CL229+CM255*CM229+CN255*CN229</f>
        <v>0</v>
      </c>
      <c r="CY229" s="2652">
        <f>E256*E229+F256*F229+G256*G229+H256*H229+I256*I229+J256*J229+K256*K229+L256*L229+M256*M229+N256*N229+O256*O229+P256*P229+Q256*Q229+R256*R229+S256*S229+T256*T229+U256*U229+V256*V229+W256*W229+X256*X229+Y256*Y229+Z256*Z229+AA256*AA229+AB256*AB229+AC256*AC229+AD256*AD229+AE256*AE229+AF256*AF229+AG256*AG229+AH256*AH229+AI256*AI229+AJ256*AJ229+AK256*AK229+AL256*AL229+AM256*AM229+AN256*AN229+AO256*AO229+AP256*AP229+AQ256*AQ229+AR256*AR229+AS256*AS229+AT256*AT229+AU256*AU229+AV256*AV229+AW256*AW229+AX256*AX229+AY256*AY229+AZ256*AZ229+BA256*BA229+BB256*BB229+BC256*BC229+BD256*BD229+BE256*BE229+BF256*BF229+BG256*BG229+BH256*BH229+BI256*BI229+BJ256*BJ229+BK256*BK229+BL256*BL229+BM256*BM229+BN256*BN229+BO256*BO229+BP256*BP229+BQ256*BQ229+BR256*BR229+BS256*BS229+BT256*BT229+BU256*BU229+BV256*BV229+BW256*BW229+BX256*BX229+BY256*BY229+BZ256*BZ229+CA256*CA229+CB256*CB229+CC256*CC229+CD256*CD229+CE256*CE229+CF256*CF229+CG256*CG229+CH256*CH229+CI256*CI229+CJ256*CJ229+CK256*CK229+CL256*CL229+CM256*CM229+CN256*CN229</f>
        <v>0</v>
      </c>
      <c r="CZ229" s="2652">
        <f>E257*E229+F257*F229+G257*G229+H257*H229+I257*I229+J257*J229+K257*K229+L257*L229+M257*M229+N257*N229+O257*O229+P257*P229+Q257*Q229+R257*R229+S257*S229+T257*T229+U257*U229+V257*V229+W257*W229+X257*X229+Y257*Y229+Z257*Z229+AA257*AA229+AB257*AB229+AC257*AC229+AD257*AD229+AE257*AE229+AF257*AF229+AG257*AG229+AH257*AH229+AI257*AI229+AJ257*AJ229+AK257*AK229+AL257*AL229+AM257*AM229+AN257*AN229+AO257*AO229+AP257*AP229+AQ257*AQ229+AR257*AR229+AS257*AS229+AT257*AT229+AU257*AU229+AV257*AV229+AW257*AW229+AX257*AX229+AY257*AY229+AZ257*AZ229+BA257*BA229+BB257*BB229+BC257*BC229+BD257*BD229+BE257*BE229+BF257*BF229+BG257*BG229+BH257*BH229+BI257*BI229+BJ257*BJ229+BK257*BK229+BL257*BL229+BM257*BM229+BN257*BN229+BO257*BO229+BP257*BP229+BQ257*BQ229+BR257*BR229+BS257*BS229+BT257*BT229+BU257*BU229+BV257*BV229+BW257*BW229+BX257*BX229+BY257*BY229+BZ257*BZ229+CA257*CA229+CB257*CB229+CC257*CC229+CD257*CD229+CE257*CE229+CF257*CF229+CG257*CG229+CH257*CH229+CI257*CI229+CJ257*CJ229+CK257*CK229+CL257*CL229+CM257*CM229+CN257*CN229</f>
        <v>0</v>
      </c>
      <c r="DA229" s="2652">
        <f>E258*E229+F258*F229+G258*G229+H258*H229+I258*I229+J258*J229+K258*K229+L258*L229+M258*M229+N258*N229+O258*O229+P258*P229+Q258*Q229+R258*R229+S258*S229+T258*T229+U258*U229+V258*V229+W258*W229+X258*X229+Y258*Y229+Z258*Z229+AA258*AA229+AB258*AB229+AC258*AC229+AD258*AD229+AE258*AE229+AF258*AF229+AG258*AG229+AH258*AH229+AI258*AI229+AJ258*AJ229+AK258*AK229+AL258*AL229+AM258*AM229+AN258*AN229+AO258*AO229+AP258*AP229+AQ258*AQ229+AR258*AR229+AS258*AS229+AT258*AT229+AU258*AU229+AV258*AV229+AW258*AW229+AX258*AX229+AY258*AY229+AZ258*AZ229+BA258*BA229+BB258*BB229+BC258*BC229+BD258*BD229+BE258*BE229+BF258*BF229+BG258*BG229+BH258*BH229+BI258*BI229+BJ258*BJ229+BK258*BK229+BL258*BL229+BM258*BM229+BN258*BN229+BO258*BO229+BP258*BP229+BQ258*BQ229+BR258*BR229+BS258*BS229+BT258*BT229+BU258*BU229+BV258*BV229+BW258*BW229+BX258*BX229+BY258*BY229+BZ258*BZ229+CA258*CA229+CB258*CB229+CC258*CC229+CD258*CD229+CE258*CE229+CF258*CF229+CG258*CG229+CH258*CH229+CI258*CI229+CJ258*CJ229+CK258*CK229+CL258*CL229+CM258*CM229+CN258*CN229</f>
        <v>0</v>
      </c>
    </row>
    <row r="230" spans="2:105" ht="18" x14ac:dyDescent="0.25">
      <c r="B230" s="2506">
        <v>97</v>
      </c>
      <c r="C230" s="2507" t="s">
        <v>3488</v>
      </c>
      <c r="D230" s="2508" t="s">
        <v>5098</v>
      </c>
      <c r="E230" s="2701">
        <f>0</f>
        <v>0</v>
      </c>
      <c r="F230" s="2701">
        <f>0</f>
        <v>0</v>
      </c>
      <c r="G230" s="2701">
        <f>0</f>
        <v>0</v>
      </c>
      <c r="H230" s="2701">
        <f>0</f>
        <v>0</v>
      </c>
      <c r="I230" s="2701">
        <f>0</f>
        <v>0</v>
      </c>
      <c r="J230" s="2719">
        <f>0</f>
        <v>0</v>
      </c>
      <c r="K230" s="2719">
        <f>0</f>
        <v>0</v>
      </c>
      <c r="L230" s="2701">
        <f>0</f>
        <v>0</v>
      </c>
      <c r="M230" s="2701">
        <f>0</f>
        <v>0</v>
      </c>
      <c r="N230" s="2701">
        <f>0</f>
        <v>0</v>
      </c>
      <c r="O230" s="2701">
        <f>0</f>
        <v>0</v>
      </c>
      <c r="P230" s="2701">
        <f>0</f>
        <v>0</v>
      </c>
      <c r="Q230" s="2701">
        <f>0</f>
        <v>0</v>
      </c>
      <c r="R230" s="2701">
        <f>0</f>
        <v>0</v>
      </c>
      <c r="S230" s="2701">
        <f>0</f>
        <v>0</v>
      </c>
      <c r="T230" s="2701">
        <f>0</f>
        <v>0</v>
      </c>
      <c r="U230" s="2701">
        <f>0</f>
        <v>0</v>
      </c>
      <c r="V230" s="2701">
        <f>0</f>
        <v>0</v>
      </c>
      <c r="W230" s="2701">
        <f>0</f>
        <v>0</v>
      </c>
      <c r="X230" s="2701">
        <f>0</f>
        <v>0</v>
      </c>
      <c r="Y230" s="2701">
        <f>0</f>
        <v>0</v>
      </c>
      <c r="Z230" s="2701">
        <f>0</f>
        <v>0</v>
      </c>
      <c r="AA230" s="2701">
        <f>0</f>
        <v>0</v>
      </c>
      <c r="AB230" s="2719">
        <f>0</f>
        <v>0</v>
      </c>
      <c r="AC230" s="2719">
        <f>0</f>
        <v>0</v>
      </c>
      <c r="AD230" s="2719">
        <f>0</f>
        <v>0</v>
      </c>
      <c r="AE230" s="2719">
        <f>0</f>
        <v>0</v>
      </c>
      <c r="AF230" s="2719">
        <f>0</f>
        <v>0</v>
      </c>
      <c r="AG230" s="2719">
        <f>0</f>
        <v>0</v>
      </c>
      <c r="AH230" s="2719">
        <f>0</f>
        <v>0</v>
      </c>
      <c r="AI230" s="2719">
        <f>0</f>
        <v>0</v>
      </c>
      <c r="AJ230" s="2719">
        <f>0</f>
        <v>0</v>
      </c>
      <c r="AK230" s="2719">
        <f>0</f>
        <v>0</v>
      </c>
      <c r="AL230" s="2719">
        <f>0</f>
        <v>0</v>
      </c>
      <c r="AM230" s="2719">
        <f>0</f>
        <v>0</v>
      </c>
      <c r="AN230" s="2701">
        <f>0</f>
        <v>0</v>
      </c>
      <c r="AO230" s="2719">
        <f>0</f>
        <v>0</v>
      </c>
      <c r="AP230" s="2719">
        <f>0</f>
        <v>0</v>
      </c>
      <c r="AQ230" s="2719">
        <f>0</f>
        <v>0</v>
      </c>
      <c r="AR230" s="2719">
        <f>0</f>
        <v>0</v>
      </c>
      <c r="AS230" s="2701">
        <f>0</f>
        <v>0</v>
      </c>
      <c r="AT230" s="2719">
        <f>0</f>
        <v>0</v>
      </c>
      <c r="AU230" s="2719">
        <f>0</f>
        <v>0</v>
      </c>
      <c r="AV230" s="2719">
        <f>0</f>
        <v>0</v>
      </c>
      <c r="AW230" s="2719">
        <f>0</f>
        <v>0</v>
      </c>
      <c r="AX230" s="2719">
        <f>0</f>
        <v>0</v>
      </c>
      <c r="AY230" s="2719">
        <f>0</f>
        <v>0</v>
      </c>
      <c r="AZ230" s="2719">
        <f>0</f>
        <v>0</v>
      </c>
      <c r="BA230" s="2719">
        <f>0</f>
        <v>0</v>
      </c>
      <c r="BB230" s="2719">
        <f>0</f>
        <v>0</v>
      </c>
      <c r="BC230" s="2719">
        <f>0</f>
        <v>0</v>
      </c>
      <c r="BD230" s="2719">
        <f>0</f>
        <v>0</v>
      </c>
      <c r="BE230" s="2719">
        <f>0</f>
        <v>0</v>
      </c>
      <c r="BF230" s="2719">
        <f>0</f>
        <v>0</v>
      </c>
      <c r="BG230" s="2719">
        <f>0</f>
        <v>0</v>
      </c>
      <c r="BH230" s="2719">
        <f>0</f>
        <v>0</v>
      </c>
      <c r="BI230" s="2719">
        <f>0</f>
        <v>0</v>
      </c>
      <c r="BJ230" s="2719">
        <f>0</f>
        <v>0</v>
      </c>
      <c r="BK230" s="2719">
        <f>0</f>
        <v>0</v>
      </c>
      <c r="BL230" s="2719">
        <f>0</f>
        <v>0</v>
      </c>
      <c r="BM230" s="2719">
        <f>0</f>
        <v>0</v>
      </c>
      <c r="BN230" s="2719">
        <f>0</f>
        <v>0</v>
      </c>
      <c r="BO230" s="2719">
        <f>0</f>
        <v>0</v>
      </c>
      <c r="BP230" s="2719">
        <f>0</f>
        <v>0</v>
      </c>
      <c r="BQ230" s="2719">
        <f>0</f>
        <v>0</v>
      </c>
      <c r="BR230" s="2719">
        <f>0</f>
        <v>0</v>
      </c>
      <c r="BS230" s="2719">
        <f>0</f>
        <v>0</v>
      </c>
      <c r="BT230" s="2719">
        <f>0</f>
        <v>0</v>
      </c>
      <c r="BU230" s="2719">
        <f>0</f>
        <v>0</v>
      </c>
      <c r="BV230" s="2719">
        <f>-1</f>
        <v>-1</v>
      </c>
      <c r="BW230" s="2719">
        <f>1</f>
        <v>1</v>
      </c>
      <c r="BX230" s="2719">
        <f>0</f>
        <v>0</v>
      </c>
      <c r="BY230" s="2719">
        <f>0</f>
        <v>0</v>
      </c>
      <c r="BZ230" s="2719">
        <f>0</f>
        <v>0</v>
      </c>
      <c r="CA230" s="2719">
        <f>0</f>
        <v>0</v>
      </c>
      <c r="CB230" s="2719">
        <f>0</f>
        <v>0</v>
      </c>
      <c r="CC230" s="2719">
        <f>0</f>
        <v>0</v>
      </c>
      <c r="CD230" s="2719">
        <f>0</f>
        <v>0</v>
      </c>
      <c r="CE230" s="2719">
        <f>0</f>
        <v>0</v>
      </c>
      <c r="CF230" s="2719">
        <f>0</f>
        <v>0</v>
      </c>
      <c r="CG230" s="2719">
        <f>0</f>
        <v>0</v>
      </c>
      <c r="CH230" s="2719">
        <f>0</f>
        <v>0</v>
      </c>
      <c r="CI230" s="2719">
        <f>0</f>
        <v>0</v>
      </c>
      <c r="CJ230" s="2719">
        <f>0</f>
        <v>0</v>
      </c>
      <c r="CK230" s="2817">
        <f>0</f>
        <v>0</v>
      </c>
      <c r="CL230" s="2817">
        <f>0</f>
        <v>0</v>
      </c>
      <c r="CM230" s="2817">
        <f>0</f>
        <v>0</v>
      </c>
      <c r="CN230" s="2817">
        <f>0</f>
        <v>0</v>
      </c>
      <c r="CO230" s="2846">
        <f>q_PFOA_SORP*(S_PFOA-(X_PFOA/X_VSS)*(c_g_kg*c_mg_g)/K_OC_PFOA_EQ)</f>
        <v>3.0435581263390325E-6</v>
      </c>
      <c r="CQ230" s="2650">
        <f>E248*E230+F248*F230+G248*G230+H248*H230+I248*I230+J248*J230+K248*K230+L248*L230+M248*M230+N248*N230+O248*O230+P248*P230+Q248*Q230+R248*R230+S248*S230+T248*T230+U248*U230+V248*V230+W248*W230+X248*X230+Y248*Y230+Z248*Z230+AA248*AA230+AB248*AB230+AC248*AC230+AD248*AD230+AE248*AE230+AF248*AF230+AG248*AG230+AH248*AH230+AI248*AI230+AJ248*AJ230+AK248*AK230+AL248*AL230+AM248*AM230+AN248*AN230+AO248*AO230+AP248*AP230+AQ248*AQ230+AR248*AR230+AS248*AS230+AT248*AT230+AU248*AU230+AV248*AV230+AW248*AW230+AX248*AX230+AY248*AY230+AZ248*AZ230+BA248*BA230+BB248*BB230+BC248*BC230+BD248*BD230+BE248*BE230+BF248*BF230+BG248*BG230+BH248*BH230+BI248*BI230+BJ248*BJ230+BK248*BK230+BL248*BL230+BM248*BM230+BN248*BN230+BO248*BO230+BP248*BP230+BQ248*BQ230+BR248*BR230+BS248*BS230+BT248*BT230+BU248*BU230+BV248*BV230+BW248*BW230+BX248*BX230+BY248*BY230+BZ248*BZ230+CA248*CA230+CB248*CB230+CC248*CC230+CD248*CD230+CE248*CE230+CF248*CF230+CG248*CG230+CH248*CH230+CI248*CI230+CJ248*CJ230+CK248*CK230+CL248*CL230+CM248*CM230+CN248*CN230</f>
        <v>0</v>
      </c>
      <c r="CR230" s="2650">
        <f>E249*E230+F249*F230+G249*G230+H249*H230+I249*I230+J249*J230+K249*K230+L249*L230+M249*M230+N249*N230+O249*O230+P249*P230+Q249*Q230+R249*R230+S249*S230+T249*T230+U249*U230+V249*V230+W249*W230+X249*X230+Y249*Y230+Z249*Z230+AA249*AA230+AB249*AB230+AC249*AC230+AD249*AD230+AE249*AE230+AF249*AF230+AG249*AG230+AH249*AH230+AI249*AI230+AJ249*AJ230+AK249*AK230+AL249*AL230+AM249*AM230+AN249*AN230+AO249*AO230+AP249*AP230+AQ249*AQ230+AR249*AR230+AS249*AS230+AT249*AT230+AU249*AU230+AV249*AV230+AW249*AW230+AX249*AX230+AY249*AY230+AZ249*AZ230+BA249*BA230+BB249*BB230+BC249*BC230+BD249*BD230+BE249*BE230+BF249*BF230+BG249*BG230+BH249*BH230+BI249*BI230+BJ249*BJ230+BK249*BK230+BL249*BL230+BM249*BM230+BN249*BN230+BO249*BO230+BP249*BP230+BQ249*BQ230+BR249*BR230+BS249*BS230+BT249*BT230+BU249*BU230+BV249*BV230+BW249*BW230+BX249*BX230+BY249*BY230+BZ249*BZ230+CA249*CA230+CB249*CB230+CC249*CC230+CD249*CD230+CE249*CE230+CF249*CF230+CG249*CG230+CH249*CH230+CI249*CI230+CJ249*CJ230+CK249*CK230+CL249*CL230+CM249*CM230+CN249*CN230</f>
        <v>0</v>
      </c>
      <c r="CS230" s="2651">
        <f>E250*E230+F250*F230+G250*G230+H250*H230+I250*I230+J250*J230+K250*K230+L250*L230+M250*M230+N250*N230+O250*O230+P250*P230+Q250*Q230+R250*R230+S250*S230+T250*T230+U250*U230+V250*V230+W250*W230+X250*X230+Y250*Y230+Z250*Z230+AA250*AA230+AB250*AB230+AC250*AC230+AD250*AD230+AE250*AE230+AF250*AF230+AG250*AG230+AH250*AH230+AI250*AI230+AJ250*AJ230+AK250*AK230+AL250*AL230+AM250*AM230+AN250*AN230+AO250*AO230+AP250*AP230+AQ250*AQ230+AR250*AR230+AS250*AS230+AT250*AT230+AU250*AU230+AV250*AV230+AW250*AW230+AX250*AX230+AY250*AY230+AZ250*AZ230+BA250*BA230+BB250*BB230+BC250*BC230+BD250*BD230+BE250*BE230+BF250*BF230+BG250*BG230+BH250*BH230+BI250*BI230+BJ250*BJ230+BK250*BK230+BL250*BL230+BM250*BM230+BN250*BN230+BO250*BO230+BP250*BP230+BQ250*BQ230+BR250*BR230+BS250*BS230+BT250*BT230+BU250*BU230+BV250*BV230+BW250*BW230+BX250*BX230+BY250*BY230+BZ250*BZ230+CA250*CA230+CB250*CB230+CC250*CC230+CD250*CD230+CE250*CE230+CF250*CF230+CG250*CG230+CH250*CH230+CI250*CI230+CJ250*CJ230+CK250*CK230+CL250*CL230+CM250*CM230+CN250*CN230</f>
        <v>0</v>
      </c>
      <c r="CT230" s="2652">
        <f>E251*E230+F251*F230+G251*G230+H251*H230+I251*I230+J251*J230+K251*K230+L251*L230+M251*M230+N251*N230+O251*O230+P251*P230+Q251*Q230+R251*R230+S251*S230+T251*T230+U251*U230+V251*V230+W251*W230+X251*X230+Y251*Y230+Z251*Z230+AA251*AA230+AB251*AB230+AC251*AC230+AD251*AD230+AE251*AE230+AF251*AF230+AG251*AG230+AH251*AH230+AI251*AI230+AJ251*AJ230+AK251*AK230+AL251*AL230+AM251*AM230+AN251*AN230+AO251*AO230+AP251*AP230+AQ251*AQ230+AR251*AR230+AS251*AS230+AT251*AT230+AU251*AU230+AV251*AV230+AW251*AW230+AX251*AX230+AY251*AY230+AZ251*AZ230+BA251*BA230+BB251*BB230+BC251*BC230+BD251*BD230+BE251*BE230+BF251*BF230+BG251*BG230+BH251*BH230+BI251*BI230+BJ251*BJ230+BK251*BK230+BL251*BL230+BM251*BM230+BN251*BN230+BO251*BO230+BP251*BP230+BQ251*BQ230+BR251*BR230+BS251*BS230+BT251*BT230+BU251*BU230+BV251*BV230+BW251*BW230+BX251*BX230+BY251*BY230+BZ251*BZ230+CA251*CA230+CB251*CB230+CC251*CC230+CD251*CD230+CE251*CE230+CF251*CF230+CG251*CG230+CH251*CH230+CI251*CI230+CJ251*CJ230+CK251*CK230+CL251*CL230+CM251*CM230+CN251*CN230</f>
        <v>0</v>
      </c>
      <c r="CU230" s="2652">
        <f>E252*E230+F252*F230+G252*G230+H252*H230+I252*I230+J252*J230+K252*K230+L252*L230+M252*M230+N252*N230+O252*O230+P252*P230+Q252*Q230+R252*R230+S252*S230+T252*T230+U252*U230+V252*V230+W252*W230+X252*X230+Y252*Y230+Z252*Z230+AA252*AA230+AB252*AB230+AC252*AC230+AD252*AD230+AE252*AE230+AF252*AF230+AG252*AG230+AH252*AH230+AI252*AI230+AJ252*AJ230+AK252*AK230+AL252*AL230+AM252*AM230+AN252*AN230+AO252*AO230+AP252*AP230+AQ252*AQ230+AR252*AR230+AS252*AS230+AT252*AT230+AU252*AU230+AV252*AV230+AW252*AW230+AX252*AX230+AY252*AY230+AZ252*AZ230+BA252*BA230+BB252*BB230+BC252*BC230+BD252*BD230+BE252*BE230+BF252*BF230+BG252*BG230+BH252*BH230+BI252*BI230+BJ252*BJ230+BK252*BK230+BL252*BL230+BM252*BM230+BN252*BN230+BO252*BO230+BP252*BP230+BQ252*BQ230+BR252*BR230+BS252*BS230+BT252*BT230+BU252*BU230+BV252*BV230+BW252*BW230+BX252*BX230+BY252*BY230+BZ252*BZ230+CA252*CA230+CB252*CB230+CC252*CC230+CD252*CD230+CE252*CE230+CF252*CF230+CG252*CG230+CH252*CH230+CI252*CI230+CJ252*CJ230+CK252*CK230+CL252*CL230+CM252*CM230+CN252*CN230</f>
        <v>0</v>
      </c>
      <c r="CV230" s="2652">
        <f>E253*E230+F253*F230+G253*G230+H253*H230+I253*I230+J253*J230+K253*K230+L253*L230+M253*M230+N253*N230+O253*O230+P253*P230+Q253*Q230+R253*R230+S253*S230+T253*T230+U253*U230+V253*V230+W253*W230+X253*X230+Y253*Y230+Z253*Z230+AA253*AA230+AB253*AB230+AC253*AC230+AD253*AD230+AE253*AE230+AF253*AF230+AG253*AG230+AH253*AH230+AI253*AI230+AJ253*AJ230+AK253*AK230+AL253*AL230+AM253*AM230+AN253*AN230+AO253*AO230+AP253*AP230+AQ253*AQ230+AR253*AR230+AS253*AS230+AT253*AT230+AU253*AU230+AV253*AV230+AW253*AW230+AX253*AX230+AY253*AY230+AZ253*AZ230+BA253*BA230+BB253*BB230+BC253*BC230+BD253*BD230+BE253*BE230+BF253*BF230+BG253*BG230+BH253*BH230+BI253*BI230+BJ253*BJ230+BK253*BK230+BL253*BL230+BM253*BM230+BN253*BN230+BO253*BO230+BP253*BP230+BQ253*BQ230+BR253*BR230+BS253*BS230+BT253*BT230+BU253*BU230+BV253*BV230+BW253*BW230+BX253*BX230+BY253*BY230+BZ253*BZ230+CA253*CA230+CB253*CB230+CC253*CC230+CD253*CD230+CE253*CE230+CF253*CF230+CG253*CG230+CH253*CH230+CI253*CI230+CJ253*CJ230+CK253*CK230+CL253*CL230+CM253*CM230+CN253*CN230</f>
        <v>0</v>
      </c>
      <c r="CW230" s="2652">
        <f>E254*E230+F254*F230+G254*G230+H254*H230+I254*I230+J254*J230+K254*K230+L254*L230+M254*M230+N254*N230+O254*O230+P254*P230+Q254*Q230+R254*R230+S254*S230+T254*T230+U254*U230+V254*V230+W254*W230+X254*X230+Y254*Y230+Z254*Z230+AA254*AA230+AB254*AB230+AC254*AC230+AD254*AD230+AE254*AE230+AF254*AF230+AG254*AG230+AH254*AH230+AI254*AI230+AJ254*AJ230+AK254*AK230+AL254*AL230+AM254*AM230+AN254*AN230+AO254*AO230+AP254*AP230+AQ254*AQ230+AR254*AR230+AS254*AS230+AT254*AT230+AU254*AU230+AV254*AV230+AW254*AW230+AX254*AX230+AY254*AY230+AZ254*AZ230+BA254*BA230+BB254*BB230+BC254*BC230+BD254*BD230+BE254*BE230+BF254*BF230+BG254*BG230+BH254*BH230+BI254*BI230+BJ254*BJ230+BK254*BK230+BL254*BL230+BM254*BM230+BN254*BN230+BO254*BO230+BP254*BP230+BQ254*BQ230+BR254*BR230+BS254*BS230+BT254*BT230+BU254*BU230+BV254*BV230+BW254*BW230+BX254*BX230+BY254*BY230+BZ254*BZ230+CA254*CA230+CB254*CB230+CC254*CC230+CD254*CD230+CE254*CE230+CF254*CF230+CG254*CG230+CH254*CH230+CI254*CI230+CJ254*CJ230+CK254*CK230+CL254*CL230+CM254*CM230+CN254*CN230</f>
        <v>0</v>
      </c>
      <c r="CX230" s="2652">
        <f>E255*E230+F255*F230+G255*G230+H255*H230+I255*I230+J255*J230+K255*K230+L255*L230+M255*M230+N255*N230+O255*O230+P255*P230+Q255*Q230+R255*R230+S255*S230+T255*T230+U255*U230+V255*V230+W255*W230+X255*X230+Y255*Y230+Z255*Z230+AA255*AA230+AB255*AB230+AC255*AC230+AD255*AD230+AE255*AE230+AF255*AF230+AG255*AG230+AH255*AH230+AI255*AI230+AJ255*AJ230+AK255*AK230+AL255*AL230+AM255*AM230+AN255*AN230+AO255*AO230+AP255*AP230+AQ255*AQ230+AR255*AR230+AS255*AS230+AT255*AT230+AU255*AU230+AV255*AV230+AW255*AW230+AX255*AX230+AY255*AY230+AZ255*AZ230+BA255*BA230+BB255*BB230+BC255*BC230+BD255*BD230+BE255*BE230+BF255*BF230+BG255*BG230+BH255*BH230+BI255*BI230+BJ255*BJ230+BK255*BK230+BL255*BL230+BM255*BM230+BN255*BN230+BO255*BO230+BP255*BP230+BQ255*BQ230+BR255*BR230+BS255*BS230+BT255*BT230+BU255*BU230+BV255*BV230+BW255*BW230+BX255*BX230+BY255*BY230+BZ255*BZ230+CA255*CA230+CB255*CB230+CC255*CC230+CD255*CD230+CE255*CE230+CF255*CF230+CG255*CG230+CH255*CH230+CI255*CI230+CJ255*CJ230+CK255*CK230+CL255*CL230+CM255*CM230+CN255*CN230</f>
        <v>0</v>
      </c>
      <c r="CY230" s="2652">
        <f>E256*E230+F256*F230+G256*G230+H256*H230+I256*I230+J256*J230+K256*K230+L256*L230+M256*M230+N256*N230+O256*O230+P256*P230+Q256*Q230+R256*R230+S256*S230+T256*T230+U256*U230+V256*V230+W256*W230+X256*X230+Y256*Y230+Z256*Z230+AA256*AA230+AB256*AB230+AC256*AC230+AD256*AD230+AE256*AE230+AF256*AF230+AG256*AG230+AH256*AH230+AI256*AI230+AJ256*AJ230+AK256*AK230+AL256*AL230+AM256*AM230+AN256*AN230+AO256*AO230+AP256*AP230+AQ256*AQ230+AR256*AR230+AS256*AS230+AT256*AT230+AU256*AU230+AV256*AV230+AW256*AW230+AX256*AX230+AY256*AY230+AZ256*AZ230+BA256*BA230+BB256*BB230+BC256*BC230+BD256*BD230+BE256*BE230+BF256*BF230+BG256*BG230+BH256*BH230+BI256*BI230+BJ256*BJ230+BK256*BK230+BL256*BL230+BM256*BM230+BN256*BN230+BO256*BO230+BP256*BP230+BQ256*BQ230+BR256*BR230+BS256*BS230+BT256*BT230+BU256*BU230+BV256*BV230+BW256*BW230+BX256*BX230+BY256*BY230+BZ256*BZ230+CA256*CA230+CB256*CB230+CC256*CC230+CD256*CD230+CE256*CE230+CF256*CF230+CG256*CG230+CH256*CH230+CI256*CI230+CJ256*CJ230+CK256*CK230+CL256*CL230+CM256*CM230+CN256*CN230</f>
        <v>0</v>
      </c>
      <c r="CZ230" s="2652">
        <f>E257*E230+F257*F230+G257*G230+H257*H230+I257*I230+J257*J230+K257*K230+L257*L230+M257*M230+N257*N230+O257*O230+P257*P230+Q257*Q230+R257*R230+S257*S230+T257*T230+U257*U230+V257*V230+W257*W230+X257*X230+Y257*Y230+Z257*Z230+AA257*AA230+AB257*AB230+AC257*AC230+AD257*AD230+AE257*AE230+AF257*AF230+AG257*AG230+AH257*AH230+AI257*AI230+AJ257*AJ230+AK257*AK230+AL257*AL230+AM257*AM230+AN257*AN230+AO257*AO230+AP257*AP230+AQ257*AQ230+AR257*AR230+AS257*AS230+AT257*AT230+AU257*AU230+AV257*AV230+AW257*AW230+AX257*AX230+AY257*AY230+AZ257*AZ230+BA257*BA230+BB257*BB230+BC257*BC230+BD257*BD230+BE257*BE230+BF257*BF230+BG257*BG230+BH257*BH230+BI257*BI230+BJ257*BJ230+BK257*BK230+BL257*BL230+BM257*BM230+BN257*BN230+BO257*BO230+BP257*BP230+BQ257*BQ230+BR257*BR230+BS257*BS230+BT257*BT230+BU257*BU230+BV257*BV230+BW257*BW230+BX257*BX230+BY257*BY230+BZ257*BZ230+CA257*CA230+CB257*CB230+CC257*CC230+CD257*CD230+CE257*CE230+CF257*CF230+CG257*CG230+CH257*CH230+CI257*CI230+CJ257*CJ230+CK257*CK230+CL257*CL230+CM257*CM230+CN257*CN230</f>
        <v>0</v>
      </c>
      <c r="DA230" s="2652">
        <f>E258*E230+F258*F230+G258*G230+H258*H230+I258*I230+J258*J230+K258*K230+L258*L230+M258*M230+N258*N230+O258*O230+P258*P230+Q258*Q230+R258*R230+S258*S230+T258*T230+U258*U230+V258*V230+W258*W230+X258*X230+Y258*Y230+Z258*Z230+AA258*AA230+AB258*AB230+AC258*AC230+AD258*AD230+AE258*AE230+AF258*AF230+AG258*AG230+AH258*AH230+AI258*AI230+AJ258*AJ230+AK258*AK230+AL258*AL230+AM258*AM230+AN258*AN230+AO258*AO230+AP258*AP230+AQ258*AQ230+AR258*AR230+AS258*AS230+AT258*AT230+AU258*AU230+AV258*AV230+AW258*AW230+AX258*AX230+AY258*AY230+AZ258*AZ230+BA258*BA230+BB258*BB230+BC258*BC230+BD258*BD230+BE258*BE230+BF258*BF230+BG258*BG230+BH258*BH230+BI258*BI230+BJ258*BJ230+BK258*BK230+BL258*BL230+BM258*BM230+BN258*BN230+BO258*BO230+BP258*BP230+BQ258*BQ230+BR258*BR230+BS258*BS230+BT258*BT230+BU258*BU230+BV258*BV230+BW258*BW230+BX258*BX230+BY258*BY230+BZ258*BZ230+CA258*CA230+CB258*CB230+CC258*CC230+CD258*CD230+CE258*CE230+CF258*CF230+CG258*CG230+CH258*CH230+CI258*CI230+CJ258*CJ230+CK258*CK230+CL258*CL230+CM258*CM230+CN258*CN230</f>
        <v>0</v>
      </c>
    </row>
    <row r="231" spans="2:105" ht="18" x14ac:dyDescent="0.25">
      <c r="B231" s="2506">
        <v>98</v>
      </c>
      <c r="C231" s="2507" t="s">
        <v>3564</v>
      </c>
      <c r="D231" s="2508" t="s">
        <v>5100</v>
      </c>
      <c r="E231" s="2701">
        <f>0</f>
        <v>0</v>
      </c>
      <c r="F231" s="2701">
        <f>0</f>
        <v>0</v>
      </c>
      <c r="G231" s="2701">
        <f>0</f>
        <v>0</v>
      </c>
      <c r="H231" s="2701">
        <f>0</f>
        <v>0</v>
      </c>
      <c r="I231" s="2701">
        <f>0</f>
        <v>0</v>
      </c>
      <c r="J231" s="2719">
        <f>0</f>
        <v>0</v>
      </c>
      <c r="K231" s="2719">
        <f>0</f>
        <v>0</v>
      </c>
      <c r="L231" s="2701">
        <f>0</f>
        <v>0</v>
      </c>
      <c r="M231" s="2701">
        <f>0</f>
        <v>0</v>
      </c>
      <c r="N231" s="2701">
        <f>0</f>
        <v>0</v>
      </c>
      <c r="O231" s="2701">
        <f>0</f>
        <v>0</v>
      </c>
      <c r="P231" s="2701">
        <f>0</f>
        <v>0</v>
      </c>
      <c r="Q231" s="2701">
        <f>0</f>
        <v>0</v>
      </c>
      <c r="R231" s="2701">
        <f>0</f>
        <v>0</v>
      </c>
      <c r="S231" s="2701">
        <f>0</f>
        <v>0</v>
      </c>
      <c r="T231" s="2701">
        <f>0</f>
        <v>0</v>
      </c>
      <c r="U231" s="2701">
        <f>0</f>
        <v>0</v>
      </c>
      <c r="V231" s="2701">
        <f>0</f>
        <v>0</v>
      </c>
      <c r="W231" s="2701">
        <f>0</f>
        <v>0</v>
      </c>
      <c r="X231" s="2701">
        <f>0</f>
        <v>0</v>
      </c>
      <c r="Y231" s="2701">
        <f>0</f>
        <v>0</v>
      </c>
      <c r="Z231" s="2701">
        <f>0</f>
        <v>0</v>
      </c>
      <c r="AA231" s="2701">
        <f>0</f>
        <v>0</v>
      </c>
      <c r="AB231" s="2719">
        <f>0</f>
        <v>0</v>
      </c>
      <c r="AC231" s="2719">
        <f>0</f>
        <v>0</v>
      </c>
      <c r="AD231" s="2719">
        <f>0</f>
        <v>0</v>
      </c>
      <c r="AE231" s="2719">
        <f>0</f>
        <v>0</v>
      </c>
      <c r="AF231" s="2719">
        <f>0</f>
        <v>0</v>
      </c>
      <c r="AG231" s="2719">
        <f>0</f>
        <v>0</v>
      </c>
      <c r="AH231" s="2719">
        <f>0</f>
        <v>0</v>
      </c>
      <c r="AI231" s="2719">
        <f>0</f>
        <v>0</v>
      </c>
      <c r="AJ231" s="2719">
        <f>0</f>
        <v>0</v>
      </c>
      <c r="AK231" s="2719">
        <f>0</f>
        <v>0</v>
      </c>
      <c r="AL231" s="2719">
        <f>0</f>
        <v>0</v>
      </c>
      <c r="AM231" s="2719">
        <f>0</f>
        <v>0</v>
      </c>
      <c r="AN231" s="2701">
        <f>0</f>
        <v>0</v>
      </c>
      <c r="AO231" s="2719">
        <f>0</f>
        <v>0</v>
      </c>
      <c r="AP231" s="2719">
        <f>0</f>
        <v>0</v>
      </c>
      <c r="AQ231" s="2719">
        <f>0</f>
        <v>0</v>
      </c>
      <c r="AR231" s="2719">
        <f>0</f>
        <v>0</v>
      </c>
      <c r="AS231" s="2701">
        <f>0</f>
        <v>0</v>
      </c>
      <c r="AT231" s="2719">
        <f>0</f>
        <v>0</v>
      </c>
      <c r="AU231" s="2719">
        <f>0</f>
        <v>0</v>
      </c>
      <c r="AV231" s="2719">
        <f>0</f>
        <v>0</v>
      </c>
      <c r="AW231" s="2719">
        <f>0</f>
        <v>0</v>
      </c>
      <c r="AX231" s="2719">
        <f>0</f>
        <v>0</v>
      </c>
      <c r="AY231" s="2719">
        <f>0</f>
        <v>0</v>
      </c>
      <c r="AZ231" s="2719">
        <f>0</f>
        <v>0</v>
      </c>
      <c r="BA231" s="2719">
        <f>0</f>
        <v>0</v>
      </c>
      <c r="BB231" s="2719">
        <f>0</f>
        <v>0</v>
      </c>
      <c r="BC231" s="2719">
        <f>0</f>
        <v>0</v>
      </c>
      <c r="BD231" s="2719">
        <f>0</f>
        <v>0</v>
      </c>
      <c r="BE231" s="2719">
        <f>0</f>
        <v>0</v>
      </c>
      <c r="BF231" s="2719">
        <f>0</f>
        <v>0</v>
      </c>
      <c r="BG231" s="2719">
        <f>0</f>
        <v>0</v>
      </c>
      <c r="BH231" s="2719">
        <f>0</f>
        <v>0</v>
      </c>
      <c r="BI231" s="2719">
        <f>0</f>
        <v>0</v>
      </c>
      <c r="BJ231" s="2719">
        <f>0</f>
        <v>0</v>
      </c>
      <c r="BK231" s="2719">
        <f>0</f>
        <v>0</v>
      </c>
      <c r="BL231" s="2719">
        <f>0</f>
        <v>0</v>
      </c>
      <c r="BM231" s="2719">
        <f>0</f>
        <v>0</v>
      </c>
      <c r="BN231" s="2719">
        <f>0</f>
        <v>0</v>
      </c>
      <c r="BO231" s="2719">
        <f>0</f>
        <v>0</v>
      </c>
      <c r="BP231" s="2719">
        <f>0</f>
        <v>0</v>
      </c>
      <c r="BQ231" s="2719">
        <f>0</f>
        <v>0</v>
      </c>
      <c r="BR231" s="2719">
        <f>0</f>
        <v>0</v>
      </c>
      <c r="BS231" s="2719">
        <f>0</f>
        <v>0</v>
      </c>
      <c r="BT231" s="2719">
        <f>0</f>
        <v>0</v>
      </c>
      <c r="BU231" s="2719">
        <f>0</f>
        <v>0</v>
      </c>
      <c r="BV231" s="2719">
        <f>0</f>
        <v>0</v>
      </c>
      <c r="BW231" s="2719">
        <f>0</f>
        <v>0</v>
      </c>
      <c r="BX231" s="2719">
        <f>-1</f>
        <v>-1</v>
      </c>
      <c r="BY231" s="2719">
        <f>1</f>
        <v>1</v>
      </c>
      <c r="BZ231" s="2719">
        <f>0</f>
        <v>0</v>
      </c>
      <c r="CA231" s="2719">
        <f>0</f>
        <v>0</v>
      </c>
      <c r="CB231" s="2719">
        <f>0</f>
        <v>0</v>
      </c>
      <c r="CC231" s="2719">
        <f>0</f>
        <v>0</v>
      </c>
      <c r="CD231" s="2719">
        <f>0</f>
        <v>0</v>
      </c>
      <c r="CE231" s="2719">
        <f>0</f>
        <v>0</v>
      </c>
      <c r="CF231" s="2719">
        <f>0</f>
        <v>0</v>
      </c>
      <c r="CG231" s="2719">
        <f>0</f>
        <v>0</v>
      </c>
      <c r="CH231" s="2719">
        <f>0</f>
        <v>0</v>
      </c>
      <c r="CI231" s="2719">
        <f>0</f>
        <v>0</v>
      </c>
      <c r="CJ231" s="2719">
        <f>0</f>
        <v>0</v>
      </c>
      <c r="CK231" s="2817">
        <f>0</f>
        <v>0</v>
      </c>
      <c r="CL231" s="2817">
        <f>0</f>
        <v>0</v>
      </c>
      <c r="CM231" s="2817">
        <f>0</f>
        <v>0</v>
      </c>
      <c r="CN231" s="2817">
        <f>0</f>
        <v>0</v>
      </c>
      <c r="CO231" s="2846">
        <f>q_PFOS_SORP*(S_PFOS-(X_PFOS/X_VSS)*(c_g_kg*c_mg_g)/K_OC_PFOS_EQ)</f>
        <v>3.2808895315847577E-6</v>
      </c>
      <c r="CQ231" s="2650">
        <f>E248*E231+F248*F231+G248*G231+H248*H231+I248*I231+J248*J231+K248*K231+L248*L231+M248*M231+N248*N231+O248*O231+P248*P231+Q248*Q231+R248*R231+S248*S231+T248*T231+U248*U231+V248*V231+W248*W231+X248*X231+Y248*Y231+Z248*Z231+AA248*AA231+AB248*AB231+AC248*AC231+AD248*AD231+AE248*AE231+AF248*AF231+AG248*AG231+AH248*AH231+AI248*AI231+AJ248*AJ231+AK248*AK231+AL248*AL231+AM248*AM231+AN248*AN231+AO248*AO231+AP248*AP231+AQ248*AQ231+AR248*AR231+AS248*AS231+AT248*AT231+AU248*AU231+AV248*AV231+AW248*AW231+AX248*AX231+AY248*AY231+AZ248*AZ231+BA248*BA231+BB248*BB231+BC248*BC231+BD248*BD231+BE248*BE231+BF248*BF231+BG248*BG231+BH248*BH231+BI248*BI231+BJ248*BJ231+BK248*BK231+BL248*BL231+BM248*BM231+BN248*BN231+BO248*BO231+BP248*BP231+BQ248*BQ231+BR248*BR231+BS248*BS231+BT248*BT231+BU248*BU231+BV248*BV231+BW248*BW231+BX248*BX231+BY248*BY231+BZ248*BZ231+CA248*CA231+CB248*CB231+CC248*CC231+CD248*CD231+CE248*CE231+CF248*CF231+CG248*CG231+CH248*CH231+CI248*CI231+CJ248*CJ231+CK248*CK231+CL248*CL231+CM248*CM231+CN248*CN231</f>
        <v>0</v>
      </c>
      <c r="CR231" s="2650">
        <f>E249*E231+F249*F231+G249*G231+H249*H231+I249*I231+J249*J231+K249*K231+L249*L231+M249*M231+N249*N231+O249*O231+P249*P231+Q249*Q231+R249*R231+S249*S231+T249*T231+U249*U231+V249*V231+W249*W231+X249*X231+Y249*Y231+Z249*Z231+AA249*AA231+AB249*AB231+AC249*AC231+AD249*AD231+AE249*AE231+AF249*AF231+AG249*AG231+AH249*AH231+AI249*AI231+AJ249*AJ231+AK249*AK231+AL249*AL231+AM249*AM231+AN249*AN231+AO249*AO231+AP249*AP231+AQ249*AQ231+AR249*AR231+AS249*AS231+AT249*AT231+AU249*AU231+AV249*AV231+AW249*AW231+AX249*AX231+AY249*AY231+AZ249*AZ231+BA249*BA231+BB249*BB231+BC249*BC231+BD249*BD231+BE249*BE231+BF249*BF231+BG249*BG231+BH249*BH231+BI249*BI231+BJ249*BJ231+BK249*BK231+BL249*BL231+BM249*BM231+BN249*BN231+BO249*BO231+BP249*BP231+BQ249*BQ231+BR249*BR231+BS249*BS231+BT249*BT231+BU249*BU231+BV249*BV231+BW249*BW231+BX249*BX231+BY249*BY231+BZ249*BZ231+CA249*CA231+CB249*CB231+CC249*CC231+CD249*CD231+CE249*CE231+CF249*CF231+CG249*CG231+CH249*CH231+CI249*CI231+CJ249*CJ231+CK249*CK231+CL249*CL231+CM249*CM231+CN249*CN231</f>
        <v>0</v>
      </c>
      <c r="CS231" s="2651">
        <f>E250*E231+F250*F231+G250*G231+H250*H231+I250*I231+J250*J231+K250*K231+L250*L231+M250*M231+N250*N231+O250*O231+P250*P231+Q250*Q231+R250*R231+S250*S231+T250*T231+U250*U231+V250*V231+W250*W231+X250*X231+Y250*Y231+Z250*Z231+AA250*AA231+AB250*AB231+AC250*AC231+AD250*AD231+AE250*AE231+AF250*AF231+AG250*AG231+AH250*AH231+AI250*AI231+AJ250*AJ231+AK250*AK231+AL250*AL231+AM250*AM231+AN250*AN231+AO250*AO231+AP250*AP231+AQ250*AQ231+AR250*AR231+AS250*AS231+AT250*AT231+AU250*AU231+AV250*AV231+AW250*AW231+AX250*AX231+AY250*AY231+AZ250*AZ231+BA250*BA231+BB250*BB231+BC250*BC231+BD250*BD231+BE250*BE231+BF250*BF231+BG250*BG231+BH250*BH231+BI250*BI231+BJ250*BJ231+BK250*BK231+BL250*BL231+BM250*BM231+BN250*BN231+BO250*BO231+BP250*BP231+BQ250*BQ231+BR250*BR231+BS250*BS231+BT250*BT231+BU250*BU231+BV250*BV231+BW250*BW231+BX250*BX231+BY250*BY231+BZ250*BZ231+CA250*CA231+CB250*CB231+CC250*CC231+CD250*CD231+CE250*CE231+CF250*CF231+CG250*CG231+CH250*CH231+CI250*CI231+CJ250*CJ231+CK250*CK231+CL250*CL231+CM250*CM231+CN250*CN231</f>
        <v>0</v>
      </c>
      <c r="CT231" s="2652">
        <f>E251*E231+F251*F231+G251*G231+H251*H231+I251*I231+J251*J231+K251*K231+L251*L231+M251*M231+N251*N231+O251*O231+P251*P231+Q251*Q231+R251*R231+S251*S231+T251*T231+U251*U231+V251*V231+W251*W231+X251*X231+Y251*Y231+Z251*Z231+AA251*AA231+AB251*AB231+AC251*AC231+AD251*AD231+AE251*AE231+AF251*AF231+AG251*AG231+AH251*AH231+AI251*AI231+AJ251*AJ231+AK251*AK231+AL251*AL231+AM251*AM231+AN251*AN231+AO251*AO231+AP251*AP231+AQ251*AQ231+AR251*AR231+AS251*AS231+AT251*AT231+AU251*AU231+AV251*AV231+AW251*AW231+AX251*AX231+AY251*AY231+AZ251*AZ231+BA251*BA231+BB251*BB231+BC251*BC231+BD251*BD231+BE251*BE231+BF251*BF231+BG251*BG231+BH251*BH231+BI251*BI231+BJ251*BJ231+BK251*BK231+BL251*BL231+BM251*BM231+BN251*BN231+BO251*BO231+BP251*BP231+BQ251*BQ231+BR251*BR231+BS251*BS231+BT251*BT231+BU251*BU231+BV251*BV231+BW251*BW231+BX251*BX231+BY251*BY231+BZ251*BZ231+CA251*CA231+CB251*CB231+CC251*CC231+CD251*CD231+CE251*CE231+CF251*CF231+CG251*CG231+CH251*CH231+CI251*CI231+CJ251*CJ231+CK251*CK231+CL251*CL231+CM251*CM231+CN251*CN231</f>
        <v>0</v>
      </c>
      <c r="CU231" s="2652">
        <f>E252*E231+F252*F231+G252*G231+H252*H231+I252*I231+J252*J231+K252*K231+L252*L231+M252*M231+N252*N231+O252*O231+P252*P231+Q252*Q231+R252*R231+S252*S231+T252*T231+U252*U231+V252*V231+W252*W231+X252*X231+Y252*Y231+Z252*Z231+AA252*AA231+AB252*AB231+AC252*AC231+AD252*AD231+AE252*AE231+AF252*AF231+AG252*AG231+AH252*AH231+AI252*AI231+AJ252*AJ231+AK252*AK231+AL252*AL231+AM252*AM231+AN252*AN231+AO252*AO231+AP252*AP231+AQ252*AQ231+AR252*AR231+AS252*AS231+AT252*AT231+AU252*AU231+AV252*AV231+AW252*AW231+AX252*AX231+AY252*AY231+AZ252*AZ231+BA252*BA231+BB252*BB231+BC252*BC231+BD252*BD231+BE252*BE231+BF252*BF231+BG252*BG231+BH252*BH231+BI252*BI231+BJ252*BJ231+BK252*BK231+BL252*BL231+BM252*BM231+BN252*BN231+BO252*BO231+BP252*BP231+BQ252*BQ231+BR252*BR231+BS252*BS231+BT252*BT231+BU252*BU231+BV252*BV231+BW252*BW231+BX252*BX231+BY252*BY231+BZ252*BZ231+CA252*CA231+CB252*CB231+CC252*CC231+CD252*CD231+CE252*CE231+CF252*CF231+CG252*CG231+CH252*CH231+CI252*CI231+CJ252*CJ231+CK252*CK231+CL252*CL231+CM252*CM231+CN252*CN231</f>
        <v>0</v>
      </c>
      <c r="CV231" s="2652">
        <f>E253*E231+F253*F231+G253*G231+H253*H231+I253*I231+J253*J231+K253*K231+L253*L231+M253*M231+N253*N231+O253*O231+P253*P231+Q253*Q231+R253*R231+S253*S231+T253*T231+U253*U231+V253*V231+W253*W231+X253*X231+Y253*Y231+Z253*Z231+AA253*AA231+AB253*AB231+AC253*AC231+AD253*AD231+AE253*AE231+AF253*AF231+AG253*AG231+AH253*AH231+AI253*AI231+AJ253*AJ231+AK253*AK231+AL253*AL231+AM253*AM231+AN253*AN231+AO253*AO231+AP253*AP231+AQ253*AQ231+AR253*AR231+AS253*AS231+AT253*AT231+AU253*AU231+AV253*AV231+AW253*AW231+AX253*AX231+AY253*AY231+AZ253*AZ231+BA253*BA231+BB253*BB231+BC253*BC231+BD253*BD231+BE253*BE231+BF253*BF231+BG253*BG231+BH253*BH231+BI253*BI231+BJ253*BJ231+BK253*BK231+BL253*BL231+BM253*BM231+BN253*BN231+BO253*BO231+BP253*BP231+BQ253*BQ231+BR253*BR231+BS253*BS231+BT253*BT231+BU253*BU231+BV253*BV231+BW253*BW231+BX253*BX231+BY253*BY231+BZ253*BZ231+CA253*CA231+CB253*CB231+CC253*CC231+CD253*CD231+CE253*CE231+CF253*CF231+CG253*CG231+CH253*CH231+CI253*CI231+CJ253*CJ231+CK253*CK231+CL253*CL231+CM253*CM231+CN253*CN231</f>
        <v>0</v>
      </c>
      <c r="CW231" s="2652">
        <f>E254*E231+F254*F231+G254*G231+H254*H231+I254*I231+J254*J231+K254*K231+L254*L231+M254*M231+N254*N231+O254*O231+P254*P231+Q254*Q231+R254*R231+S254*S231+T254*T231+U254*U231+V254*V231+W254*W231+X254*X231+Y254*Y231+Z254*Z231+AA254*AA231+AB254*AB231+AC254*AC231+AD254*AD231+AE254*AE231+AF254*AF231+AG254*AG231+AH254*AH231+AI254*AI231+AJ254*AJ231+AK254*AK231+AL254*AL231+AM254*AM231+AN254*AN231+AO254*AO231+AP254*AP231+AQ254*AQ231+AR254*AR231+AS254*AS231+AT254*AT231+AU254*AU231+AV254*AV231+AW254*AW231+AX254*AX231+AY254*AY231+AZ254*AZ231+BA254*BA231+BB254*BB231+BC254*BC231+BD254*BD231+BE254*BE231+BF254*BF231+BG254*BG231+BH254*BH231+BI254*BI231+BJ254*BJ231+BK254*BK231+BL254*BL231+BM254*BM231+BN254*BN231+BO254*BO231+BP254*BP231+BQ254*BQ231+BR254*BR231+BS254*BS231+BT254*BT231+BU254*BU231+BV254*BV231+BW254*BW231+BX254*BX231+BY254*BY231+BZ254*BZ231+CA254*CA231+CB254*CB231+CC254*CC231+CD254*CD231+CE254*CE231+CF254*CF231+CG254*CG231+CH254*CH231+CI254*CI231+CJ254*CJ231+CK254*CK231+CL254*CL231+CM254*CM231+CN254*CN231</f>
        <v>0</v>
      </c>
      <c r="CX231" s="2652">
        <f>E255*E231+F255*F231+G255*G231+H255*H231+I255*I231+J255*J231+K255*K231+L255*L231+M255*M231+N255*N231+O255*O231+P255*P231+Q255*Q231+R255*R231+S255*S231+T255*T231+U255*U231+V255*V231+W255*W231+X255*X231+Y255*Y231+Z255*Z231+AA255*AA231+AB255*AB231+AC255*AC231+AD255*AD231+AE255*AE231+AF255*AF231+AG255*AG231+AH255*AH231+AI255*AI231+AJ255*AJ231+AK255*AK231+AL255*AL231+AM255*AM231+AN255*AN231+AO255*AO231+AP255*AP231+AQ255*AQ231+AR255*AR231+AS255*AS231+AT255*AT231+AU255*AU231+AV255*AV231+AW255*AW231+AX255*AX231+AY255*AY231+AZ255*AZ231+BA255*BA231+BB255*BB231+BC255*BC231+BD255*BD231+BE255*BE231+BF255*BF231+BG255*BG231+BH255*BH231+BI255*BI231+BJ255*BJ231+BK255*BK231+BL255*BL231+BM255*BM231+BN255*BN231+BO255*BO231+BP255*BP231+BQ255*BQ231+BR255*BR231+BS255*BS231+BT255*BT231+BU255*BU231+BV255*BV231+BW255*BW231+BX255*BX231+BY255*BY231+BZ255*BZ231+CA255*CA231+CB255*CB231+CC255*CC231+CD255*CD231+CE255*CE231+CF255*CF231+CG255*CG231+CH255*CH231+CI255*CI231+CJ255*CJ231+CK255*CK231+CL255*CL231+CM255*CM231+CN255*CN231</f>
        <v>0</v>
      </c>
      <c r="CY231" s="2652">
        <f>E256*E231+F256*F231+G256*G231+H256*H231+I256*I231+J256*J231+K256*K231+L256*L231+M256*M231+N256*N231+O256*O231+P256*P231+Q256*Q231+R256*R231+S256*S231+T256*T231+U256*U231+V256*V231+W256*W231+X256*X231+Y256*Y231+Z256*Z231+AA256*AA231+AB256*AB231+AC256*AC231+AD256*AD231+AE256*AE231+AF256*AF231+AG256*AG231+AH256*AH231+AI256*AI231+AJ256*AJ231+AK256*AK231+AL256*AL231+AM256*AM231+AN256*AN231+AO256*AO231+AP256*AP231+AQ256*AQ231+AR256*AR231+AS256*AS231+AT256*AT231+AU256*AU231+AV256*AV231+AW256*AW231+AX256*AX231+AY256*AY231+AZ256*AZ231+BA256*BA231+BB256*BB231+BC256*BC231+BD256*BD231+BE256*BE231+BF256*BF231+BG256*BG231+BH256*BH231+BI256*BI231+BJ256*BJ231+BK256*BK231+BL256*BL231+BM256*BM231+BN256*BN231+BO256*BO231+BP256*BP231+BQ256*BQ231+BR256*BR231+BS256*BS231+BT256*BT231+BU256*BU231+BV256*BV231+BW256*BW231+BX256*BX231+BY256*BY231+BZ256*BZ231+CA256*CA231+CB256*CB231+CC256*CC231+CD256*CD231+CE256*CE231+CF256*CF231+CG256*CG231+CH256*CH231+CI256*CI231+CJ256*CJ231+CK256*CK231+CL256*CL231+CM256*CM231+CN256*CN231</f>
        <v>0</v>
      </c>
      <c r="CZ231" s="2652">
        <f>E257*E231+F257*F231+G257*G231+H257*H231+I257*I231+J257*J231+K257*K231+L257*L231+M257*M231+N257*N231+O257*O231+P257*P231+Q257*Q231+R257*R231+S257*S231+T257*T231+U257*U231+V257*V231+W257*W231+X257*X231+Y257*Y231+Z257*Z231+AA257*AA231+AB257*AB231+AC257*AC231+AD257*AD231+AE257*AE231+AF257*AF231+AG257*AG231+AH257*AH231+AI257*AI231+AJ257*AJ231+AK257*AK231+AL257*AL231+AM257*AM231+AN257*AN231+AO257*AO231+AP257*AP231+AQ257*AQ231+AR257*AR231+AS257*AS231+AT257*AT231+AU257*AU231+AV257*AV231+AW257*AW231+AX257*AX231+AY257*AY231+AZ257*AZ231+BA257*BA231+BB257*BB231+BC257*BC231+BD257*BD231+BE257*BE231+BF257*BF231+BG257*BG231+BH257*BH231+BI257*BI231+BJ257*BJ231+BK257*BK231+BL257*BL231+BM257*BM231+BN257*BN231+BO257*BO231+BP257*BP231+BQ257*BQ231+BR257*BR231+BS257*BS231+BT257*BT231+BU257*BU231+BV257*BV231+BW257*BW231+BX257*BX231+BY257*BY231+BZ257*BZ231+CA257*CA231+CB257*CB231+CC257*CC231+CD257*CD231+CE257*CE231+CF257*CF231+CG257*CG231+CH257*CH231+CI257*CI231+CJ257*CJ231+CK257*CK231+CL257*CL231+CM257*CM231+CN257*CN231</f>
        <v>0</v>
      </c>
      <c r="DA231" s="2652">
        <f>E258*E231+F258*F231+G258*G231+H258*H231+I258*I231+J258*J231+K258*K231+L258*L231+M258*M231+N258*N231+O258*O231+P258*P231+Q258*Q231+R258*R231+S258*S231+T258*T231+U258*U231+V258*V231+W258*W231+X258*X231+Y258*Y231+Z258*Z231+AA258*AA231+AB258*AB231+AC258*AC231+AD258*AD231+AE258*AE231+AF258*AF231+AG258*AG231+AH258*AH231+AI258*AI231+AJ258*AJ231+AK258*AK231+AL258*AL231+AM258*AM231+AN258*AN231+AO258*AO231+AP258*AP231+AQ258*AQ231+AR258*AR231+AS258*AS231+AT258*AT231+AU258*AU231+AV258*AV231+AW258*AW231+AX258*AX231+AY258*AY231+AZ258*AZ231+BA258*BA231+BB258*BB231+BC258*BC231+BD258*BD231+BE258*BE231+BF258*BF231+BG258*BG231+BH258*BH231+BI258*BI231+BJ258*BJ231+BK258*BK231+BL258*BL231+BM258*BM231+BN258*BN231+BO258*BO231+BP258*BP231+BQ258*BQ231+BR258*BR231+BS258*BS231+BT258*BT231+BU258*BU231+BV258*BV231+BW258*BW231+BX258*BX231+BY258*BY231+BZ258*BZ231+CA258*CA231+CB258*CB231+CC258*CC231+CD258*CD231+CE258*CE231+CF258*CF231+CG258*CG231+CH258*CH231+CI258*CI231+CJ258*CJ231+CK258*CK231+CL258*CL231+CM258*CM231+CN258*CN231</f>
        <v>0</v>
      </c>
    </row>
    <row r="232" spans="2:105" ht="18" x14ac:dyDescent="0.25">
      <c r="B232" s="2185">
        <v>99</v>
      </c>
      <c r="C232" s="2186" t="s">
        <v>3565</v>
      </c>
      <c r="D232" s="1264" t="s">
        <v>3944</v>
      </c>
      <c r="E232" s="2702">
        <f>0</f>
        <v>0</v>
      </c>
      <c r="F232" s="2702">
        <f>0</f>
        <v>0</v>
      </c>
      <c r="G232" s="2702">
        <f>0</f>
        <v>0</v>
      </c>
      <c r="H232" s="2702">
        <f>0</f>
        <v>0</v>
      </c>
      <c r="I232" s="2702">
        <f>0</f>
        <v>0</v>
      </c>
      <c r="J232" s="2702">
        <f>0</f>
        <v>0</v>
      </c>
      <c r="K232" s="2723">
        <f>0</f>
        <v>0</v>
      </c>
      <c r="L232" s="2702">
        <f>0</f>
        <v>0</v>
      </c>
      <c r="M232" s="2702">
        <f>0</f>
        <v>0</v>
      </c>
      <c r="N232" s="2702">
        <f>0</f>
        <v>0</v>
      </c>
      <c r="O232" s="2702">
        <f>0</f>
        <v>0</v>
      </c>
      <c r="P232" s="2702">
        <f>0</f>
        <v>0</v>
      </c>
      <c r="Q232" s="2702">
        <f>0</f>
        <v>0</v>
      </c>
      <c r="R232" s="2702">
        <f>0</f>
        <v>0</v>
      </c>
      <c r="S232" s="2702">
        <f>0</f>
        <v>0</v>
      </c>
      <c r="T232" s="2702">
        <f>0</f>
        <v>0</v>
      </c>
      <c r="U232" s="2702">
        <f>0</f>
        <v>0</v>
      </c>
      <c r="V232" s="2702">
        <f>0</f>
        <v>0</v>
      </c>
      <c r="W232" s="2702">
        <f>0</f>
        <v>0</v>
      </c>
      <c r="X232" s="2702">
        <f>0</f>
        <v>0</v>
      </c>
      <c r="Y232" s="2702">
        <f>0</f>
        <v>0</v>
      </c>
      <c r="Z232" s="2702">
        <f>0</f>
        <v>0</v>
      </c>
      <c r="AA232" s="2702">
        <f>0</f>
        <v>0</v>
      </c>
      <c r="AB232" s="2702">
        <f>0</f>
        <v>0</v>
      </c>
      <c r="AC232" s="2723">
        <f>0</f>
        <v>0</v>
      </c>
      <c r="AD232" s="2702">
        <f>0</f>
        <v>0</v>
      </c>
      <c r="AE232" s="2702">
        <f>0</f>
        <v>0</v>
      </c>
      <c r="AF232" s="2702">
        <f>0</f>
        <v>0</v>
      </c>
      <c r="AG232" s="2702">
        <f>0</f>
        <v>0</v>
      </c>
      <c r="AH232" s="2702">
        <f>0</f>
        <v>0</v>
      </c>
      <c r="AI232" s="2702">
        <f>0</f>
        <v>0</v>
      </c>
      <c r="AJ232" s="2723">
        <f>0</f>
        <v>0</v>
      </c>
      <c r="AK232" s="2702">
        <f>0</f>
        <v>0</v>
      </c>
      <c r="AL232" s="2702">
        <f>0</f>
        <v>0</v>
      </c>
      <c r="AM232" s="2702">
        <f>0</f>
        <v>0</v>
      </c>
      <c r="AN232" s="2702">
        <f>0</f>
        <v>0</v>
      </c>
      <c r="AO232" s="2702">
        <f>0</f>
        <v>0</v>
      </c>
      <c r="AP232" s="2723">
        <f>0</f>
        <v>0</v>
      </c>
      <c r="AQ232" s="2702">
        <f>0</f>
        <v>0</v>
      </c>
      <c r="AR232" s="2702">
        <f>0</f>
        <v>0</v>
      </c>
      <c r="AS232" s="2702">
        <f>0</f>
        <v>0</v>
      </c>
      <c r="AT232" s="2702">
        <f>0</f>
        <v>0</v>
      </c>
      <c r="AU232" s="2702">
        <f>0</f>
        <v>0</v>
      </c>
      <c r="AV232" s="2702">
        <f>0</f>
        <v>0</v>
      </c>
      <c r="AW232" s="2702">
        <f>0</f>
        <v>0</v>
      </c>
      <c r="AX232" s="2702">
        <f>0</f>
        <v>0</v>
      </c>
      <c r="AY232" s="2702">
        <f>0</f>
        <v>0</v>
      </c>
      <c r="AZ232" s="2702">
        <f>0</f>
        <v>0</v>
      </c>
      <c r="BA232" s="2702">
        <f>0</f>
        <v>0</v>
      </c>
      <c r="BB232" s="2702">
        <f>0</f>
        <v>0</v>
      </c>
      <c r="BC232" s="2702">
        <f>0</f>
        <v>0</v>
      </c>
      <c r="BD232" s="2702">
        <f>0</f>
        <v>0</v>
      </c>
      <c r="BE232" s="2702">
        <f>0</f>
        <v>0</v>
      </c>
      <c r="BF232" s="2702">
        <f>0</f>
        <v>0</v>
      </c>
      <c r="BG232" s="2702">
        <f>0</f>
        <v>0</v>
      </c>
      <c r="BH232" s="2702">
        <f>0</f>
        <v>0</v>
      </c>
      <c r="BI232" s="2702">
        <f>0</f>
        <v>0</v>
      </c>
      <c r="BJ232" s="2782">
        <f>0</f>
        <v>0</v>
      </c>
      <c r="BK232" s="2782">
        <f>0</f>
        <v>0</v>
      </c>
      <c r="BL232" s="2782">
        <f>0</f>
        <v>0</v>
      </c>
      <c r="BM232" s="2782">
        <f>0</f>
        <v>0</v>
      </c>
      <c r="BN232" s="2782">
        <f>0</f>
        <v>0</v>
      </c>
      <c r="BO232" s="2782">
        <f>0</f>
        <v>0</v>
      </c>
      <c r="BP232" s="2782">
        <f>0</f>
        <v>0</v>
      </c>
      <c r="BQ232" s="2702">
        <f>0</f>
        <v>0</v>
      </c>
      <c r="BR232" s="2702">
        <f>0</f>
        <v>0</v>
      </c>
      <c r="BS232" s="2782">
        <f>0</f>
        <v>0</v>
      </c>
      <c r="BT232" s="2702">
        <f>0</f>
        <v>0</v>
      </c>
      <c r="BU232" s="2702">
        <f>0</f>
        <v>0</v>
      </c>
      <c r="BV232" s="2723">
        <f>0</f>
        <v>0</v>
      </c>
      <c r="BW232" s="2723">
        <f>0</f>
        <v>0</v>
      </c>
      <c r="BX232" s="2723">
        <f>0</f>
        <v>0</v>
      </c>
      <c r="BY232" s="2723">
        <f>0</f>
        <v>0</v>
      </c>
      <c r="BZ232" s="2702">
        <f>0</f>
        <v>0</v>
      </c>
      <c r="CA232" s="2702">
        <f>1</f>
        <v>1</v>
      </c>
      <c r="CB232" s="2813">
        <f>0</f>
        <v>0</v>
      </c>
      <c r="CC232" s="2702">
        <f>0</f>
        <v>0</v>
      </c>
      <c r="CD232" s="2702">
        <f>0</f>
        <v>0</v>
      </c>
      <c r="CE232" s="2702">
        <f>0</f>
        <v>0</v>
      </c>
      <c r="CF232" s="2702">
        <f>0</f>
        <v>0</v>
      </c>
      <c r="CG232" s="2702">
        <f>0</f>
        <v>0</v>
      </c>
      <c r="CH232" s="2702">
        <f>0</f>
        <v>0</v>
      </c>
      <c r="CI232" s="2702">
        <f>0</f>
        <v>0</v>
      </c>
      <c r="CJ232" s="2702">
        <f>0</f>
        <v>0</v>
      </c>
      <c r="CK232" s="2702">
        <f>0</f>
        <v>0</v>
      </c>
      <c r="CL232" s="2702">
        <f>0</f>
        <v>0</v>
      </c>
      <c r="CM232" s="2702">
        <f>0</f>
        <v>0</v>
      </c>
      <c r="CN232" s="2702">
        <f>0</f>
        <v>0</v>
      </c>
      <c r="CO232" s="2823">
        <f>q_ALPHA_O2*X_VSS*d_ampALPHA*(S_ALPHA_sat-S_ALPHA)</f>
        <v>1.5819826276773943</v>
      </c>
      <c r="CQ232" s="2650">
        <f>E248*E232+F248*F232+G248*G232+H248*H232+I248*I232+J248*J232+K248*K232+L248*L232+M248*M232+N248*N232+O248*O232+P248*P232+Q248*Q232+R248*R232+S248*S232+T248*T232+U248*U232+V248*V232+W248*W232+X248*X232+Y248*Y232+Z248*Z232+AA248*AA232+AB248*AB232+AC248*AC232+AD248*AD232+AE248*AE232+AF248*AF232+AG248*AG232+AH248*AH232+AI248*AI232+AJ248*AJ232+AK248*AK232+AL248*AL232+AM248*AM232+AN248*AN232+AO248*AO232+AP248*AP232+AQ248*AQ232+AR248*AR232+AS248*AS232+AT248*AT232+AU248*AU232+AV248*AV232+AW248*AW232+AX248*AX232+AY248*AY232+AZ248*AZ232+BA248*BA232+BB248*BB232+BC248*BC232+BD248*BD232+BE248*BE232+BF248*BF232+BG248*BG232+BH248*BH232+BI248*BI232+BJ248*BJ232+BK248*BK232+BL248*BL232+BM248*BM232+BN248*BN232+BO248*BO232+BP248*BP232+BQ248*BQ232+BR248*BR232+BS248*BS232+BT248*BT232+BU248*BU232+BV248*BV232+BW248*BW232+BX248*BX232+BY248*BY232+BZ248*BZ232+CA248*CA232+CB248*CB232+CC248*CC232+CD248*CD232+CE248*CE232+CF248*CF232+CG248*CG232+CH248*CH232+CI248*CI232+CJ248*CJ232+CK248*CK232+CL248*CL232+CM248*CM232+CN248*CN232</f>
        <v>0</v>
      </c>
      <c r="CR232" s="2650">
        <f>E249*E232+F249*F232+G249*G232+H249*H232+I249*I232+J249*J232+K249*K232+L249*L232+M249*M232+N249*N232+O249*O232+P249*P232+Q249*Q232+R249*R232+S249*S232+T249*T232+U249*U232+V249*V232+W249*W232+X249*X232+Y249*Y232+Z249*Z232+AA249*AA232+AB249*AB232+AC249*AC232+AD249*AD232+AE249*AE232+AF249*AF232+AG249*AG232+AH249*AH232+AI249*AI232+AJ249*AJ232+AK249*AK232+AL249*AL232+AM249*AM232+AN249*AN232+AO249*AO232+AP249*AP232+AQ249*AQ232+AR249*AR232+AS249*AS232+AT249*AT232+AU249*AU232+AV249*AV232+AW249*AW232+AX249*AX232+AY249*AY232+AZ249*AZ232+BA249*BA232+BB249*BB232+BC249*BC232+BD249*BD232+BE249*BE232+BF249*BF232+BG249*BG232+BH249*BH232+BI249*BI232+BJ249*BJ232+BK249*BK232+BL249*BL232+BM249*BM232+BN249*BN232+BO249*BO232+BP249*BP232+BQ249*BQ232+BR249*BR232+BS249*BS232+BT249*BT232+BU249*BU232+BV249*BV232+BW249*BW232+BX249*BX232+BY249*BY232+BZ249*BZ232+CA249*CA232+CB249*CB232+CC249*CC232+CD249*CD232+CE249*CE232+CF249*CF232+CG249*CG232+CH249*CH232+CI249*CI232+CJ249*CJ232+CK249*CK232+CL249*CL232+CM249*CM232+CN249*CN232</f>
        <v>0</v>
      </c>
      <c r="CS232" s="2651">
        <f>E250*E232+F250*F232+G250*G232+H250*H232+I250*I232+J250*J232+K250*K232+L250*L232+M250*M232+N250*N232+O250*O232+P250*P232+Q250*Q232+R250*R232+S250*S232+T250*T232+U250*U232+V250*V232+W250*W232+X250*X232+Y250*Y232+Z250*Z232+AA250*AA232+AB250*AB232+AC250*AC232+AD250*AD232+AE250*AE232+AF250*AF232+AG250*AG232+AH250*AH232+AI250*AI232+AJ250*AJ232+AK250*AK232+AL250*AL232+AM250*AM232+AN250*AN232+AO250*AO232+AP250*AP232+AQ250*AQ232+AR250*AR232+AS250*AS232+AT250*AT232+AU250*AU232+AV250*AV232+AW250*AW232+AX250*AX232+AY250*AY232+AZ250*AZ232+BA250*BA232+BB250*BB232+BC250*BC232+BD250*BD232+BE250*BE232+BF250*BF232+BG250*BG232+BH250*BH232+BI250*BI232+BJ250*BJ232+BK250*BK232+BL250*BL232+BM250*BM232+BN250*BN232+BO250*BO232+BP250*BP232+BQ250*BQ232+BR250*BR232+BS250*BS232+BT250*BT232+BU250*BU232+BV250*BV232+BW250*BW232+BX250*BX232+BY250*BY232+BZ250*BZ232+CA250*CA232+CB250*CB232+CC250*CC232+CD250*CD232+CE250*CE232+CF250*CF232+CG250*CG232+CH250*CH232+CI250*CI232+CJ250*CJ232+CK250*CK232+CL250*CL232+CM250*CM232+CN250*CN232</f>
        <v>0</v>
      </c>
      <c r="CT232" s="2652">
        <f>E251*E232+F251*F232+G251*G232+H251*H232+I251*I232+J251*J232+K251*K232+L251*L232+M251*M232+N251*N232+O251*O232+P251*P232+Q251*Q232+R251*R232+S251*S232+T251*T232+U251*U232+V251*V232+W251*W232+X251*X232+Y251*Y232+Z251*Z232+AA251*AA232+AB251*AB232+AC251*AC232+AD251*AD232+AE251*AE232+AF251*AF232+AG251*AG232+AH251*AH232+AI251*AI232+AJ251*AJ232+AK251*AK232+AL251*AL232+AM251*AM232+AN251*AN232+AO251*AO232+AP251*AP232+AQ251*AQ232+AR251*AR232+AS251*AS232+AT251*AT232+AU251*AU232+AV251*AV232+AW251*AW232+AX251*AX232+AY251*AY232+AZ251*AZ232+BA251*BA232+BB251*BB232+BC251*BC232+BD251*BD232+BE251*BE232+BF251*BF232+BG251*BG232+BH251*BH232+BI251*BI232+BJ251*BJ232+BK251*BK232+BL251*BL232+BM251*BM232+BN251*BN232+BO251*BO232+BP251*BP232+BQ251*BQ232+BR251*BR232+BS251*BS232+BT251*BT232+BU251*BU232+BV251*BV232+BW251*BW232+BX251*BX232+BY251*BY232+BZ251*BZ232+CA251*CA232+CB251*CB232+CC251*CC232+CD251*CD232+CE251*CE232+CF251*CF232+CG251*CG232+CH251*CH232+CI251*CI232+CJ251*CJ232+CK251*CK232+CL251*CL232+CM251*CM232+CN251*CN232</f>
        <v>0</v>
      </c>
      <c r="CU232" s="2652">
        <f>E252*E232+F252*F232+G252*G232+H252*H232+I252*I232+J252*J232+K252*K232+L252*L232+M252*M232+N252*N232+O252*O232+P252*P232+Q252*Q232+R252*R232+S252*S232+T252*T232+U252*U232+V252*V232+W252*W232+X252*X232+Y252*Y232+Z252*Z232+AA252*AA232+AB252*AB232+AC252*AC232+AD252*AD232+AE252*AE232+AF252*AF232+AG252*AG232+AH252*AH232+AI252*AI232+AJ252*AJ232+AK252*AK232+AL252*AL232+AM252*AM232+AN252*AN232+AO252*AO232+AP252*AP232+AQ252*AQ232+AR252*AR232+AS252*AS232+AT252*AT232+AU252*AU232+AV252*AV232+AW252*AW232+AX252*AX232+AY252*AY232+AZ252*AZ232+BA252*BA232+BB252*BB232+BC252*BC232+BD252*BD232+BE252*BE232+BF252*BF232+BG252*BG232+BH252*BH232+BI252*BI232+BJ252*BJ232+BK252*BK232+BL252*BL232+BM252*BM232+BN252*BN232+BO252*BO232+BP252*BP232+BQ252*BQ232+BR252*BR232+BS252*BS232+BT252*BT232+BU252*BU232+BV252*BV232+BW252*BW232+BX252*BX232+BY252*BY232+BZ252*BZ232+CA252*CA232+CB252*CB232+CC252*CC232+CD252*CD232+CE252*CE232+CF252*CF232+CG252*CG232+CH252*CH232+CI252*CI232+CJ252*CJ232+CK252*CK232+CL252*CL232+CM252*CM232+CN252*CN232</f>
        <v>0</v>
      </c>
      <c r="CV232" s="2652">
        <f>E253*E232+F253*F232+G253*G232+H253*H232+I253*I232+J253*J232+K253*K232+L253*L232+M253*M232+N253*N232+O253*O232+P253*P232+Q253*Q232+R253*R232+S253*S232+T253*T232+U253*U232+V253*V232+W253*W232+X253*X232+Y253*Y232+Z253*Z232+AA253*AA232+AB253*AB232+AC253*AC232+AD253*AD232+AE253*AE232+AF253*AF232+AG253*AG232+AH253*AH232+AI253*AI232+AJ253*AJ232+AK253*AK232+AL253*AL232+AM253*AM232+AN253*AN232+AO253*AO232+AP253*AP232+AQ253*AQ232+AR253*AR232+AS253*AS232+AT253*AT232+AU253*AU232+AV253*AV232+AW253*AW232+AX253*AX232+AY253*AY232+AZ253*AZ232+BA253*BA232+BB253*BB232+BC253*BC232+BD253*BD232+BE253*BE232+BF253*BF232+BG253*BG232+BH253*BH232+BI253*BI232+BJ253*BJ232+BK253*BK232+BL253*BL232+BM253*BM232+BN253*BN232+BO253*BO232+BP253*BP232+BQ253*BQ232+BR253*BR232+BS253*BS232+BT253*BT232+BU253*BU232+BV253*BV232+BW253*BW232+BX253*BX232+BY253*BY232+BZ253*BZ232+CA253*CA232+CB253*CB232+CC253*CC232+CD253*CD232+CE253*CE232+CF253*CF232+CG253*CG232+CH253*CH232+CI253*CI232+CJ253*CJ232+CK253*CK232+CL253*CL232+CM253*CM232+CN253*CN232</f>
        <v>0</v>
      </c>
      <c r="CW232" s="2652">
        <f>E254*E232+F254*F232+G254*G232+H254*H232+I254*I232+J254*J232+K254*K232+L254*L232+M254*M232+N254*N232+O254*O232+P254*P232+Q254*Q232+R254*R232+S254*S232+T254*T232+U254*U232+V254*V232+W254*W232+X254*X232+Y254*Y232+Z254*Z232+AA254*AA232+AB254*AB232+AC254*AC232+AD254*AD232+AE254*AE232+AF254*AF232+AG254*AG232+AH254*AH232+AI254*AI232+AJ254*AJ232+AK254*AK232+AL254*AL232+AM254*AM232+AN254*AN232+AO254*AO232+AP254*AP232+AQ254*AQ232+AR254*AR232+AS254*AS232+AT254*AT232+AU254*AU232+AV254*AV232+AW254*AW232+AX254*AX232+AY254*AY232+AZ254*AZ232+BA254*BA232+BB254*BB232+BC254*BC232+BD254*BD232+BE254*BE232+BF254*BF232+BG254*BG232+BH254*BH232+BI254*BI232+BJ254*BJ232+BK254*BK232+BL254*BL232+BM254*BM232+BN254*BN232+BO254*BO232+BP254*BP232+BQ254*BQ232+BR254*BR232+BS254*BS232+BT254*BT232+BU254*BU232+BV254*BV232+BW254*BW232+BX254*BX232+BY254*BY232+BZ254*BZ232+CA254*CA232+CB254*CB232+CC254*CC232+CD254*CD232+CE254*CE232+CF254*CF232+CG254*CG232+CH254*CH232+CI254*CI232+CJ254*CJ232+CK254*CK232+CL254*CL232+CM254*CM232+CN254*CN232</f>
        <v>0</v>
      </c>
      <c r="CX232" s="2652">
        <f>E255*E232+F255*F232+G255*G232+H255*H232+I255*I232+J255*J232+K255*K232+L255*L232+M255*M232+N255*N232+O255*O232+P255*P232+Q255*Q232+R255*R232+S255*S232+T255*T232+U255*U232+V255*V232+W255*W232+X255*X232+Y255*Y232+Z255*Z232+AA255*AA232+AB255*AB232+AC255*AC232+AD255*AD232+AE255*AE232+AF255*AF232+AG255*AG232+AH255*AH232+AI255*AI232+AJ255*AJ232+AK255*AK232+AL255*AL232+AM255*AM232+AN255*AN232+AO255*AO232+AP255*AP232+AQ255*AQ232+AR255*AR232+AS255*AS232+AT255*AT232+AU255*AU232+AV255*AV232+AW255*AW232+AX255*AX232+AY255*AY232+AZ255*AZ232+BA255*BA232+BB255*BB232+BC255*BC232+BD255*BD232+BE255*BE232+BF255*BF232+BG255*BG232+BH255*BH232+BI255*BI232+BJ255*BJ232+BK255*BK232+BL255*BL232+BM255*BM232+BN255*BN232+BO255*BO232+BP255*BP232+BQ255*BQ232+BR255*BR232+BS255*BS232+BT255*BT232+BU255*BU232+BV255*BV232+BW255*BW232+BX255*BX232+BY255*BY232+BZ255*BZ232+CA255*CA232+CB255*CB232+CC255*CC232+CD255*CD232+CE255*CE232+CF255*CF232+CG255*CG232+CH255*CH232+CI255*CI232+CJ255*CJ232+CK255*CK232+CL255*CL232+CM255*CM232+CN255*CN232</f>
        <v>0</v>
      </c>
      <c r="CY232" s="2652">
        <f>E256*E232+F256*F232+G256*G232+H256*H232+I256*I232+J256*J232+K256*K232+L256*L232+M256*M232+N256*N232+O256*O232+P256*P232+Q256*Q232+R256*R232+S256*S232+T256*T232+U256*U232+V256*V232+W256*W232+X256*X232+Y256*Y232+Z256*Z232+AA256*AA232+AB256*AB232+AC256*AC232+AD256*AD232+AE256*AE232+AF256*AF232+AG256*AG232+AH256*AH232+AI256*AI232+AJ256*AJ232+AK256*AK232+AL256*AL232+AM256*AM232+AN256*AN232+AO256*AO232+AP256*AP232+AQ256*AQ232+AR256*AR232+AS256*AS232+AT256*AT232+AU256*AU232+AV256*AV232+AW256*AW232+AX256*AX232+AY256*AY232+AZ256*AZ232+BA256*BA232+BB256*BB232+BC256*BC232+BD256*BD232+BE256*BE232+BF256*BF232+BG256*BG232+BH256*BH232+BI256*BI232+BJ256*BJ232+BK256*BK232+BL256*BL232+BM256*BM232+BN256*BN232+BO256*BO232+BP256*BP232+BQ256*BQ232+BR256*BR232+BS256*BS232+BT256*BT232+BU256*BU232+BV256*BV232+BW256*BW232+BX256*BX232+BY256*BY232+BZ256*BZ232+CA256*CA232+CB256*CB232+CC256*CC232+CD256*CD232+CE256*CE232+CF256*CF232+CG256*CG232+CH256*CH232+CI256*CI232+CJ256*CJ232+CK256*CK232+CL256*CL232+CM256*CM232+CN256*CN232</f>
        <v>0</v>
      </c>
      <c r="CZ232" s="2652">
        <f>E257*E232+F257*F232+G257*G232+H257*H232+I257*I232+J257*J232+K257*K232+L257*L232+M257*M232+N257*N232+O257*O232+P257*P232+Q257*Q232+R257*R232+S257*S232+T257*T232+U257*U232+V257*V232+W257*W232+X257*X232+Y257*Y232+Z257*Z232+AA257*AA232+AB257*AB232+AC257*AC232+AD257*AD232+AE257*AE232+AF257*AF232+AG257*AG232+AH257*AH232+AI257*AI232+AJ257*AJ232+AK257*AK232+AL257*AL232+AM257*AM232+AN257*AN232+AO257*AO232+AP257*AP232+AQ257*AQ232+AR257*AR232+AS257*AS232+AT257*AT232+AU257*AU232+AV257*AV232+AW257*AW232+AX257*AX232+AY257*AY232+AZ257*AZ232+BA257*BA232+BB257*BB232+BC257*BC232+BD257*BD232+BE257*BE232+BF257*BF232+BG257*BG232+BH257*BH232+BI257*BI232+BJ257*BJ232+BK257*BK232+BL257*BL232+BM257*BM232+BN257*BN232+BO257*BO232+BP257*BP232+BQ257*BQ232+BR257*BR232+BS257*BS232+BT257*BT232+BU257*BU232+BV257*BV232+BW257*BW232+BX257*BX232+BY257*BY232+BZ257*BZ232+CA257*CA232+CB257*CB232+CC257*CC232+CD257*CD232+CE257*CE232+CF257*CF232+CG257*CG232+CH257*CH232+CI257*CI232+CJ257*CJ232+CK257*CK232+CL257*CL232+CM257*CM232+CN257*CN232</f>
        <v>0</v>
      </c>
      <c r="DA232" s="2652">
        <f>E258*E232+F258*F232+G258*G232+H258*H232+I258*I232+J258*J232+K258*K232+L258*L232+M258*M232+N258*N232+O258*O232+P258*P232+Q258*Q232+R258*R232+S258*S232+T258*T232+U258*U232+V258*V232+W258*W232+X258*X232+Y258*Y232+Z258*Z232+AA258*AA232+AB258*AB232+AC258*AC232+AD258*AD232+AE258*AE232+AF258*AF232+AG258*AG232+AH258*AH232+AI258*AI232+AJ258*AJ232+AK258*AK232+AL258*AL232+AM258*AM232+AN258*AN232+AO258*AO232+AP258*AP232+AQ258*AQ232+AR258*AR232+AS258*AS232+AT258*AT232+AU258*AU232+AV258*AV232+AW258*AW232+AX258*AX232+AY258*AY232+AZ258*AZ232+BA258*BA232+BB258*BB232+BC258*BC232+BD258*BD232+BE258*BE232+BF258*BF232+BG258*BG232+BH258*BH232+BI258*BI232+BJ258*BJ232+BK258*BK232+BL258*BL232+BM258*BM232+BN258*BN232+BO258*BO232+BP258*BP232+BQ258*BQ232+BR258*BR232+BS258*BS232+BT258*BT232+BU258*BU232+BV258*BV232+BW258*BW232+BX258*BX232+BY258*BY232+BZ258*BZ232+CA258*CA232+CB258*CB232+CC258*CC232+CD258*CD232+CE258*CE232+CF258*CF232+CG258*CG232+CH258*CH232+CI258*CI232+CJ258*CJ232+CK258*CK232+CL258*CL232+CM258*CM232+CN258*CN232</f>
        <v>0</v>
      </c>
    </row>
    <row r="233" spans="2:105" ht="18" x14ac:dyDescent="0.25">
      <c r="B233" s="2187">
        <v>100</v>
      </c>
      <c r="C233" s="2188" t="s">
        <v>3585</v>
      </c>
      <c r="D233" s="863" t="s">
        <v>3495</v>
      </c>
      <c r="E233" s="2703">
        <f>0</f>
        <v>0</v>
      </c>
      <c r="F233" s="2703">
        <f>0</f>
        <v>0</v>
      </c>
      <c r="G233" s="2703">
        <f>0</f>
        <v>0</v>
      </c>
      <c r="H233" s="2703">
        <f>0</f>
        <v>0</v>
      </c>
      <c r="I233" s="2703">
        <f>0</f>
        <v>0</v>
      </c>
      <c r="J233" s="2703">
        <f>0</f>
        <v>0</v>
      </c>
      <c r="K233" s="2724">
        <f>0</f>
        <v>0</v>
      </c>
      <c r="L233" s="2703">
        <f>0</f>
        <v>0</v>
      </c>
      <c r="M233" s="2703">
        <f>0</f>
        <v>0</v>
      </c>
      <c r="N233" s="2703">
        <f>0</f>
        <v>0</v>
      </c>
      <c r="O233" s="2703">
        <f>0</f>
        <v>0</v>
      </c>
      <c r="P233" s="2703">
        <f>0</f>
        <v>0</v>
      </c>
      <c r="Q233" s="2703">
        <f>0</f>
        <v>0</v>
      </c>
      <c r="R233" s="2703">
        <f>0</f>
        <v>0</v>
      </c>
      <c r="S233" s="2703">
        <f>0</f>
        <v>0</v>
      </c>
      <c r="T233" s="2734">
        <f>0</f>
        <v>0</v>
      </c>
      <c r="U233" s="2734">
        <f>0</f>
        <v>0</v>
      </c>
      <c r="V233" s="2703">
        <f>0</f>
        <v>0</v>
      </c>
      <c r="W233" s="2703">
        <f>0</f>
        <v>0</v>
      </c>
      <c r="X233" s="2703">
        <f>0</f>
        <v>0</v>
      </c>
      <c r="Y233" s="2703">
        <f>0</f>
        <v>0</v>
      </c>
      <c r="Z233" s="2703">
        <f>0</f>
        <v>0</v>
      </c>
      <c r="AA233" s="2703">
        <f>0</f>
        <v>0</v>
      </c>
      <c r="AB233" s="2703">
        <f>0</f>
        <v>0</v>
      </c>
      <c r="AC233" s="2724">
        <f>0</f>
        <v>0</v>
      </c>
      <c r="AD233" s="2703">
        <f>0</f>
        <v>0</v>
      </c>
      <c r="AE233" s="2703">
        <f>0</f>
        <v>0</v>
      </c>
      <c r="AF233" s="2703">
        <f>0</f>
        <v>0</v>
      </c>
      <c r="AG233" s="2703">
        <f>0</f>
        <v>0</v>
      </c>
      <c r="AH233" s="2703">
        <f>0</f>
        <v>0</v>
      </c>
      <c r="AI233" s="2703">
        <f>0</f>
        <v>0</v>
      </c>
      <c r="AJ233" s="2724">
        <f>0</f>
        <v>0</v>
      </c>
      <c r="AK233" s="2703">
        <f>0</f>
        <v>0</v>
      </c>
      <c r="AL233" s="2703">
        <f>0</f>
        <v>0</v>
      </c>
      <c r="AM233" s="2703">
        <f>0</f>
        <v>0</v>
      </c>
      <c r="AN233" s="2703">
        <f>0</f>
        <v>0</v>
      </c>
      <c r="AO233" s="2703">
        <f>0</f>
        <v>0</v>
      </c>
      <c r="AP233" s="2724">
        <f>0</f>
        <v>0</v>
      </c>
      <c r="AQ233" s="2703">
        <f>0</f>
        <v>0</v>
      </c>
      <c r="AR233" s="2703">
        <f>0</f>
        <v>0</v>
      </c>
      <c r="AS233" s="2703">
        <f>0</f>
        <v>0</v>
      </c>
      <c r="AT233" s="2703">
        <f>0</f>
        <v>0</v>
      </c>
      <c r="AU233" s="2703">
        <f>1</f>
        <v>1</v>
      </c>
      <c r="AV233" s="2703">
        <f>0</f>
        <v>0</v>
      </c>
      <c r="AW233" s="2703">
        <f>0</f>
        <v>0</v>
      </c>
      <c r="AX233" s="2703">
        <f>0</f>
        <v>0</v>
      </c>
      <c r="AY233" s="2703">
        <f>0</f>
        <v>0</v>
      </c>
      <c r="AZ233" s="2703">
        <f>0</f>
        <v>0</v>
      </c>
      <c r="BA233" s="2703">
        <f>0</f>
        <v>0</v>
      </c>
      <c r="BB233" s="2734">
        <f>0</f>
        <v>0</v>
      </c>
      <c r="BC233" s="2734">
        <f>0</f>
        <v>0</v>
      </c>
      <c r="BD233" s="2734">
        <f>0</f>
        <v>0</v>
      </c>
      <c r="BE233" s="2734">
        <f>0</f>
        <v>0</v>
      </c>
      <c r="BF233" s="2734">
        <f>0</f>
        <v>0</v>
      </c>
      <c r="BG233" s="2734">
        <f>0</f>
        <v>0</v>
      </c>
      <c r="BH233" s="2734">
        <f>0</f>
        <v>0</v>
      </c>
      <c r="BI233" s="2734">
        <f>0</f>
        <v>0</v>
      </c>
      <c r="BJ233" s="2783">
        <f>0</f>
        <v>0</v>
      </c>
      <c r="BK233" s="2783">
        <f>0</f>
        <v>0</v>
      </c>
      <c r="BL233" s="2783">
        <f>0</f>
        <v>0</v>
      </c>
      <c r="BM233" s="2783">
        <f>0</f>
        <v>0</v>
      </c>
      <c r="BN233" s="2783">
        <f>0</f>
        <v>0</v>
      </c>
      <c r="BO233" s="2783">
        <f>0</f>
        <v>0</v>
      </c>
      <c r="BP233" s="2783">
        <f>0</f>
        <v>0</v>
      </c>
      <c r="BQ233" s="2734">
        <f>0</f>
        <v>0</v>
      </c>
      <c r="BR233" s="2734">
        <f>0</f>
        <v>0</v>
      </c>
      <c r="BS233" s="2783">
        <f>0</f>
        <v>0</v>
      </c>
      <c r="BT233" s="2734">
        <f>0</f>
        <v>0</v>
      </c>
      <c r="BU233" s="2734">
        <f>0</f>
        <v>0</v>
      </c>
      <c r="BV233" s="2793">
        <f>0</f>
        <v>0</v>
      </c>
      <c r="BW233" s="2793">
        <f>0</f>
        <v>0</v>
      </c>
      <c r="BX233" s="2793">
        <f>0</f>
        <v>0</v>
      </c>
      <c r="BY233" s="2793">
        <f>0</f>
        <v>0</v>
      </c>
      <c r="BZ233" s="2734">
        <f>0</f>
        <v>0</v>
      </c>
      <c r="CA233" s="2734">
        <f>0</f>
        <v>0</v>
      </c>
      <c r="CB233" s="2814">
        <f>0</f>
        <v>0</v>
      </c>
      <c r="CC233" s="2734">
        <f>-1</f>
        <v>-1</v>
      </c>
      <c r="CD233" s="2734">
        <f>0</f>
        <v>0</v>
      </c>
      <c r="CE233" s="2734">
        <f>0</f>
        <v>0</v>
      </c>
      <c r="CF233" s="2734">
        <f>0</f>
        <v>0</v>
      </c>
      <c r="CG233" s="2734">
        <f>0</f>
        <v>0</v>
      </c>
      <c r="CH233" s="2734">
        <f>0</f>
        <v>0</v>
      </c>
      <c r="CI233" s="2734">
        <f>0</f>
        <v>0</v>
      </c>
      <c r="CJ233" s="2734">
        <f>0</f>
        <v>0</v>
      </c>
      <c r="CK233" s="2734">
        <f>0</f>
        <v>0</v>
      </c>
      <c r="CL233" s="2734">
        <f>0</f>
        <v>0</v>
      </c>
      <c r="CM233" s="2734">
        <f>0</f>
        <v>0</v>
      </c>
      <c r="CN233" s="2734">
        <f>0</f>
        <v>0</v>
      </c>
      <c r="CO233" s="2847">
        <f>k_transfer_GCO2_bub</f>
        <v>2861.6873452767227</v>
      </c>
      <c r="CQ233" s="2650">
        <f>E248*E233+F248*F233+G248*G233+H248*H233+I248*I233+J248*J233+K248*K233+L248*L233+M248*M233+N248*N233+O248*O233+P248*P233+Q248*Q233+R248*R233+S248*S233+T248*T233+U248*U233+V248*V233+W248*W233+X248*X233+Y248*Y233+Z248*Z233+AA248*AA233+AB248*AB233+AC248*AC233+AD248*AD233+AE248*AE233+AF248*AF233+AG248*AG233+AH248*AH233+AI248*AI233+AJ248*AJ233+AK248*AK233+AL248*AL233+AM248*AM233+AN248*AN233+AO248*AO233+AP248*AP233+AQ248*AQ233+AR248*AR233+AS248*AS233+AT248*AT233+AU248*AU233+AV248*AV233+AW248*AW233+AX248*AX233+AY248*AY233+AZ248*AZ233+BA248*BA233+BB248*BB233+BC248*BC233+BD248*BD233+BE248*BE233+BF248*BF233+BG248*BG233+BH248*BH233+BI248*BI233+BJ248*BJ233+BK248*BK233+BL248*BL233+BM248*BM233+BN248*BN233+BO248*BO233+BP248*BP233+BQ248*BQ233+BR248*BR233+BS248*BS233+BT248*BT233+BU248*BU233+BV248*BV233+BW248*BW233+BX248*BX233+BY248*BY233+BZ248*BZ233+CA248*CA233+CB248*CB233+CC248*CC233+CD248*CD233+CE248*CE233+CF248*CF233+CG248*CG233+CH248*CH233+CI248*CI233+CJ248*CJ233+CK248*CK233+CL248*CL233+CM248*CM233+CN248*CN233</f>
        <v>0</v>
      </c>
      <c r="CR233" s="2650">
        <f>E249*E233+F249*F233+G249*G233+H249*H233+I249*I233+J249*J233+K249*K233+L249*L233+M249*M233+N249*N233+O249*O233+P249*P233+Q249*Q233+R249*R233+S249*S233+T249*T233+U249*U233+V249*V233+W249*W233+X249*X233+Y249*Y233+Z249*Z233+AA249*AA233+AB249*AB233+AC249*AC233+AD249*AD233+AE249*AE233+AF249*AF233+AG249*AG233+AH249*AH233+AI249*AI233+AJ249*AJ233+AK249*AK233+AL249*AL233+AM249*AM233+AN249*AN233+AO249*AO233+AP249*AP233+AQ249*AQ233+AR249*AR233+AS249*AS233+AT249*AT233+AU249*AU233+AV249*AV233+AW249*AW233+AX249*AX233+AY249*AY233+AZ249*AZ233+BA249*BA233+BB249*BB233+BC249*BC233+BD249*BD233+BE249*BE233+BF249*BF233+BG249*BG233+BH249*BH233+BI249*BI233+BJ249*BJ233+BK249*BK233+BL249*BL233+BM249*BM233+BN249*BN233+BO249*BO233+BP249*BP233+BQ249*BQ233+BR249*BR233+BS249*BS233+BT249*BT233+BU249*BU233+BV249*BV233+BW249*BW233+BX249*BX233+BY249*BY233+BZ249*BZ233+CA249*CA233+CB249*CB233+CC249*CC233+CD249*CD233+CE249*CE233+CF249*CF233+CG249*CG233+CH249*CH233+CI249*CI233+CJ249*CJ233+CK249*CK233+CL249*CL233+CM249*CM233+CN249*CN233</f>
        <v>0</v>
      </c>
      <c r="CS233" s="2651">
        <f>E250*E233+F250*F233+G250*G233+H250*H233+I250*I233+J250*J233+K250*K233+L250*L233+M250*M233+N250*N233+O250*O233+P250*P233+Q250*Q233+R250*R233+S250*S233+T250*T233+U250*U233+V250*V233+W250*W233+X250*X233+Y250*Y233+Z250*Z233+AA250*AA233+AB250*AB233+AC250*AC233+AD250*AD233+AE250*AE233+AF250*AF233+AG250*AG233+AH250*AH233+AI250*AI233+AJ250*AJ233+AK250*AK233+AL250*AL233+AM250*AM233+AN250*AN233+AO250*AO233+AP250*AP233+AQ250*AQ233+AR250*AR233+AS250*AS233+AT250*AT233+AU250*AU233+AV250*AV233+AW250*AW233+AX250*AX233+AY250*AY233+AZ250*AZ233+BA250*BA233+BB250*BB233+BC250*BC233+BD250*BD233+BE250*BE233+BF250*BF233+BG250*BG233+BH250*BH233+BI250*BI233+BJ250*BJ233+BK250*BK233+BL250*BL233+BM250*BM233+BN250*BN233+BO250*BO233+BP250*BP233+BQ250*BQ233+BR250*BR233+BS250*BS233+BT250*BT233+BU250*BU233+BV250*BV233+BW250*BW233+BX250*BX233+BY250*BY233+BZ250*BZ233+CA250*CA233+CB250*CB233+CC250*CC233+CD250*CD233+CE250*CE233+CF250*CF233+CG250*CG233+CH250*CH233+CI250*CI233+CJ250*CJ233+CK250*CK233+CL250*CL233+CM250*CM233+CN250*CN233</f>
        <v>0</v>
      </c>
      <c r="CT233" s="2652">
        <f>E251*E233+F251*F233+G251*G233+H251*H233+I251*I233+J251*J233+K251*K233+L251*L233+M251*M233+N251*N233+O251*O233+P251*P233+Q251*Q233+R251*R233+S251*S233+T251*T233+U251*U233+V251*V233+W251*W233+X251*X233+Y251*Y233+Z251*Z233+AA251*AA233+AB251*AB233+AC251*AC233+AD251*AD233+AE251*AE233+AF251*AF233+AG251*AG233+AH251*AH233+AI251*AI233+AJ251*AJ233+AK251*AK233+AL251*AL233+AM251*AM233+AN251*AN233+AO251*AO233+AP251*AP233+AQ251*AQ233+AR251*AR233+AS251*AS233+AT251*AT233+AU251*AU233+AV251*AV233+AW251*AW233+AX251*AX233+AY251*AY233+AZ251*AZ233+BA251*BA233+BB251*BB233+BC251*BC233+BD251*BD233+BE251*BE233+BF251*BF233+BG251*BG233+BH251*BH233+BI251*BI233+BJ251*BJ233+BK251*BK233+BL251*BL233+BM251*BM233+BN251*BN233+BO251*BO233+BP251*BP233+BQ251*BQ233+BR251*BR233+BS251*BS233+BT251*BT233+BU251*BU233+BV251*BV233+BW251*BW233+BX251*BX233+BY251*BY233+BZ251*BZ233+CA251*CA233+CB251*CB233+CC251*CC233+CD251*CD233+CE251*CE233+CF251*CF233+CG251*CG233+CH251*CH233+CI251*CI233+CJ251*CJ233+CK251*CK233+CL251*CL233+CM251*CM233+CN251*CN233</f>
        <v>0</v>
      </c>
      <c r="CU233" s="2652">
        <f>E252*E233+F252*F233+G252*G233+H252*H233+I252*I233+J252*J233+K252*K233+L252*L233+M252*M233+N252*N233+O252*O233+P252*P233+Q252*Q233+R252*R233+S252*S233+T252*T233+U252*U233+V252*V233+W252*W233+X252*X233+Y252*Y233+Z252*Z233+AA252*AA233+AB252*AB233+AC252*AC233+AD252*AD233+AE252*AE233+AF252*AF233+AG252*AG233+AH252*AH233+AI252*AI233+AJ252*AJ233+AK252*AK233+AL252*AL233+AM252*AM233+AN252*AN233+AO252*AO233+AP252*AP233+AQ252*AQ233+AR252*AR233+AS252*AS233+AT252*AT233+AU252*AU233+AV252*AV233+AW252*AW233+AX252*AX233+AY252*AY233+AZ252*AZ233+BA252*BA233+BB252*BB233+BC252*BC233+BD252*BD233+BE252*BE233+BF252*BF233+BG252*BG233+BH252*BH233+BI252*BI233+BJ252*BJ233+BK252*BK233+BL252*BL233+BM252*BM233+BN252*BN233+BO252*BO233+BP252*BP233+BQ252*BQ233+BR252*BR233+BS252*BS233+BT252*BT233+BU252*BU233+BV252*BV233+BW252*BW233+BX252*BX233+BY252*BY233+BZ252*BZ233+CA252*CA233+CB252*CB233+CC252*CC233+CD252*CD233+CE252*CE233+CF252*CF233+CG252*CG233+CH252*CH233+CI252*CI233+CJ252*CJ233+CK252*CK233+CL252*CL233+CM252*CM233+CN252*CN233</f>
        <v>0</v>
      </c>
      <c r="CV233" s="2652">
        <f>E253*E233+F253*F233+G253*G233+H253*H233+I253*I233+J253*J233+K253*K233+L253*L233+M253*M233+N253*N233+O253*O233+P253*P233+Q253*Q233+R253*R233+S253*S233+T253*T233+U253*U233+V253*V233+W253*W233+X253*X233+Y253*Y233+Z253*Z233+AA253*AA233+AB253*AB233+AC253*AC233+AD253*AD233+AE253*AE233+AF253*AF233+AG253*AG233+AH253*AH233+AI253*AI233+AJ253*AJ233+AK253*AK233+AL253*AL233+AM253*AM233+AN253*AN233+AO253*AO233+AP253*AP233+AQ253*AQ233+AR253*AR233+AS253*AS233+AT253*AT233+AU253*AU233+AV253*AV233+AW253*AW233+AX253*AX233+AY253*AY233+AZ253*AZ233+BA253*BA233+BB253*BB233+BC253*BC233+BD253*BD233+BE253*BE233+BF253*BF233+BG253*BG233+BH253*BH233+BI253*BI233+BJ253*BJ233+BK253*BK233+BL253*BL233+BM253*BM233+BN253*BN233+BO253*BO233+BP253*BP233+BQ253*BQ233+BR253*BR233+BS253*BS233+BT253*BT233+BU253*BU233+BV253*BV233+BW253*BW233+BX253*BX233+BY253*BY233+BZ253*BZ233+CA253*CA233+CB253*CB233+CC253*CC233+CD253*CD233+CE253*CE233+CF253*CF233+CG253*CG233+CH253*CH233+CI253*CI233+CJ253*CJ233+CK253*CK233+CL253*CL233+CM253*CM233+CN253*CN233</f>
        <v>0</v>
      </c>
      <c r="CW233" s="2652">
        <f>E254*E233+F254*F233+G254*G233+H254*H233+I254*I233+J254*J233+K254*K233+L254*L233+M254*M233+N254*N233+O254*O233+P254*P233+Q254*Q233+R254*R233+S254*S233+T254*T233+U254*U233+V254*V233+W254*W233+X254*X233+Y254*Y233+Z254*Z233+AA254*AA233+AB254*AB233+AC254*AC233+AD254*AD233+AE254*AE233+AF254*AF233+AG254*AG233+AH254*AH233+AI254*AI233+AJ254*AJ233+AK254*AK233+AL254*AL233+AM254*AM233+AN254*AN233+AO254*AO233+AP254*AP233+AQ254*AQ233+AR254*AR233+AS254*AS233+AT254*AT233+AU254*AU233+AV254*AV233+AW254*AW233+AX254*AX233+AY254*AY233+AZ254*AZ233+BA254*BA233+BB254*BB233+BC254*BC233+BD254*BD233+BE254*BE233+BF254*BF233+BG254*BG233+BH254*BH233+BI254*BI233+BJ254*BJ233+BK254*BK233+BL254*BL233+BM254*BM233+BN254*BN233+BO254*BO233+BP254*BP233+BQ254*BQ233+BR254*BR233+BS254*BS233+BT254*BT233+BU254*BU233+BV254*BV233+BW254*BW233+BX254*BX233+BY254*BY233+BZ254*BZ233+CA254*CA233+CB254*CB233+CC254*CC233+CD254*CD233+CE254*CE233+CF254*CF233+CG254*CG233+CH254*CH233+CI254*CI233+CJ254*CJ233+CK254*CK233+CL254*CL233+CM254*CM233+CN254*CN233</f>
        <v>0</v>
      </c>
      <c r="CX233" s="2652">
        <f>E255*E233+F255*F233+G255*G233+H255*H233+I255*I233+J255*J233+K255*K233+L255*L233+M255*M233+N255*N233+O255*O233+P255*P233+Q255*Q233+R255*R233+S255*S233+T255*T233+U255*U233+V255*V233+W255*W233+X255*X233+Y255*Y233+Z255*Z233+AA255*AA233+AB255*AB233+AC255*AC233+AD255*AD233+AE255*AE233+AF255*AF233+AG255*AG233+AH255*AH233+AI255*AI233+AJ255*AJ233+AK255*AK233+AL255*AL233+AM255*AM233+AN255*AN233+AO255*AO233+AP255*AP233+AQ255*AQ233+AR255*AR233+AS255*AS233+AT255*AT233+AU255*AU233+AV255*AV233+AW255*AW233+AX255*AX233+AY255*AY233+AZ255*AZ233+BA255*BA233+BB255*BB233+BC255*BC233+BD255*BD233+BE255*BE233+BF255*BF233+BG255*BG233+BH255*BH233+BI255*BI233+BJ255*BJ233+BK255*BK233+BL255*BL233+BM255*BM233+BN255*BN233+BO255*BO233+BP255*BP233+BQ255*BQ233+BR255*BR233+BS255*BS233+BT255*BT233+BU255*BU233+BV255*BV233+BW255*BW233+BX255*BX233+BY255*BY233+BZ255*BZ233+CA255*CA233+CB255*CB233+CC255*CC233+CD255*CD233+CE255*CE233+CF255*CF233+CG255*CG233+CH255*CH233+CI255*CI233+CJ255*CJ233+CK255*CK233+CL255*CL233+CM255*CM233+CN255*CN233</f>
        <v>0</v>
      </c>
      <c r="CY233" s="2652">
        <f>E256*E233+F256*F233+G256*G233+H256*H233+I256*I233+J256*J233+K256*K233+L256*L233+M256*M233+N256*N233+O256*O233+P256*P233+Q256*Q233+R256*R233+S256*S233+T256*T233+U256*U233+V256*V233+W256*W233+X256*X233+Y256*Y233+Z256*Z233+AA256*AA233+AB256*AB233+AC256*AC233+AD256*AD233+AE256*AE233+AF256*AF233+AG256*AG233+AH256*AH233+AI256*AI233+AJ256*AJ233+AK256*AK233+AL256*AL233+AM256*AM233+AN256*AN233+AO256*AO233+AP256*AP233+AQ256*AQ233+AR256*AR233+AS256*AS233+AT256*AT233+AU256*AU233+AV256*AV233+AW256*AW233+AX256*AX233+AY256*AY233+AZ256*AZ233+BA256*BA233+BB256*BB233+BC256*BC233+BD256*BD233+BE256*BE233+BF256*BF233+BG256*BG233+BH256*BH233+BI256*BI233+BJ256*BJ233+BK256*BK233+BL256*BL233+BM256*BM233+BN256*BN233+BO256*BO233+BP256*BP233+BQ256*BQ233+BR256*BR233+BS256*BS233+BT256*BT233+BU256*BU233+BV256*BV233+BW256*BW233+BX256*BX233+BY256*BY233+BZ256*BZ233+CA256*CA233+CB256*CB233+CC256*CC233+CD256*CD233+CE256*CE233+CF256*CF233+CG256*CG233+CH256*CH233+CI256*CI233+CJ256*CJ233+CK256*CK233+CL256*CL233+CM256*CM233+CN256*CN233</f>
        <v>0</v>
      </c>
      <c r="CZ233" s="2652">
        <f>E257*E233+F257*F233+G257*G233+H257*H233+I257*I233+J257*J233+K257*K233+L257*L233+M257*M233+N257*N233+O257*O233+P257*P233+Q257*Q233+R257*R233+S257*S233+T257*T233+U257*U233+V257*V233+W257*W233+X257*X233+Y257*Y233+Z257*Z233+AA257*AA233+AB257*AB233+AC257*AC233+AD257*AD233+AE257*AE233+AF257*AF233+AG257*AG233+AH257*AH233+AI257*AI233+AJ257*AJ233+AK257*AK233+AL257*AL233+AM257*AM233+AN257*AN233+AO257*AO233+AP257*AP233+AQ257*AQ233+AR257*AR233+AS257*AS233+AT257*AT233+AU257*AU233+AV257*AV233+AW257*AW233+AX257*AX233+AY257*AY233+AZ257*AZ233+BA257*BA233+BB257*BB233+BC257*BC233+BD257*BD233+BE257*BE233+BF257*BF233+BG257*BG233+BH257*BH233+BI257*BI233+BJ257*BJ233+BK257*BK233+BL257*BL233+BM257*BM233+BN257*BN233+BO257*BO233+BP257*BP233+BQ257*BQ233+BR257*BR233+BS257*BS233+BT257*BT233+BU257*BU233+BV257*BV233+BW257*BW233+BX257*BX233+BY257*BY233+BZ257*BZ233+CA257*CA233+CB257*CB233+CC257*CC233+CD257*CD233+CE257*CE233+CF257*CF233+CG257*CG233+CH257*CH233+CI257*CI233+CJ257*CJ233+CK257*CK233+CL257*CL233+CM257*CM233+CN257*CN233</f>
        <v>0</v>
      </c>
      <c r="DA233" s="2652">
        <f>E258*E233+F258*F233+G258*G233+H258*H233+I258*I233+J258*J233+K258*K233+L258*L233+M258*M233+N258*N233+O258*O233+P258*P233+Q258*Q233+R258*R233+S258*S233+T258*T233+U258*U233+V258*V233+W258*W233+X258*X233+Y258*Y233+Z258*Z233+AA258*AA233+AB258*AB233+AC258*AC233+AD258*AD233+AE258*AE233+AF258*AF233+AG258*AG233+AH258*AH233+AI258*AI233+AJ258*AJ233+AK258*AK233+AL258*AL233+AM258*AM233+AN258*AN233+AO258*AO233+AP258*AP233+AQ258*AQ233+AR258*AR233+AS258*AS233+AT258*AT233+AU258*AU233+AV258*AV233+AW258*AW233+AX258*AX233+AY258*AY233+AZ258*AZ233+BA258*BA233+BB258*BB233+BC258*BC233+BD258*BD233+BE258*BE233+BF258*BF233+BG258*BG233+BH258*BH233+BI258*BI233+BJ258*BJ233+BK258*BK233+BL258*BL233+BM258*BM233+BN258*BN233+BO258*BO233+BP258*BP233+BQ258*BQ233+BR258*BR233+BS258*BS233+BT258*BT233+BU258*BU233+BV258*BV233+BW258*BW233+BX258*BX233+BY258*BY233+BZ258*BZ233+CA258*CA233+CB258*CB233+CC258*CC233+CD258*CD233+CE258*CE233+CF258*CF233+CG258*CG233+CH258*CH233+CI258*CI233+CJ258*CJ233+CK258*CK233+CL258*CL233+CM258*CM233+CN258*CN233</f>
        <v>0</v>
      </c>
    </row>
    <row r="234" spans="2:105" ht="18" x14ac:dyDescent="0.25">
      <c r="B234" s="2187">
        <v>101</v>
      </c>
      <c r="C234" s="2188" t="s">
        <v>4363</v>
      </c>
      <c r="D234" s="863" t="s">
        <v>3496</v>
      </c>
      <c r="E234" s="2703">
        <f>0</f>
        <v>0</v>
      </c>
      <c r="F234" s="2703">
        <f>0</f>
        <v>0</v>
      </c>
      <c r="G234" s="2703">
        <f>0</f>
        <v>0</v>
      </c>
      <c r="H234" s="2703">
        <f>0</f>
        <v>0</v>
      </c>
      <c r="I234" s="2703">
        <f>0</f>
        <v>0</v>
      </c>
      <c r="J234" s="2703">
        <f>0</f>
        <v>0</v>
      </c>
      <c r="K234" s="2724">
        <f>0</f>
        <v>0</v>
      </c>
      <c r="L234" s="2703">
        <f>0</f>
        <v>0</v>
      </c>
      <c r="M234" s="2703">
        <f>0</f>
        <v>0</v>
      </c>
      <c r="N234" s="2703">
        <f>0</f>
        <v>0</v>
      </c>
      <c r="O234" s="2703">
        <f>0</f>
        <v>0</v>
      </c>
      <c r="P234" s="2703">
        <f>0</f>
        <v>0</v>
      </c>
      <c r="Q234" s="2703">
        <f>0</f>
        <v>0</v>
      </c>
      <c r="R234" s="2703">
        <f>0</f>
        <v>0</v>
      </c>
      <c r="S234" s="2703">
        <f>0</f>
        <v>0</v>
      </c>
      <c r="T234" s="2734">
        <f>0</f>
        <v>0</v>
      </c>
      <c r="U234" s="2734">
        <f>0</f>
        <v>0</v>
      </c>
      <c r="V234" s="2703">
        <f>0</f>
        <v>0</v>
      </c>
      <c r="W234" s="2703">
        <f>0</f>
        <v>0</v>
      </c>
      <c r="X234" s="2703">
        <f>0</f>
        <v>0</v>
      </c>
      <c r="Y234" s="2703">
        <f>0</f>
        <v>0</v>
      </c>
      <c r="Z234" s="2703">
        <f>0</f>
        <v>0</v>
      </c>
      <c r="AA234" s="2703">
        <f>0</f>
        <v>0</v>
      </c>
      <c r="AB234" s="2703">
        <f>0</f>
        <v>0</v>
      </c>
      <c r="AC234" s="2724">
        <f>0</f>
        <v>0</v>
      </c>
      <c r="AD234" s="2703">
        <f>0</f>
        <v>0</v>
      </c>
      <c r="AE234" s="2703">
        <f>0</f>
        <v>0</v>
      </c>
      <c r="AF234" s="2703">
        <f>0</f>
        <v>0</v>
      </c>
      <c r="AG234" s="2703">
        <f>0</f>
        <v>0</v>
      </c>
      <c r="AH234" s="2703">
        <f>0</f>
        <v>0</v>
      </c>
      <c r="AI234" s="2703">
        <f>0</f>
        <v>0</v>
      </c>
      <c r="AJ234" s="2724">
        <f>0</f>
        <v>0</v>
      </c>
      <c r="AK234" s="2703">
        <f>0</f>
        <v>0</v>
      </c>
      <c r="AL234" s="2703">
        <f>0</f>
        <v>0</v>
      </c>
      <c r="AM234" s="2703">
        <f>0</f>
        <v>0</v>
      </c>
      <c r="AN234" s="2703">
        <f>0</f>
        <v>0</v>
      </c>
      <c r="AO234" s="2703">
        <f>0</f>
        <v>0</v>
      </c>
      <c r="AP234" s="2724">
        <f>0</f>
        <v>0</v>
      </c>
      <c r="AQ234" s="2703">
        <f>0</f>
        <v>0</v>
      </c>
      <c r="AR234" s="2703">
        <f>0</f>
        <v>0</v>
      </c>
      <c r="AS234" s="2703">
        <f>1</f>
        <v>1</v>
      </c>
      <c r="AT234" s="2703">
        <f>0</f>
        <v>0</v>
      </c>
      <c r="AU234" s="2703">
        <f>0</f>
        <v>0</v>
      </c>
      <c r="AV234" s="2703">
        <f>0</f>
        <v>0</v>
      </c>
      <c r="AW234" s="2703">
        <f>0</f>
        <v>0</v>
      </c>
      <c r="AX234" s="2703">
        <f>0</f>
        <v>0</v>
      </c>
      <c r="AY234" s="2703">
        <f>0</f>
        <v>0</v>
      </c>
      <c r="AZ234" s="2703">
        <f>0</f>
        <v>0</v>
      </c>
      <c r="BA234" s="2703">
        <f>0</f>
        <v>0</v>
      </c>
      <c r="BB234" s="2734">
        <f>0</f>
        <v>0</v>
      </c>
      <c r="BC234" s="2734">
        <f>0</f>
        <v>0</v>
      </c>
      <c r="BD234" s="2734">
        <f>0</f>
        <v>0</v>
      </c>
      <c r="BE234" s="2734">
        <f>0</f>
        <v>0</v>
      </c>
      <c r="BF234" s="2734">
        <f>0</f>
        <v>0</v>
      </c>
      <c r="BG234" s="2734">
        <f>0</f>
        <v>0</v>
      </c>
      <c r="BH234" s="2734">
        <f>0</f>
        <v>0</v>
      </c>
      <c r="BI234" s="2734">
        <f>0</f>
        <v>0</v>
      </c>
      <c r="BJ234" s="2783">
        <f>0</f>
        <v>0</v>
      </c>
      <c r="BK234" s="2783">
        <f>0</f>
        <v>0</v>
      </c>
      <c r="BL234" s="2783">
        <f>0</f>
        <v>0</v>
      </c>
      <c r="BM234" s="2783">
        <f>0</f>
        <v>0</v>
      </c>
      <c r="BN234" s="2783">
        <f>0</f>
        <v>0</v>
      </c>
      <c r="BO234" s="2783">
        <f>0</f>
        <v>0</v>
      </c>
      <c r="BP234" s="2783">
        <f>0</f>
        <v>0</v>
      </c>
      <c r="BQ234" s="2734">
        <f>0</f>
        <v>0</v>
      </c>
      <c r="BR234" s="2734">
        <f>0</f>
        <v>0</v>
      </c>
      <c r="BS234" s="2783">
        <f>0</f>
        <v>0</v>
      </c>
      <c r="BT234" s="2734">
        <f>0</f>
        <v>0</v>
      </c>
      <c r="BU234" s="2734">
        <f>0</f>
        <v>0</v>
      </c>
      <c r="BV234" s="2793">
        <f>0</f>
        <v>0</v>
      </c>
      <c r="BW234" s="2793">
        <f>0</f>
        <v>0</v>
      </c>
      <c r="BX234" s="2793">
        <f>0</f>
        <v>0</v>
      </c>
      <c r="BY234" s="2793">
        <f>0</f>
        <v>0</v>
      </c>
      <c r="BZ234" s="2734">
        <f>0</f>
        <v>0</v>
      </c>
      <c r="CA234" s="2734">
        <f>0</f>
        <v>0</v>
      </c>
      <c r="CB234" s="2814">
        <f>0</f>
        <v>0</v>
      </c>
      <c r="CC234" s="2734">
        <f>0</f>
        <v>0</v>
      </c>
      <c r="CD234" s="2734">
        <f>-1</f>
        <v>-1</v>
      </c>
      <c r="CE234" s="2734">
        <f>0</f>
        <v>0</v>
      </c>
      <c r="CF234" s="2734">
        <f>0</f>
        <v>0</v>
      </c>
      <c r="CG234" s="2734">
        <f>0</f>
        <v>0</v>
      </c>
      <c r="CH234" s="2734">
        <f>0</f>
        <v>0</v>
      </c>
      <c r="CI234" s="2734">
        <f>0</f>
        <v>0</v>
      </c>
      <c r="CJ234" s="2734">
        <f>0</f>
        <v>0</v>
      </c>
      <c r="CK234" s="2734">
        <f>0</f>
        <v>0</v>
      </c>
      <c r="CL234" s="2734">
        <f>0</f>
        <v>0</v>
      </c>
      <c r="CM234" s="2734">
        <f>0</f>
        <v>0</v>
      </c>
      <c r="CN234" s="2734">
        <f>0</f>
        <v>0</v>
      </c>
      <c r="CO234" s="2847">
        <f>k_LaGCH4_bub*(S_GCH4_bub_sat-S_CH4)</f>
        <v>-0.84435000000000004</v>
      </c>
      <c r="CQ234" s="2650">
        <f>E248*E234+F248*F234+G248*G234+H248*H234+I248*I234+J248*J234+K248*K234+L248*L234+M248*M234+N248*N234+O248*O234+P248*P234+Q248*Q234+R248*R234+S248*S234+T248*T234+U248*U234+V248*V234+W248*W234+X248*X234+Y248*Y234+Z248*Z234+AA248*AA234+AB248*AB234+AC248*AC234+AD248*AD234+AE248*AE234+AF248*AF234+AG248*AG234+AH248*AH234+AI248*AI234+AJ248*AJ234+AK248*AK234+AL248*AL234+AM248*AM234+AN248*AN234+AO248*AO234+AP248*AP234+AQ248*AQ234+AR248*AR234+AS248*AS234+AT248*AT234+AU248*AU234+AV248*AV234+AW248*AW234+AX248*AX234+AY248*AY234+AZ248*AZ234+BA248*BA234+BB248*BB234+BC248*BC234+BD248*BD234+BE248*BE234+BF248*BF234+BG248*BG234+BH248*BH234+BI248*BI234+BJ248*BJ234+BK248*BK234+BL248*BL234+BM248*BM234+BN248*BN234+BO248*BO234+BP248*BP234+BQ248*BQ234+BR248*BR234+BS248*BS234+BT248*BT234+BU248*BU234+BV248*BV234+BW248*BW234+BX248*BX234+BY248*BY234+BZ248*BZ234+CA248*CA234+CB248*CB234+CC248*CC234+CD248*CD234+CE248*CE234+CF248*CF234+CG248*CG234+CH248*CH234+CI248*CI234+CJ248*CJ234+CK248*CK234+CL248*CL234+CM248*CM234+CN248*CN234</f>
        <v>0</v>
      </c>
      <c r="CR234" s="2650">
        <f>E249*E234+F249*F234+G249*G234+H249*H234+I249*I234+J249*J234+K249*K234+L249*L234+M249*M234+N249*N234+O249*O234+P249*P234+Q249*Q234+R249*R234+S249*S234+T249*T234+U249*U234+V249*V234+W249*W234+X249*X234+Y249*Y234+Z249*Z234+AA249*AA234+AB249*AB234+AC249*AC234+AD249*AD234+AE249*AE234+AF249*AF234+AG249*AG234+AH249*AH234+AI249*AI234+AJ249*AJ234+AK249*AK234+AL249*AL234+AM249*AM234+AN249*AN234+AO249*AO234+AP249*AP234+AQ249*AQ234+AR249*AR234+AS249*AS234+AT249*AT234+AU249*AU234+AV249*AV234+AW249*AW234+AX249*AX234+AY249*AY234+AZ249*AZ234+BA249*BA234+BB249*BB234+BC249*BC234+BD249*BD234+BE249*BE234+BF249*BF234+BG249*BG234+BH249*BH234+BI249*BI234+BJ249*BJ234+BK249*BK234+BL249*BL234+BM249*BM234+BN249*BN234+BO249*BO234+BP249*BP234+BQ249*BQ234+BR249*BR234+BS249*BS234+BT249*BT234+BU249*BU234+BV249*BV234+BW249*BW234+BX249*BX234+BY249*BY234+BZ249*BZ234+CA249*CA234+CB249*CB234+CC249*CC234+CD249*CD234+CE249*CE234+CF249*CF234+CG249*CG234+CH249*CH234+CI249*CI234+CJ249*CJ234+CK249*CK234+CL249*CL234+CM249*CM234+CN249*CN234</f>
        <v>0</v>
      </c>
      <c r="CS234" s="2651">
        <f>E250*E234+F250*F234+G250*G234+H250*H234+I250*I234+J250*J234+K250*K234+L250*L234+M250*M234+N250*N234+O250*O234+P250*P234+Q250*Q234+R250*R234+S250*S234+T250*T234+U250*U234+V250*V234+W250*W234+X250*X234+Y250*Y234+Z250*Z234+AA250*AA234+AB250*AB234+AC250*AC234+AD250*AD234+AE250*AE234+AF250*AF234+AG250*AG234+AH250*AH234+AI250*AI234+AJ250*AJ234+AK250*AK234+AL250*AL234+AM250*AM234+AN250*AN234+AO250*AO234+AP250*AP234+AQ250*AQ234+AR250*AR234+AS250*AS234+AT250*AT234+AU250*AU234+AV250*AV234+AW250*AW234+AX250*AX234+AY250*AY234+AZ250*AZ234+BA250*BA234+BB250*BB234+BC250*BC234+BD250*BD234+BE250*BE234+BF250*BF234+BG250*BG234+BH250*BH234+BI250*BI234+BJ250*BJ234+BK250*BK234+BL250*BL234+BM250*BM234+BN250*BN234+BO250*BO234+BP250*BP234+BQ250*BQ234+BR250*BR234+BS250*BS234+BT250*BT234+BU250*BU234+BV250*BV234+BW250*BW234+BX250*BX234+BY250*BY234+BZ250*BZ234+CA250*CA234+CB250*CB234+CC250*CC234+CD250*CD234+CE250*CE234+CF250*CF234+CG250*CG234+CH250*CH234+CI250*CI234+CJ250*CJ234+CK250*CK234+CL250*CL234+CM250*CM234+CN250*CN234</f>
        <v>0</v>
      </c>
      <c r="CT234" s="2652">
        <f>E251*E234+F251*F234+G251*G234+H251*H234+I251*I234+J251*J234+K251*K234+L251*L234+M251*M234+N251*N234+O251*O234+P251*P234+Q251*Q234+R251*R234+S251*S234+T251*T234+U251*U234+V251*V234+W251*W234+X251*X234+Y251*Y234+Z251*Z234+AA251*AA234+AB251*AB234+AC251*AC234+AD251*AD234+AE251*AE234+AF251*AF234+AG251*AG234+AH251*AH234+AI251*AI234+AJ251*AJ234+AK251*AK234+AL251*AL234+AM251*AM234+AN251*AN234+AO251*AO234+AP251*AP234+AQ251*AQ234+AR251*AR234+AS251*AS234+AT251*AT234+AU251*AU234+AV251*AV234+AW251*AW234+AX251*AX234+AY251*AY234+AZ251*AZ234+BA251*BA234+BB251*BB234+BC251*BC234+BD251*BD234+BE251*BE234+BF251*BF234+BG251*BG234+BH251*BH234+BI251*BI234+BJ251*BJ234+BK251*BK234+BL251*BL234+BM251*BM234+BN251*BN234+BO251*BO234+BP251*BP234+BQ251*BQ234+BR251*BR234+BS251*BS234+BT251*BT234+BU251*BU234+BV251*BV234+BW251*BW234+BX251*BX234+BY251*BY234+BZ251*BZ234+CA251*CA234+CB251*CB234+CC251*CC234+CD251*CD234+CE251*CE234+CF251*CF234+CG251*CG234+CH251*CH234+CI251*CI234+CJ251*CJ234+CK251*CK234+CL251*CL234+CM251*CM234+CN251*CN234</f>
        <v>0</v>
      </c>
      <c r="CU234" s="2652">
        <f>E252*E234+F252*F234+G252*G234+H252*H234+I252*I234+J252*J234+K252*K234+L252*L234+M252*M234+N252*N234+O252*O234+P252*P234+Q252*Q234+R252*R234+S252*S234+T252*T234+U252*U234+V252*V234+W252*W234+X252*X234+Y252*Y234+Z252*Z234+AA252*AA234+AB252*AB234+AC252*AC234+AD252*AD234+AE252*AE234+AF252*AF234+AG252*AG234+AH252*AH234+AI252*AI234+AJ252*AJ234+AK252*AK234+AL252*AL234+AM252*AM234+AN252*AN234+AO252*AO234+AP252*AP234+AQ252*AQ234+AR252*AR234+AS252*AS234+AT252*AT234+AU252*AU234+AV252*AV234+AW252*AW234+AX252*AX234+AY252*AY234+AZ252*AZ234+BA252*BA234+BB252*BB234+BC252*BC234+BD252*BD234+BE252*BE234+BF252*BF234+BG252*BG234+BH252*BH234+BI252*BI234+BJ252*BJ234+BK252*BK234+BL252*BL234+BM252*BM234+BN252*BN234+BO252*BO234+BP252*BP234+BQ252*BQ234+BR252*BR234+BS252*BS234+BT252*BT234+BU252*BU234+BV252*BV234+BW252*BW234+BX252*BX234+BY252*BY234+BZ252*BZ234+CA252*CA234+CB252*CB234+CC252*CC234+CD252*CD234+CE252*CE234+CF252*CF234+CG252*CG234+CH252*CH234+CI252*CI234+CJ252*CJ234+CK252*CK234+CL252*CL234+CM252*CM234+CN252*CN234</f>
        <v>0</v>
      </c>
      <c r="CV234" s="2652">
        <f>E253*E234+F253*F234+G253*G234+H253*H234+I253*I234+J253*J234+K253*K234+L253*L234+M253*M234+N253*N234+O253*O234+P253*P234+Q253*Q234+R253*R234+S253*S234+T253*T234+U253*U234+V253*V234+W253*W234+X253*X234+Y253*Y234+Z253*Z234+AA253*AA234+AB253*AB234+AC253*AC234+AD253*AD234+AE253*AE234+AF253*AF234+AG253*AG234+AH253*AH234+AI253*AI234+AJ253*AJ234+AK253*AK234+AL253*AL234+AM253*AM234+AN253*AN234+AO253*AO234+AP253*AP234+AQ253*AQ234+AR253*AR234+AS253*AS234+AT253*AT234+AU253*AU234+AV253*AV234+AW253*AW234+AX253*AX234+AY253*AY234+AZ253*AZ234+BA253*BA234+BB253*BB234+BC253*BC234+BD253*BD234+BE253*BE234+BF253*BF234+BG253*BG234+BH253*BH234+BI253*BI234+BJ253*BJ234+BK253*BK234+BL253*BL234+BM253*BM234+BN253*BN234+BO253*BO234+BP253*BP234+BQ253*BQ234+BR253*BR234+BS253*BS234+BT253*BT234+BU253*BU234+BV253*BV234+BW253*BW234+BX253*BX234+BY253*BY234+BZ253*BZ234+CA253*CA234+CB253*CB234+CC253*CC234+CD253*CD234+CE253*CE234+CF253*CF234+CG253*CG234+CH253*CH234+CI253*CI234+CJ253*CJ234+CK253*CK234+CL253*CL234+CM253*CM234+CN253*CN234</f>
        <v>0</v>
      </c>
      <c r="CW234" s="2652">
        <f>E254*E234+F254*F234+G254*G234+H254*H234+I254*I234+J254*J234+K254*K234+L254*L234+M254*M234+N254*N234+O254*O234+P254*P234+Q254*Q234+R254*R234+S254*S234+T254*T234+U254*U234+V254*V234+W254*W234+X254*X234+Y254*Y234+Z254*Z234+AA254*AA234+AB254*AB234+AC254*AC234+AD254*AD234+AE254*AE234+AF254*AF234+AG254*AG234+AH254*AH234+AI254*AI234+AJ254*AJ234+AK254*AK234+AL254*AL234+AM254*AM234+AN254*AN234+AO254*AO234+AP254*AP234+AQ254*AQ234+AR254*AR234+AS254*AS234+AT254*AT234+AU254*AU234+AV254*AV234+AW254*AW234+AX254*AX234+AY254*AY234+AZ254*AZ234+BA254*BA234+BB254*BB234+BC254*BC234+BD254*BD234+BE254*BE234+BF254*BF234+BG254*BG234+BH254*BH234+BI254*BI234+BJ254*BJ234+BK254*BK234+BL254*BL234+BM254*BM234+BN254*BN234+BO254*BO234+BP254*BP234+BQ254*BQ234+BR254*BR234+BS254*BS234+BT254*BT234+BU254*BU234+BV254*BV234+BW254*BW234+BX254*BX234+BY254*BY234+BZ254*BZ234+CA254*CA234+CB254*CB234+CC254*CC234+CD254*CD234+CE254*CE234+CF254*CF234+CG254*CG234+CH254*CH234+CI254*CI234+CJ254*CJ234+CK254*CK234+CL254*CL234+CM254*CM234+CN254*CN234</f>
        <v>0</v>
      </c>
      <c r="CX234" s="2652">
        <f>E255*E234+F255*F234+G255*G234+H255*H234+I255*I234+J255*J234+K255*K234+L255*L234+M255*M234+N255*N234+O255*O234+P255*P234+Q255*Q234+R255*R234+S255*S234+T255*T234+U255*U234+V255*V234+W255*W234+X255*X234+Y255*Y234+Z255*Z234+AA255*AA234+AB255*AB234+AC255*AC234+AD255*AD234+AE255*AE234+AF255*AF234+AG255*AG234+AH255*AH234+AI255*AI234+AJ255*AJ234+AK255*AK234+AL255*AL234+AM255*AM234+AN255*AN234+AO255*AO234+AP255*AP234+AQ255*AQ234+AR255*AR234+AS255*AS234+AT255*AT234+AU255*AU234+AV255*AV234+AW255*AW234+AX255*AX234+AY255*AY234+AZ255*AZ234+BA255*BA234+BB255*BB234+BC255*BC234+BD255*BD234+BE255*BE234+BF255*BF234+BG255*BG234+BH255*BH234+BI255*BI234+BJ255*BJ234+BK255*BK234+BL255*BL234+BM255*BM234+BN255*BN234+BO255*BO234+BP255*BP234+BQ255*BQ234+BR255*BR234+BS255*BS234+BT255*BT234+BU255*BU234+BV255*BV234+BW255*BW234+BX255*BX234+BY255*BY234+BZ255*BZ234+CA255*CA234+CB255*CB234+CC255*CC234+CD255*CD234+CE255*CE234+CF255*CF234+CG255*CG234+CH255*CH234+CI255*CI234+CJ255*CJ234+CK255*CK234+CL255*CL234+CM255*CM234+CN255*CN234</f>
        <v>0</v>
      </c>
      <c r="CY234" s="2652">
        <f>E256*E234+F256*F234+G256*G234+H256*H234+I256*I234+J256*J234+K256*K234+L256*L234+M256*M234+N256*N234+O256*O234+P256*P234+Q256*Q234+R256*R234+S256*S234+T256*T234+U256*U234+V256*V234+W256*W234+X256*X234+Y256*Y234+Z256*Z234+AA256*AA234+AB256*AB234+AC256*AC234+AD256*AD234+AE256*AE234+AF256*AF234+AG256*AG234+AH256*AH234+AI256*AI234+AJ256*AJ234+AK256*AK234+AL256*AL234+AM256*AM234+AN256*AN234+AO256*AO234+AP256*AP234+AQ256*AQ234+AR256*AR234+AS256*AS234+AT256*AT234+AU256*AU234+AV256*AV234+AW256*AW234+AX256*AX234+AY256*AY234+AZ256*AZ234+BA256*BA234+BB256*BB234+BC256*BC234+BD256*BD234+BE256*BE234+BF256*BF234+BG256*BG234+BH256*BH234+BI256*BI234+BJ256*BJ234+BK256*BK234+BL256*BL234+BM256*BM234+BN256*BN234+BO256*BO234+BP256*BP234+BQ256*BQ234+BR256*BR234+BS256*BS234+BT256*BT234+BU256*BU234+BV256*BV234+BW256*BW234+BX256*BX234+BY256*BY234+BZ256*BZ234+CA256*CA234+CB256*CB234+CC256*CC234+CD256*CD234+CE256*CE234+CF256*CF234+CG256*CG234+CH256*CH234+CI256*CI234+CJ256*CJ234+CK256*CK234+CL256*CL234+CM256*CM234+CN256*CN234</f>
        <v>0</v>
      </c>
      <c r="CZ234" s="2652">
        <f>E257*E234+F257*F234+G257*G234+H257*H234+I257*I234+J257*J234+K257*K234+L257*L234+M257*M234+N257*N234+O257*O234+P257*P234+Q257*Q234+R257*R234+S257*S234+T257*T234+U257*U234+V257*V234+W257*W234+X257*X234+Y257*Y234+Z257*Z234+AA257*AA234+AB257*AB234+AC257*AC234+AD257*AD234+AE257*AE234+AF257*AF234+AG257*AG234+AH257*AH234+AI257*AI234+AJ257*AJ234+AK257*AK234+AL257*AL234+AM257*AM234+AN257*AN234+AO257*AO234+AP257*AP234+AQ257*AQ234+AR257*AR234+AS257*AS234+AT257*AT234+AU257*AU234+AV257*AV234+AW257*AW234+AX257*AX234+AY257*AY234+AZ257*AZ234+BA257*BA234+BB257*BB234+BC257*BC234+BD257*BD234+BE257*BE234+BF257*BF234+BG257*BG234+BH257*BH234+BI257*BI234+BJ257*BJ234+BK257*BK234+BL257*BL234+BM257*BM234+BN257*BN234+BO257*BO234+BP257*BP234+BQ257*BQ234+BR257*BR234+BS257*BS234+BT257*BT234+BU257*BU234+BV257*BV234+BW257*BW234+BX257*BX234+BY257*BY234+BZ257*BZ234+CA257*CA234+CB257*CB234+CC257*CC234+CD257*CD234+CE257*CE234+CF257*CF234+CG257*CG234+CH257*CH234+CI257*CI234+CJ257*CJ234+CK257*CK234+CL257*CL234+CM257*CM234+CN257*CN234</f>
        <v>0</v>
      </c>
      <c r="DA234" s="2652">
        <f>E258*E234+F258*F234+G258*G234+H258*H234+I258*I234+J258*J234+K258*K234+L258*L234+M258*M234+N258*N234+O258*O234+P258*P234+Q258*Q234+R258*R234+S258*S234+T258*T234+U258*U234+V258*V234+W258*W234+X258*X234+Y258*Y234+Z258*Z234+AA258*AA234+AB258*AB234+AC258*AC234+AD258*AD234+AE258*AE234+AF258*AF234+AG258*AG234+AH258*AH234+AI258*AI234+AJ258*AJ234+AK258*AK234+AL258*AL234+AM258*AM234+AN258*AN234+AO258*AO234+AP258*AP234+AQ258*AQ234+AR258*AR234+AS258*AS234+AT258*AT234+AU258*AU234+AV258*AV234+AW258*AW234+AX258*AX234+AY258*AY234+AZ258*AZ234+BA258*BA234+BB258*BB234+BC258*BC234+BD258*BD234+BE258*BE234+BF258*BF234+BG258*BG234+BH258*BH234+BI258*BI234+BJ258*BJ234+BK258*BK234+BL258*BL234+BM258*BM234+BN258*BN234+BO258*BO234+BP258*BP234+BQ258*BQ234+BR258*BR234+BS258*BS234+BT258*BT234+BU258*BU234+BV258*BV234+BW258*BW234+BX258*BX234+BY258*BY234+BZ258*BZ234+CA258*CA234+CB258*CB234+CC258*CC234+CD258*CD234+CE258*CE234+CF258*CF234+CG258*CG234+CH258*CH234+CI258*CI234+CJ258*CJ234+CK258*CK234+CL258*CL234+CM258*CM234+CN258*CN234</f>
        <v>0</v>
      </c>
    </row>
    <row r="235" spans="2:105" ht="18" x14ac:dyDescent="0.25">
      <c r="B235" s="2187">
        <v>102</v>
      </c>
      <c r="C235" s="2188" t="s">
        <v>4364</v>
      </c>
      <c r="D235" s="863" t="s">
        <v>3497</v>
      </c>
      <c r="E235" s="2703">
        <f>0</f>
        <v>0</v>
      </c>
      <c r="F235" s="2703">
        <f>0</f>
        <v>0</v>
      </c>
      <c r="G235" s="2703">
        <f>0</f>
        <v>0</v>
      </c>
      <c r="H235" s="2703">
        <f>0</f>
        <v>0</v>
      </c>
      <c r="I235" s="2703">
        <f>0</f>
        <v>0</v>
      </c>
      <c r="J235" s="2703">
        <f>0</f>
        <v>0</v>
      </c>
      <c r="K235" s="2724">
        <f>0</f>
        <v>0</v>
      </c>
      <c r="L235" s="2703">
        <f>0</f>
        <v>0</v>
      </c>
      <c r="M235" s="2703">
        <f>0</f>
        <v>0</v>
      </c>
      <c r="N235" s="2703">
        <f>0</f>
        <v>0</v>
      </c>
      <c r="O235" s="2703">
        <f>0</f>
        <v>0</v>
      </c>
      <c r="P235" s="2703">
        <f>0</f>
        <v>0</v>
      </c>
      <c r="Q235" s="2703">
        <f>0</f>
        <v>0</v>
      </c>
      <c r="R235" s="2703">
        <f>0</f>
        <v>0</v>
      </c>
      <c r="S235" s="2703">
        <f>0</f>
        <v>0</v>
      </c>
      <c r="T235" s="2734">
        <f>0</f>
        <v>0</v>
      </c>
      <c r="U235" s="2734">
        <f>0</f>
        <v>0</v>
      </c>
      <c r="V235" s="2703">
        <f>0</f>
        <v>0</v>
      </c>
      <c r="W235" s="2703">
        <f>0</f>
        <v>0</v>
      </c>
      <c r="X235" s="2703">
        <f>0</f>
        <v>0</v>
      </c>
      <c r="Y235" s="2703">
        <f>0</f>
        <v>0</v>
      </c>
      <c r="Z235" s="2703">
        <f>0</f>
        <v>0</v>
      </c>
      <c r="AA235" s="2703">
        <f>0</f>
        <v>0</v>
      </c>
      <c r="AB235" s="2703">
        <f>0</f>
        <v>0</v>
      </c>
      <c r="AC235" s="2724">
        <f>0</f>
        <v>0</v>
      </c>
      <c r="AD235" s="2703">
        <f>0</f>
        <v>0</v>
      </c>
      <c r="AE235" s="2703">
        <f>0</f>
        <v>0</v>
      </c>
      <c r="AF235" s="2703">
        <f>0</f>
        <v>0</v>
      </c>
      <c r="AG235" s="2703">
        <f>0</f>
        <v>0</v>
      </c>
      <c r="AH235" s="2703">
        <f>0</f>
        <v>0</v>
      </c>
      <c r="AI235" s="2703">
        <f>0</f>
        <v>0</v>
      </c>
      <c r="AJ235" s="2724">
        <f>0</f>
        <v>0</v>
      </c>
      <c r="AK235" s="2703">
        <f>0</f>
        <v>0</v>
      </c>
      <c r="AL235" s="2703">
        <f>0</f>
        <v>0</v>
      </c>
      <c r="AM235" s="2703">
        <f>0</f>
        <v>0</v>
      </c>
      <c r="AN235" s="2703">
        <f>0</f>
        <v>0</v>
      </c>
      <c r="AO235" s="2703">
        <f>0</f>
        <v>0</v>
      </c>
      <c r="AP235" s="2724">
        <f>0</f>
        <v>0</v>
      </c>
      <c r="AQ235" s="2703">
        <f>0</f>
        <v>0</v>
      </c>
      <c r="AR235" s="2703">
        <f>0</f>
        <v>0</v>
      </c>
      <c r="AS235" s="2703">
        <f>0</f>
        <v>0</v>
      </c>
      <c r="AT235" s="2703">
        <f>1</f>
        <v>1</v>
      </c>
      <c r="AU235" s="2703">
        <f>0</f>
        <v>0</v>
      </c>
      <c r="AV235" s="2703">
        <f>0</f>
        <v>0</v>
      </c>
      <c r="AW235" s="2703">
        <f>0</f>
        <v>0</v>
      </c>
      <c r="AX235" s="2703">
        <f>0</f>
        <v>0</v>
      </c>
      <c r="AY235" s="2703">
        <f>0</f>
        <v>0</v>
      </c>
      <c r="AZ235" s="2703">
        <f>0</f>
        <v>0</v>
      </c>
      <c r="BA235" s="2703">
        <f>0</f>
        <v>0</v>
      </c>
      <c r="BB235" s="2734">
        <f>0</f>
        <v>0</v>
      </c>
      <c r="BC235" s="2734">
        <f>0</f>
        <v>0</v>
      </c>
      <c r="BD235" s="2734">
        <f>0</f>
        <v>0</v>
      </c>
      <c r="BE235" s="2734">
        <f>0</f>
        <v>0</v>
      </c>
      <c r="BF235" s="2734">
        <f>0</f>
        <v>0</v>
      </c>
      <c r="BG235" s="2734">
        <f>0</f>
        <v>0</v>
      </c>
      <c r="BH235" s="2734">
        <f>0</f>
        <v>0</v>
      </c>
      <c r="BI235" s="2734">
        <f>0</f>
        <v>0</v>
      </c>
      <c r="BJ235" s="2783">
        <f>0</f>
        <v>0</v>
      </c>
      <c r="BK235" s="2783">
        <f>0</f>
        <v>0</v>
      </c>
      <c r="BL235" s="2783">
        <f>0</f>
        <v>0</v>
      </c>
      <c r="BM235" s="2783">
        <f>0</f>
        <v>0</v>
      </c>
      <c r="BN235" s="2783">
        <f>0</f>
        <v>0</v>
      </c>
      <c r="BO235" s="2783">
        <f>0</f>
        <v>0</v>
      </c>
      <c r="BP235" s="2783">
        <f>0</f>
        <v>0</v>
      </c>
      <c r="BQ235" s="2734">
        <f>0</f>
        <v>0</v>
      </c>
      <c r="BR235" s="2734">
        <f>0</f>
        <v>0</v>
      </c>
      <c r="BS235" s="2783">
        <f>0</f>
        <v>0</v>
      </c>
      <c r="BT235" s="2734">
        <f>0</f>
        <v>0</v>
      </c>
      <c r="BU235" s="2734">
        <f>0</f>
        <v>0</v>
      </c>
      <c r="BV235" s="2793">
        <f>0</f>
        <v>0</v>
      </c>
      <c r="BW235" s="2793">
        <f>0</f>
        <v>0</v>
      </c>
      <c r="BX235" s="2793">
        <f>0</f>
        <v>0</v>
      </c>
      <c r="BY235" s="2793">
        <f>0</f>
        <v>0</v>
      </c>
      <c r="BZ235" s="2734">
        <f>0</f>
        <v>0</v>
      </c>
      <c r="CA235" s="2734">
        <f>0</f>
        <v>0</v>
      </c>
      <c r="CB235" s="2814">
        <f>0</f>
        <v>0</v>
      </c>
      <c r="CC235" s="2734">
        <f>0</f>
        <v>0</v>
      </c>
      <c r="CD235" s="2734">
        <f>0</f>
        <v>0</v>
      </c>
      <c r="CE235" s="2734">
        <f>-1</f>
        <v>-1</v>
      </c>
      <c r="CF235" s="2734">
        <f>0</f>
        <v>0</v>
      </c>
      <c r="CG235" s="2734">
        <f>0</f>
        <v>0</v>
      </c>
      <c r="CH235" s="2734">
        <f>0</f>
        <v>0</v>
      </c>
      <c r="CI235" s="2734">
        <f>0</f>
        <v>0</v>
      </c>
      <c r="CJ235" s="2734">
        <f>0</f>
        <v>0</v>
      </c>
      <c r="CK235" s="2734">
        <f>0</f>
        <v>0</v>
      </c>
      <c r="CL235" s="2734">
        <f>0</f>
        <v>0</v>
      </c>
      <c r="CM235" s="2734">
        <f>0</f>
        <v>0</v>
      </c>
      <c r="CN235" s="2734">
        <f>0</f>
        <v>0</v>
      </c>
      <c r="CO235" s="2847">
        <f>k_LaGH2_bub*(S_GH2_bub_sat-S_H2)</f>
        <v>-1.4673500000000002</v>
      </c>
      <c r="CQ235" s="2650">
        <f>E248*E235+F248*F235+G248*G235+H248*H235+I248*I235+J248*J235+K248*K235+L248*L235+M248*M235+N248*N235+O248*O235+P248*P235+Q248*Q235+R248*R235+S248*S235+T248*T235+U248*U235+V248*V235+W248*W235+X248*X235+Y248*Y235+Z248*Z235+AA248*AA235+AB248*AB235+AC248*AC235+AD248*AD235+AE248*AE235+AF248*AF235+AG248*AG235+AH248*AH235+AI248*AI235+AJ248*AJ235+AK248*AK235+AL248*AL235+AM248*AM235+AN248*AN235+AO248*AO235+AP248*AP235+AQ248*AQ235+AR248*AR235+AS248*AS235+AT248*AT235+AU248*AU235+AV248*AV235+AW248*AW235+AX248*AX235+AY248*AY235+AZ248*AZ235+BA248*BA235+BB248*BB235+BC248*BC235+BD248*BD235+BE248*BE235+BF248*BF235+BG248*BG235+BH248*BH235+BI248*BI235+BJ248*BJ235+BK248*BK235+BL248*BL235+BM248*BM235+BN248*BN235+BO248*BO235+BP248*BP235+BQ248*BQ235+BR248*BR235+BS248*BS235+BT248*BT235+BU248*BU235+BV248*BV235+BW248*BW235+BX248*BX235+BY248*BY235+BZ248*BZ235+CA248*CA235+CB248*CB235+CC248*CC235+CD248*CD235+CE248*CE235+CF248*CF235+CG248*CG235+CH248*CH235+CI248*CI235+CJ248*CJ235+CK248*CK235+CL248*CL235+CM248*CM235+CN248*CN235</f>
        <v>0</v>
      </c>
      <c r="CR235" s="2650">
        <f>E249*E235+F249*F235+G249*G235+H249*H235+I249*I235+J249*J235+K249*K235+L249*L235+M249*M235+N249*N235+O249*O235+P249*P235+Q249*Q235+R249*R235+S249*S235+T249*T235+U249*U235+V249*V235+W249*W235+X249*X235+Y249*Y235+Z249*Z235+AA249*AA235+AB249*AB235+AC249*AC235+AD249*AD235+AE249*AE235+AF249*AF235+AG249*AG235+AH249*AH235+AI249*AI235+AJ249*AJ235+AK249*AK235+AL249*AL235+AM249*AM235+AN249*AN235+AO249*AO235+AP249*AP235+AQ249*AQ235+AR249*AR235+AS249*AS235+AT249*AT235+AU249*AU235+AV249*AV235+AW249*AW235+AX249*AX235+AY249*AY235+AZ249*AZ235+BA249*BA235+BB249*BB235+BC249*BC235+BD249*BD235+BE249*BE235+BF249*BF235+BG249*BG235+BH249*BH235+BI249*BI235+BJ249*BJ235+BK249*BK235+BL249*BL235+BM249*BM235+BN249*BN235+BO249*BO235+BP249*BP235+BQ249*BQ235+BR249*BR235+BS249*BS235+BT249*BT235+BU249*BU235+BV249*BV235+BW249*BW235+BX249*BX235+BY249*BY235+BZ249*BZ235+CA249*CA235+CB249*CB235+CC249*CC235+CD249*CD235+CE249*CE235+CF249*CF235+CG249*CG235+CH249*CH235+CI249*CI235+CJ249*CJ235+CK249*CK235+CL249*CL235+CM249*CM235+CN249*CN235</f>
        <v>0</v>
      </c>
      <c r="CS235" s="2651">
        <f>E250*E235+F250*F235+G250*G235+H250*H235+I250*I235+J250*J235+K250*K235+L250*L235+M250*M235+N250*N235+O250*O235+P250*P235+Q250*Q235+R250*R235+S250*S235+T250*T235+U250*U235+V250*V235+W250*W235+X250*X235+Y250*Y235+Z250*Z235+AA250*AA235+AB250*AB235+AC250*AC235+AD250*AD235+AE250*AE235+AF250*AF235+AG250*AG235+AH250*AH235+AI250*AI235+AJ250*AJ235+AK250*AK235+AL250*AL235+AM250*AM235+AN250*AN235+AO250*AO235+AP250*AP235+AQ250*AQ235+AR250*AR235+AS250*AS235+AT250*AT235+AU250*AU235+AV250*AV235+AW250*AW235+AX250*AX235+AY250*AY235+AZ250*AZ235+BA250*BA235+BB250*BB235+BC250*BC235+BD250*BD235+BE250*BE235+BF250*BF235+BG250*BG235+BH250*BH235+BI250*BI235+BJ250*BJ235+BK250*BK235+BL250*BL235+BM250*BM235+BN250*BN235+BO250*BO235+BP250*BP235+BQ250*BQ235+BR250*BR235+BS250*BS235+BT250*BT235+BU250*BU235+BV250*BV235+BW250*BW235+BX250*BX235+BY250*BY235+BZ250*BZ235+CA250*CA235+CB250*CB235+CC250*CC235+CD250*CD235+CE250*CE235+CF250*CF235+CG250*CG235+CH250*CH235+CI250*CI235+CJ250*CJ235+CK250*CK235+CL250*CL235+CM250*CM235+CN250*CN235</f>
        <v>0</v>
      </c>
      <c r="CT235" s="2652">
        <f>E251*E235+F251*F235+G251*G235+H251*H235+I251*I235+J251*J235+K251*K235+L251*L235+M251*M235+N251*N235+O251*O235+P251*P235+Q251*Q235+R251*R235+S251*S235+T251*T235+U251*U235+V251*V235+W251*W235+X251*X235+Y251*Y235+Z251*Z235+AA251*AA235+AB251*AB235+AC251*AC235+AD251*AD235+AE251*AE235+AF251*AF235+AG251*AG235+AH251*AH235+AI251*AI235+AJ251*AJ235+AK251*AK235+AL251*AL235+AM251*AM235+AN251*AN235+AO251*AO235+AP251*AP235+AQ251*AQ235+AR251*AR235+AS251*AS235+AT251*AT235+AU251*AU235+AV251*AV235+AW251*AW235+AX251*AX235+AY251*AY235+AZ251*AZ235+BA251*BA235+BB251*BB235+BC251*BC235+BD251*BD235+BE251*BE235+BF251*BF235+BG251*BG235+BH251*BH235+BI251*BI235+BJ251*BJ235+BK251*BK235+BL251*BL235+BM251*BM235+BN251*BN235+BO251*BO235+BP251*BP235+BQ251*BQ235+BR251*BR235+BS251*BS235+BT251*BT235+BU251*BU235+BV251*BV235+BW251*BW235+BX251*BX235+BY251*BY235+BZ251*BZ235+CA251*CA235+CB251*CB235+CC251*CC235+CD251*CD235+CE251*CE235+CF251*CF235+CG251*CG235+CH251*CH235+CI251*CI235+CJ251*CJ235+CK251*CK235+CL251*CL235+CM251*CM235+CN251*CN235</f>
        <v>0</v>
      </c>
      <c r="CU235" s="2652">
        <f>E252*E235+F252*F235+G252*G235+H252*H235+I252*I235+J252*J235+K252*K235+L252*L235+M252*M235+N252*N235+O252*O235+P252*P235+Q252*Q235+R252*R235+S252*S235+T252*T235+U252*U235+V252*V235+W252*W235+X252*X235+Y252*Y235+Z252*Z235+AA252*AA235+AB252*AB235+AC252*AC235+AD252*AD235+AE252*AE235+AF252*AF235+AG252*AG235+AH252*AH235+AI252*AI235+AJ252*AJ235+AK252*AK235+AL252*AL235+AM252*AM235+AN252*AN235+AO252*AO235+AP252*AP235+AQ252*AQ235+AR252*AR235+AS252*AS235+AT252*AT235+AU252*AU235+AV252*AV235+AW252*AW235+AX252*AX235+AY252*AY235+AZ252*AZ235+BA252*BA235+BB252*BB235+BC252*BC235+BD252*BD235+BE252*BE235+BF252*BF235+BG252*BG235+BH252*BH235+BI252*BI235+BJ252*BJ235+BK252*BK235+BL252*BL235+BM252*BM235+BN252*BN235+BO252*BO235+BP252*BP235+BQ252*BQ235+BR252*BR235+BS252*BS235+BT252*BT235+BU252*BU235+BV252*BV235+BW252*BW235+BX252*BX235+BY252*BY235+BZ252*BZ235+CA252*CA235+CB252*CB235+CC252*CC235+CD252*CD235+CE252*CE235+CF252*CF235+CG252*CG235+CH252*CH235+CI252*CI235+CJ252*CJ235+CK252*CK235+CL252*CL235+CM252*CM235+CN252*CN235</f>
        <v>0</v>
      </c>
      <c r="CV235" s="2652">
        <f>E253*E235+F253*F235+G253*G235+H253*H235+I253*I235+J253*J235+K253*K235+L253*L235+M253*M235+N253*N235+O253*O235+P253*P235+Q253*Q235+R253*R235+S253*S235+T253*T235+U253*U235+V253*V235+W253*W235+X253*X235+Y253*Y235+Z253*Z235+AA253*AA235+AB253*AB235+AC253*AC235+AD253*AD235+AE253*AE235+AF253*AF235+AG253*AG235+AH253*AH235+AI253*AI235+AJ253*AJ235+AK253*AK235+AL253*AL235+AM253*AM235+AN253*AN235+AO253*AO235+AP253*AP235+AQ253*AQ235+AR253*AR235+AS253*AS235+AT253*AT235+AU253*AU235+AV253*AV235+AW253*AW235+AX253*AX235+AY253*AY235+AZ253*AZ235+BA253*BA235+BB253*BB235+BC253*BC235+BD253*BD235+BE253*BE235+BF253*BF235+BG253*BG235+BH253*BH235+BI253*BI235+BJ253*BJ235+BK253*BK235+BL253*BL235+BM253*BM235+BN253*BN235+BO253*BO235+BP253*BP235+BQ253*BQ235+BR253*BR235+BS253*BS235+BT253*BT235+BU253*BU235+BV253*BV235+BW253*BW235+BX253*BX235+BY253*BY235+BZ253*BZ235+CA253*CA235+CB253*CB235+CC253*CC235+CD253*CD235+CE253*CE235+CF253*CF235+CG253*CG235+CH253*CH235+CI253*CI235+CJ253*CJ235+CK253*CK235+CL253*CL235+CM253*CM235+CN253*CN235</f>
        <v>0</v>
      </c>
      <c r="CW235" s="2652">
        <f>E254*E235+F254*F235+G254*G235+H254*H235+I254*I235+J254*J235+K254*K235+L254*L235+M254*M235+N254*N235+O254*O235+P254*P235+Q254*Q235+R254*R235+S254*S235+T254*T235+U254*U235+V254*V235+W254*W235+X254*X235+Y254*Y235+Z254*Z235+AA254*AA235+AB254*AB235+AC254*AC235+AD254*AD235+AE254*AE235+AF254*AF235+AG254*AG235+AH254*AH235+AI254*AI235+AJ254*AJ235+AK254*AK235+AL254*AL235+AM254*AM235+AN254*AN235+AO254*AO235+AP254*AP235+AQ254*AQ235+AR254*AR235+AS254*AS235+AT254*AT235+AU254*AU235+AV254*AV235+AW254*AW235+AX254*AX235+AY254*AY235+AZ254*AZ235+BA254*BA235+BB254*BB235+BC254*BC235+BD254*BD235+BE254*BE235+BF254*BF235+BG254*BG235+BH254*BH235+BI254*BI235+BJ254*BJ235+BK254*BK235+BL254*BL235+BM254*BM235+BN254*BN235+BO254*BO235+BP254*BP235+BQ254*BQ235+BR254*BR235+BS254*BS235+BT254*BT235+BU254*BU235+BV254*BV235+BW254*BW235+BX254*BX235+BY254*BY235+BZ254*BZ235+CA254*CA235+CB254*CB235+CC254*CC235+CD254*CD235+CE254*CE235+CF254*CF235+CG254*CG235+CH254*CH235+CI254*CI235+CJ254*CJ235+CK254*CK235+CL254*CL235+CM254*CM235+CN254*CN235</f>
        <v>0</v>
      </c>
      <c r="CX235" s="2652">
        <f>E255*E235+F255*F235+G255*G235+H255*H235+I255*I235+J255*J235+K255*K235+L255*L235+M255*M235+N255*N235+O255*O235+P255*P235+Q255*Q235+R255*R235+S255*S235+T255*T235+U255*U235+V255*V235+W255*W235+X255*X235+Y255*Y235+Z255*Z235+AA255*AA235+AB255*AB235+AC255*AC235+AD255*AD235+AE255*AE235+AF255*AF235+AG255*AG235+AH255*AH235+AI255*AI235+AJ255*AJ235+AK255*AK235+AL255*AL235+AM255*AM235+AN255*AN235+AO255*AO235+AP255*AP235+AQ255*AQ235+AR255*AR235+AS255*AS235+AT255*AT235+AU255*AU235+AV255*AV235+AW255*AW235+AX255*AX235+AY255*AY235+AZ255*AZ235+BA255*BA235+BB255*BB235+BC255*BC235+BD255*BD235+BE255*BE235+BF255*BF235+BG255*BG235+BH255*BH235+BI255*BI235+BJ255*BJ235+BK255*BK235+BL255*BL235+BM255*BM235+BN255*BN235+BO255*BO235+BP255*BP235+BQ255*BQ235+BR255*BR235+BS255*BS235+BT255*BT235+BU255*BU235+BV255*BV235+BW255*BW235+BX255*BX235+BY255*BY235+BZ255*BZ235+CA255*CA235+CB255*CB235+CC255*CC235+CD255*CD235+CE255*CE235+CF255*CF235+CG255*CG235+CH255*CH235+CI255*CI235+CJ255*CJ235+CK255*CK235+CL255*CL235+CM255*CM235+CN255*CN235</f>
        <v>0</v>
      </c>
      <c r="CY235" s="2652">
        <f>E256*E235+F256*F235+G256*G235+H256*H235+I256*I235+J256*J235+K256*K235+L256*L235+M256*M235+N256*N235+O256*O235+P256*P235+Q256*Q235+R256*R235+S256*S235+T256*T235+U256*U235+V256*V235+W256*W235+X256*X235+Y256*Y235+Z256*Z235+AA256*AA235+AB256*AB235+AC256*AC235+AD256*AD235+AE256*AE235+AF256*AF235+AG256*AG235+AH256*AH235+AI256*AI235+AJ256*AJ235+AK256*AK235+AL256*AL235+AM256*AM235+AN256*AN235+AO256*AO235+AP256*AP235+AQ256*AQ235+AR256*AR235+AS256*AS235+AT256*AT235+AU256*AU235+AV256*AV235+AW256*AW235+AX256*AX235+AY256*AY235+AZ256*AZ235+BA256*BA235+BB256*BB235+BC256*BC235+BD256*BD235+BE256*BE235+BF256*BF235+BG256*BG235+BH256*BH235+BI256*BI235+BJ256*BJ235+BK256*BK235+BL256*BL235+BM256*BM235+BN256*BN235+BO256*BO235+BP256*BP235+BQ256*BQ235+BR256*BR235+BS256*BS235+BT256*BT235+BU256*BU235+BV256*BV235+BW256*BW235+BX256*BX235+BY256*BY235+BZ256*BZ235+CA256*CA235+CB256*CB235+CC256*CC235+CD256*CD235+CE256*CE235+CF256*CF235+CG256*CG235+CH256*CH235+CI256*CI235+CJ256*CJ235+CK256*CK235+CL256*CL235+CM256*CM235+CN256*CN235</f>
        <v>0</v>
      </c>
      <c r="CZ235" s="2652">
        <f>E257*E235+F257*F235+G257*G235+H257*H235+I257*I235+J257*J235+K257*K235+L257*L235+M257*M235+N257*N235+O257*O235+P257*P235+Q257*Q235+R257*R235+S257*S235+T257*T235+U257*U235+V257*V235+W257*W235+X257*X235+Y257*Y235+Z257*Z235+AA257*AA235+AB257*AB235+AC257*AC235+AD257*AD235+AE257*AE235+AF257*AF235+AG257*AG235+AH257*AH235+AI257*AI235+AJ257*AJ235+AK257*AK235+AL257*AL235+AM257*AM235+AN257*AN235+AO257*AO235+AP257*AP235+AQ257*AQ235+AR257*AR235+AS257*AS235+AT257*AT235+AU257*AU235+AV257*AV235+AW257*AW235+AX257*AX235+AY257*AY235+AZ257*AZ235+BA257*BA235+BB257*BB235+BC257*BC235+BD257*BD235+BE257*BE235+BF257*BF235+BG257*BG235+BH257*BH235+BI257*BI235+BJ257*BJ235+BK257*BK235+BL257*BL235+BM257*BM235+BN257*BN235+BO257*BO235+BP257*BP235+BQ257*BQ235+BR257*BR235+BS257*BS235+BT257*BT235+BU257*BU235+BV257*BV235+BW257*BW235+BX257*BX235+BY257*BY235+BZ257*BZ235+CA257*CA235+CB257*CB235+CC257*CC235+CD257*CD235+CE257*CE235+CF257*CF235+CG257*CG235+CH257*CH235+CI257*CI235+CJ257*CJ235+CK257*CK235+CL257*CL235+CM257*CM235+CN257*CN235</f>
        <v>0</v>
      </c>
      <c r="DA235" s="2652">
        <f>E258*E235+F258*F235+G258*G235+H258*H235+I258*I235+J258*J235+K258*K235+L258*L235+M258*M235+N258*N235+O258*O235+P258*P235+Q258*Q235+R258*R235+S258*S235+T258*T235+U258*U235+V258*V235+W258*W235+X258*X235+Y258*Y235+Z258*Z235+AA258*AA235+AB258*AB235+AC258*AC235+AD258*AD235+AE258*AE235+AF258*AF235+AG258*AG235+AH258*AH235+AI258*AI235+AJ258*AJ235+AK258*AK235+AL258*AL235+AM258*AM235+AN258*AN235+AO258*AO235+AP258*AP235+AQ258*AQ235+AR258*AR235+AS258*AS235+AT258*AT235+AU258*AU235+AV258*AV235+AW258*AW235+AX258*AX235+AY258*AY235+AZ258*AZ235+BA258*BA235+BB258*BB235+BC258*BC235+BD258*BD235+BE258*BE235+BF258*BF235+BG258*BG235+BH258*BH235+BI258*BI235+BJ258*BJ235+BK258*BK235+BL258*BL235+BM258*BM235+BN258*BN235+BO258*BO235+BP258*BP235+BQ258*BQ235+BR258*BR235+BS258*BS235+BT258*BT235+BU258*BU235+BV258*BV235+BW258*BW235+BX258*BX235+BY258*BY235+BZ258*BZ235+CA258*CA235+CB258*CB235+CC258*CC235+CD258*CD235+CE258*CE235+CF258*CF235+CG258*CG235+CH258*CH235+CI258*CI235+CJ258*CJ235+CK258*CK235+CL258*CL235+CM258*CM235+CN258*CN235</f>
        <v>0</v>
      </c>
    </row>
    <row r="236" spans="2:105" ht="18" x14ac:dyDescent="0.25">
      <c r="B236" s="2187">
        <v>103</v>
      </c>
      <c r="C236" s="2188" t="s">
        <v>4729</v>
      </c>
      <c r="D236" s="863" t="s">
        <v>3498</v>
      </c>
      <c r="E236" s="2703">
        <f>0</f>
        <v>0</v>
      </c>
      <c r="F236" s="2703">
        <f>0</f>
        <v>0</v>
      </c>
      <c r="G236" s="2703">
        <f>0</f>
        <v>0</v>
      </c>
      <c r="H236" s="2703">
        <f>0</f>
        <v>0</v>
      </c>
      <c r="I236" s="2703">
        <f>0</f>
        <v>0</v>
      </c>
      <c r="J236" s="2703">
        <f>0</f>
        <v>0</v>
      </c>
      <c r="K236" s="2724">
        <f>0</f>
        <v>0</v>
      </c>
      <c r="L236" s="2703">
        <f>0</f>
        <v>0</v>
      </c>
      <c r="M236" s="2703">
        <f>0</f>
        <v>0</v>
      </c>
      <c r="N236" s="2703">
        <f>0</f>
        <v>0</v>
      </c>
      <c r="O236" s="2703">
        <f>0</f>
        <v>0</v>
      </c>
      <c r="P236" s="2703">
        <f>0</f>
        <v>0</v>
      </c>
      <c r="Q236" s="2703">
        <f>0</f>
        <v>0</v>
      </c>
      <c r="R236" s="2703">
        <f>0</f>
        <v>0</v>
      </c>
      <c r="S236" s="2703">
        <f>0</f>
        <v>0</v>
      </c>
      <c r="T236" s="2734">
        <f>0</f>
        <v>0</v>
      </c>
      <c r="U236" s="2734">
        <f>0</f>
        <v>0</v>
      </c>
      <c r="V236" s="2703">
        <f>0</f>
        <v>0</v>
      </c>
      <c r="W236" s="2703">
        <f>0</f>
        <v>0</v>
      </c>
      <c r="X236" s="2703">
        <f>0</f>
        <v>0</v>
      </c>
      <c r="Y236" s="2703">
        <f>0</f>
        <v>0</v>
      </c>
      <c r="Z236" s="2703">
        <f>0</f>
        <v>0</v>
      </c>
      <c r="AA236" s="2703">
        <f>0</f>
        <v>0</v>
      </c>
      <c r="AB236" s="2703">
        <f>0</f>
        <v>0</v>
      </c>
      <c r="AC236" s="2724">
        <f>0</f>
        <v>0</v>
      </c>
      <c r="AD236" s="2703">
        <f>0</f>
        <v>0</v>
      </c>
      <c r="AE236" s="2703">
        <f>0</f>
        <v>0</v>
      </c>
      <c r="AF236" s="2703">
        <f>0</f>
        <v>0</v>
      </c>
      <c r="AG236" s="2703">
        <f>0</f>
        <v>0</v>
      </c>
      <c r="AH236" s="2703">
        <f>0</f>
        <v>0</v>
      </c>
      <c r="AI236" s="2703">
        <f>0</f>
        <v>0</v>
      </c>
      <c r="AJ236" s="2724">
        <f>0</f>
        <v>0</v>
      </c>
      <c r="AK236" s="2703">
        <f>0</f>
        <v>0</v>
      </c>
      <c r="AL236" s="2703">
        <f>0</f>
        <v>0</v>
      </c>
      <c r="AM236" s="2703">
        <f>0</f>
        <v>0</v>
      </c>
      <c r="AN236" s="2703">
        <f>0</f>
        <v>0</v>
      </c>
      <c r="AO236" s="2703">
        <f>0</f>
        <v>0</v>
      </c>
      <c r="AP236" s="2724">
        <f>0</f>
        <v>0</v>
      </c>
      <c r="AQ236" s="2703">
        <f>0</f>
        <v>0</v>
      </c>
      <c r="AR236" s="2703">
        <f>1</f>
        <v>1</v>
      </c>
      <c r="AS236" s="2703">
        <f>0</f>
        <v>0</v>
      </c>
      <c r="AT236" s="2703">
        <f>0</f>
        <v>0</v>
      </c>
      <c r="AU236" s="2703">
        <f>0</f>
        <v>0</v>
      </c>
      <c r="AV236" s="2703">
        <f>0</f>
        <v>0</v>
      </c>
      <c r="AW236" s="2703">
        <f>0</f>
        <v>0</v>
      </c>
      <c r="AX236" s="2703">
        <f>0</f>
        <v>0</v>
      </c>
      <c r="AY236" s="2703">
        <f>0</f>
        <v>0</v>
      </c>
      <c r="AZ236" s="2703">
        <f>0</f>
        <v>0</v>
      </c>
      <c r="BA236" s="2703">
        <f>0</f>
        <v>0</v>
      </c>
      <c r="BB236" s="2734">
        <f>0</f>
        <v>0</v>
      </c>
      <c r="BC236" s="2734">
        <f>0</f>
        <v>0</v>
      </c>
      <c r="BD236" s="2734">
        <f>0</f>
        <v>0</v>
      </c>
      <c r="BE236" s="2734">
        <f>0</f>
        <v>0</v>
      </c>
      <c r="BF236" s="2734">
        <f>0</f>
        <v>0</v>
      </c>
      <c r="BG236" s="2734">
        <f>0</f>
        <v>0</v>
      </c>
      <c r="BH236" s="2734">
        <f>0</f>
        <v>0</v>
      </c>
      <c r="BI236" s="2734">
        <f>0</f>
        <v>0</v>
      </c>
      <c r="BJ236" s="2783">
        <f>0</f>
        <v>0</v>
      </c>
      <c r="BK236" s="2783">
        <f>0</f>
        <v>0</v>
      </c>
      <c r="BL236" s="2783">
        <f>0</f>
        <v>0</v>
      </c>
      <c r="BM236" s="2783">
        <f>0</f>
        <v>0</v>
      </c>
      <c r="BN236" s="2783">
        <f>0</f>
        <v>0</v>
      </c>
      <c r="BO236" s="2783">
        <f>0</f>
        <v>0</v>
      </c>
      <c r="BP236" s="2783">
        <f>0</f>
        <v>0</v>
      </c>
      <c r="BQ236" s="2734">
        <f>0</f>
        <v>0</v>
      </c>
      <c r="BR236" s="2734">
        <f>0</f>
        <v>0</v>
      </c>
      <c r="BS236" s="2783">
        <f>0</f>
        <v>0</v>
      </c>
      <c r="BT236" s="2734">
        <f>0</f>
        <v>0</v>
      </c>
      <c r="BU236" s="2734">
        <f>0</f>
        <v>0</v>
      </c>
      <c r="BV236" s="2793">
        <f>0</f>
        <v>0</v>
      </c>
      <c r="BW236" s="2793">
        <f>0</f>
        <v>0</v>
      </c>
      <c r="BX236" s="2793">
        <f>0</f>
        <v>0</v>
      </c>
      <c r="BY236" s="2793">
        <f>0</f>
        <v>0</v>
      </c>
      <c r="BZ236" s="2734">
        <f>0</f>
        <v>0</v>
      </c>
      <c r="CA236" s="2734">
        <f>0</f>
        <v>0</v>
      </c>
      <c r="CB236" s="2814">
        <f>0</f>
        <v>0</v>
      </c>
      <c r="CC236" s="2734">
        <f>0</f>
        <v>0</v>
      </c>
      <c r="CD236" s="2734">
        <f>0</f>
        <v>0</v>
      </c>
      <c r="CE236" s="2734">
        <f>0</f>
        <v>0</v>
      </c>
      <c r="CF236" s="2734">
        <f>-1</f>
        <v>-1</v>
      </c>
      <c r="CG236" s="2734">
        <f>0</f>
        <v>0</v>
      </c>
      <c r="CH236" s="2734">
        <f>0</f>
        <v>0</v>
      </c>
      <c r="CI236" s="2734">
        <f>0</f>
        <v>0</v>
      </c>
      <c r="CJ236" s="2734">
        <f>0</f>
        <v>0</v>
      </c>
      <c r="CK236" s="2734">
        <f>0</f>
        <v>0</v>
      </c>
      <c r="CL236" s="2734">
        <f>0</f>
        <v>0</v>
      </c>
      <c r="CM236" s="2734">
        <f>0</f>
        <v>0</v>
      </c>
      <c r="CN236" s="2734">
        <f>0</f>
        <v>0</v>
      </c>
      <c r="CO236" s="2847">
        <f>k_LaGO2_bub*(S_GO2_bub_sat-S_O2)</f>
        <v>800</v>
      </c>
      <c r="CQ236" s="2650">
        <f>E248*E236+F248*F236+G248*G236+H248*H236+I248*I236+J248*J236+K248*K236+L248*L236+M248*M236+N248*N236+O248*O236+P248*P236+Q248*Q236+R248*R236+S248*S236+T248*T236+U248*U236+V248*V236+W248*W236+X248*X236+Y248*Y236+Z248*Z236+AA248*AA236+AB248*AB236+AC248*AC236+AD248*AD236+AE248*AE236+AF248*AF236+AG248*AG236+AH248*AH236+AI248*AI236+AJ248*AJ236+AK248*AK236+AL248*AL236+AM248*AM236+AN248*AN236+AO248*AO236+AP248*AP236+AQ248*AQ236+AR248*AR236+AS248*AS236+AT248*AT236+AU248*AU236+AV248*AV236+AW248*AW236+AX248*AX236+AY248*AY236+AZ248*AZ236+BA248*BA236+BB248*BB236+BC248*BC236+BD248*BD236+BE248*BE236+BF248*BF236+BG248*BG236+BH248*BH236+BI248*BI236+BJ248*BJ236+BK248*BK236+BL248*BL236+BM248*BM236+BN248*BN236+BO248*BO236+BP248*BP236+BQ248*BQ236+BR248*BR236+BS248*BS236+BT248*BT236+BU248*BU236+BV248*BV236+BW248*BW236+BX248*BX236+BY248*BY236+BZ248*BZ236+CA248*CA236+CB248*CB236+CC248*CC236+CD248*CD236+CE248*CE236+CF248*CF236+CG248*CG236+CH248*CH236+CI248*CI236+CJ248*CJ236+CK248*CK236+CL248*CL236+CM248*CM236+CN248*CN236</f>
        <v>0</v>
      </c>
      <c r="CR236" s="2650">
        <f>E249*E236+F249*F236+G249*G236+H249*H236+I249*I236+J249*J236+K249*K236+L249*L236+M249*M236+N249*N236+O249*O236+P249*P236+Q249*Q236+R249*R236+S249*S236+T249*T236+U249*U236+V249*V236+W249*W236+X249*X236+Y249*Y236+Z249*Z236+AA249*AA236+AB249*AB236+AC249*AC236+AD249*AD236+AE249*AE236+AF249*AF236+AG249*AG236+AH249*AH236+AI249*AI236+AJ249*AJ236+AK249*AK236+AL249*AL236+AM249*AM236+AN249*AN236+AO249*AO236+AP249*AP236+AQ249*AQ236+AR249*AR236+AS249*AS236+AT249*AT236+AU249*AU236+AV249*AV236+AW249*AW236+AX249*AX236+AY249*AY236+AZ249*AZ236+BA249*BA236+BB249*BB236+BC249*BC236+BD249*BD236+BE249*BE236+BF249*BF236+BG249*BG236+BH249*BH236+BI249*BI236+BJ249*BJ236+BK249*BK236+BL249*BL236+BM249*BM236+BN249*BN236+BO249*BO236+BP249*BP236+BQ249*BQ236+BR249*BR236+BS249*BS236+BT249*BT236+BU249*BU236+BV249*BV236+BW249*BW236+BX249*BX236+BY249*BY236+BZ249*BZ236+CA249*CA236+CB249*CB236+CC249*CC236+CD249*CD236+CE249*CE236+CF249*CF236+CG249*CG236+CH249*CH236+CI249*CI236+CJ249*CJ236+CK249*CK236+CL249*CL236+CM249*CM236+CN249*CN236</f>
        <v>0</v>
      </c>
      <c r="CS236" s="2651">
        <f>E250*E236+F250*F236+G250*G236+H250*H236+I250*I236+J250*J236+K250*K236+L250*L236+M250*M236+N250*N236+O250*O236+P250*P236+Q250*Q236+R250*R236+S250*S236+T250*T236+U250*U236+V250*V236+W250*W236+X250*X236+Y250*Y236+Z250*Z236+AA250*AA236+AB250*AB236+AC250*AC236+AD250*AD236+AE250*AE236+AF250*AF236+AG250*AG236+AH250*AH236+AI250*AI236+AJ250*AJ236+AK250*AK236+AL250*AL236+AM250*AM236+AN250*AN236+AO250*AO236+AP250*AP236+AQ250*AQ236+AR250*AR236+AS250*AS236+AT250*AT236+AU250*AU236+AV250*AV236+AW250*AW236+AX250*AX236+AY250*AY236+AZ250*AZ236+BA250*BA236+BB250*BB236+BC250*BC236+BD250*BD236+BE250*BE236+BF250*BF236+BG250*BG236+BH250*BH236+BI250*BI236+BJ250*BJ236+BK250*BK236+BL250*BL236+BM250*BM236+BN250*BN236+BO250*BO236+BP250*BP236+BQ250*BQ236+BR250*BR236+BS250*BS236+BT250*BT236+BU250*BU236+BV250*BV236+BW250*BW236+BX250*BX236+BY250*BY236+BZ250*BZ236+CA250*CA236+CB250*CB236+CC250*CC236+CD250*CD236+CE250*CE236+CF250*CF236+CG250*CG236+CH250*CH236+CI250*CI236+CJ250*CJ236+CK250*CK236+CL250*CL236+CM250*CM236+CN250*CN236</f>
        <v>0</v>
      </c>
      <c r="CT236" s="2652">
        <f>E251*E236+F251*F236+G251*G236+H251*H236+I251*I236+J251*J236+K251*K236+L251*L236+M251*M236+N251*N236+O251*O236+P251*P236+Q251*Q236+R251*R236+S251*S236+T251*T236+U251*U236+V251*V236+W251*W236+X251*X236+Y251*Y236+Z251*Z236+AA251*AA236+AB251*AB236+AC251*AC236+AD251*AD236+AE251*AE236+AF251*AF236+AG251*AG236+AH251*AH236+AI251*AI236+AJ251*AJ236+AK251*AK236+AL251*AL236+AM251*AM236+AN251*AN236+AO251*AO236+AP251*AP236+AQ251*AQ236+AR251*AR236+AS251*AS236+AT251*AT236+AU251*AU236+AV251*AV236+AW251*AW236+AX251*AX236+AY251*AY236+AZ251*AZ236+BA251*BA236+BB251*BB236+BC251*BC236+BD251*BD236+BE251*BE236+BF251*BF236+BG251*BG236+BH251*BH236+BI251*BI236+BJ251*BJ236+BK251*BK236+BL251*BL236+BM251*BM236+BN251*BN236+BO251*BO236+BP251*BP236+BQ251*BQ236+BR251*BR236+BS251*BS236+BT251*BT236+BU251*BU236+BV251*BV236+BW251*BW236+BX251*BX236+BY251*BY236+BZ251*BZ236+CA251*CA236+CB251*CB236+CC251*CC236+CD251*CD236+CE251*CE236+CF251*CF236+CG251*CG236+CH251*CH236+CI251*CI236+CJ251*CJ236+CK251*CK236+CL251*CL236+CM251*CM236+CN251*CN236</f>
        <v>0</v>
      </c>
      <c r="CU236" s="2652">
        <f>E252*E236+F252*F236+G252*G236+H252*H236+I252*I236+J252*J236+K252*K236+L252*L236+M252*M236+N252*N236+O252*O236+P252*P236+Q252*Q236+R252*R236+S252*S236+T252*T236+U252*U236+V252*V236+W252*W236+X252*X236+Y252*Y236+Z252*Z236+AA252*AA236+AB252*AB236+AC252*AC236+AD252*AD236+AE252*AE236+AF252*AF236+AG252*AG236+AH252*AH236+AI252*AI236+AJ252*AJ236+AK252*AK236+AL252*AL236+AM252*AM236+AN252*AN236+AO252*AO236+AP252*AP236+AQ252*AQ236+AR252*AR236+AS252*AS236+AT252*AT236+AU252*AU236+AV252*AV236+AW252*AW236+AX252*AX236+AY252*AY236+AZ252*AZ236+BA252*BA236+BB252*BB236+BC252*BC236+BD252*BD236+BE252*BE236+BF252*BF236+BG252*BG236+BH252*BH236+BI252*BI236+BJ252*BJ236+BK252*BK236+BL252*BL236+BM252*BM236+BN252*BN236+BO252*BO236+BP252*BP236+BQ252*BQ236+BR252*BR236+BS252*BS236+BT252*BT236+BU252*BU236+BV252*BV236+BW252*BW236+BX252*BX236+BY252*BY236+BZ252*BZ236+CA252*CA236+CB252*CB236+CC252*CC236+CD252*CD236+CE252*CE236+CF252*CF236+CG252*CG236+CH252*CH236+CI252*CI236+CJ252*CJ236+CK252*CK236+CL252*CL236+CM252*CM236+CN252*CN236</f>
        <v>0</v>
      </c>
      <c r="CV236" s="2652">
        <f>E253*E236+F253*F236+G253*G236+H253*H236+I253*I236+J253*J236+K253*K236+L253*L236+M253*M236+N253*N236+O253*O236+P253*P236+Q253*Q236+R253*R236+S253*S236+T253*T236+U253*U236+V253*V236+W253*W236+X253*X236+Y253*Y236+Z253*Z236+AA253*AA236+AB253*AB236+AC253*AC236+AD253*AD236+AE253*AE236+AF253*AF236+AG253*AG236+AH253*AH236+AI253*AI236+AJ253*AJ236+AK253*AK236+AL253*AL236+AM253*AM236+AN253*AN236+AO253*AO236+AP253*AP236+AQ253*AQ236+AR253*AR236+AS253*AS236+AT253*AT236+AU253*AU236+AV253*AV236+AW253*AW236+AX253*AX236+AY253*AY236+AZ253*AZ236+BA253*BA236+BB253*BB236+BC253*BC236+BD253*BD236+BE253*BE236+BF253*BF236+BG253*BG236+BH253*BH236+BI253*BI236+BJ253*BJ236+BK253*BK236+BL253*BL236+BM253*BM236+BN253*BN236+BO253*BO236+BP253*BP236+BQ253*BQ236+BR253*BR236+BS253*BS236+BT253*BT236+BU253*BU236+BV253*BV236+BW253*BW236+BX253*BX236+BY253*BY236+BZ253*BZ236+CA253*CA236+CB253*CB236+CC253*CC236+CD253*CD236+CE253*CE236+CF253*CF236+CG253*CG236+CH253*CH236+CI253*CI236+CJ253*CJ236+CK253*CK236+CL253*CL236+CM253*CM236+CN253*CN236</f>
        <v>0</v>
      </c>
      <c r="CW236" s="2652">
        <f>E254*E236+F254*F236+G254*G236+H254*H236+I254*I236+J254*J236+K254*K236+L254*L236+M254*M236+N254*N236+O254*O236+P254*P236+Q254*Q236+R254*R236+S254*S236+T254*T236+U254*U236+V254*V236+W254*W236+X254*X236+Y254*Y236+Z254*Z236+AA254*AA236+AB254*AB236+AC254*AC236+AD254*AD236+AE254*AE236+AF254*AF236+AG254*AG236+AH254*AH236+AI254*AI236+AJ254*AJ236+AK254*AK236+AL254*AL236+AM254*AM236+AN254*AN236+AO254*AO236+AP254*AP236+AQ254*AQ236+AR254*AR236+AS254*AS236+AT254*AT236+AU254*AU236+AV254*AV236+AW254*AW236+AX254*AX236+AY254*AY236+AZ254*AZ236+BA254*BA236+BB254*BB236+BC254*BC236+BD254*BD236+BE254*BE236+BF254*BF236+BG254*BG236+BH254*BH236+BI254*BI236+BJ254*BJ236+BK254*BK236+BL254*BL236+BM254*BM236+BN254*BN236+BO254*BO236+BP254*BP236+BQ254*BQ236+BR254*BR236+BS254*BS236+BT254*BT236+BU254*BU236+BV254*BV236+BW254*BW236+BX254*BX236+BY254*BY236+BZ254*BZ236+CA254*CA236+CB254*CB236+CC254*CC236+CD254*CD236+CE254*CE236+CF254*CF236+CG254*CG236+CH254*CH236+CI254*CI236+CJ254*CJ236+CK254*CK236+CL254*CL236+CM254*CM236+CN254*CN236</f>
        <v>0</v>
      </c>
      <c r="CX236" s="2652">
        <f>E255*E236+F255*F236+G255*G236+H255*H236+I255*I236+J255*J236+K255*K236+L255*L236+M255*M236+N255*N236+O255*O236+P255*P236+Q255*Q236+R255*R236+S255*S236+T255*T236+U255*U236+V255*V236+W255*W236+X255*X236+Y255*Y236+Z255*Z236+AA255*AA236+AB255*AB236+AC255*AC236+AD255*AD236+AE255*AE236+AF255*AF236+AG255*AG236+AH255*AH236+AI255*AI236+AJ255*AJ236+AK255*AK236+AL255*AL236+AM255*AM236+AN255*AN236+AO255*AO236+AP255*AP236+AQ255*AQ236+AR255*AR236+AS255*AS236+AT255*AT236+AU255*AU236+AV255*AV236+AW255*AW236+AX255*AX236+AY255*AY236+AZ255*AZ236+BA255*BA236+BB255*BB236+BC255*BC236+BD255*BD236+BE255*BE236+BF255*BF236+BG255*BG236+BH255*BH236+BI255*BI236+BJ255*BJ236+BK255*BK236+BL255*BL236+BM255*BM236+BN255*BN236+BO255*BO236+BP255*BP236+BQ255*BQ236+BR255*BR236+BS255*BS236+BT255*BT236+BU255*BU236+BV255*BV236+BW255*BW236+BX255*BX236+BY255*BY236+BZ255*BZ236+CA255*CA236+CB255*CB236+CC255*CC236+CD255*CD236+CE255*CE236+CF255*CF236+CG255*CG236+CH255*CH236+CI255*CI236+CJ255*CJ236+CK255*CK236+CL255*CL236+CM255*CM236+CN255*CN236</f>
        <v>0</v>
      </c>
      <c r="CY236" s="2652">
        <f>E256*E236+F256*F236+G256*G236+H256*H236+I256*I236+J256*J236+K256*K236+L256*L236+M256*M236+N256*N236+O256*O236+P256*P236+Q256*Q236+R256*R236+S256*S236+T256*T236+U256*U236+V256*V236+W256*W236+X256*X236+Y256*Y236+Z256*Z236+AA256*AA236+AB256*AB236+AC256*AC236+AD256*AD236+AE256*AE236+AF256*AF236+AG256*AG236+AH256*AH236+AI256*AI236+AJ256*AJ236+AK256*AK236+AL256*AL236+AM256*AM236+AN256*AN236+AO256*AO236+AP256*AP236+AQ256*AQ236+AR256*AR236+AS256*AS236+AT256*AT236+AU256*AU236+AV256*AV236+AW256*AW236+AX256*AX236+AY256*AY236+AZ256*AZ236+BA256*BA236+BB256*BB236+BC256*BC236+BD256*BD236+BE256*BE236+BF256*BF236+BG256*BG236+BH256*BH236+BI256*BI236+BJ256*BJ236+BK256*BK236+BL256*BL236+BM256*BM236+BN256*BN236+BO256*BO236+BP256*BP236+BQ256*BQ236+BR256*BR236+BS256*BS236+BT256*BT236+BU256*BU236+BV256*BV236+BW256*BW236+BX256*BX236+BY256*BY236+BZ256*BZ236+CA256*CA236+CB256*CB236+CC256*CC236+CD256*CD236+CE256*CE236+CF256*CF236+CG256*CG236+CH256*CH236+CI256*CI236+CJ256*CJ236+CK256*CK236+CL256*CL236+CM256*CM236+CN256*CN236</f>
        <v>0</v>
      </c>
      <c r="CZ236" s="2652">
        <f>E257*E236+F257*F236+G257*G236+H257*H236+I257*I236+J257*J236+K257*K236+L257*L236+M257*M236+N257*N236+O257*O236+P257*P236+Q257*Q236+R257*R236+S257*S236+T257*T236+U257*U236+V257*V236+W257*W236+X257*X236+Y257*Y236+Z257*Z236+AA257*AA236+AB257*AB236+AC257*AC236+AD257*AD236+AE257*AE236+AF257*AF236+AG257*AG236+AH257*AH236+AI257*AI236+AJ257*AJ236+AK257*AK236+AL257*AL236+AM257*AM236+AN257*AN236+AO257*AO236+AP257*AP236+AQ257*AQ236+AR257*AR236+AS257*AS236+AT257*AT236+AU257*AU236+AV257*AV236+AW257*AW236+AX257*AX236+AY257*AY236+AZ257*AZ236+BA257*BA236+BB257*BB236+BC257*BC236+BD257*BD236+BE257*BE236+BF257*BF236+BG257*BG236+BH257*BH236+BI257*BI236+BJ257*BJ236+BK257*BK236+BL257*BL236+BM257*BM236+BN257*BN236+BO257*BO236+BP257*BP236+BQ257*BQ236+BR257*BR236+BS257*BS236+BT257*BT236+BU257*BU236+BV257*BV236+BW257*BW236+BX257*BX236+BY257*BY236+BZ257*BZ236+CA257*CA236+CB257*CB236+CC257*CC236+CD257*CD236+CE257*CE236+CF257*CF236+CG257*CG236+CH257*CH236+CI257*CI236+CJ257*CJ236+CK257*CK236+CL257*CL236+CM257*CM236+CN257*CN236</f>
        <v>0</v>
      </c>
      <c r="DA236" s="2652">
        <f>E258*E236+F258*F236+G258*G236+H258*H236+I258*I236+J258*J236+K258*K236+L258*L236+M258*M236+N258*N236+O258*O236+P258*P236+Q258*Q236+R258*R236+S258*S236+T258*T236+U258*U236+V258*V236+W258*W236+X258*X236+Y258*Y236+Z258*Z236+AA258*AA236+AB258*AB236+AC258*AC236+AD258*AD236+AE258*AE236+AF258*AF236+AG258*AG236+AH258*AH236+AI258*AI236+AJ258*AJ236+AK258*AK236+AL258*AL236+AM258*AM236+AN258*AN236+AO258*AO236+AP258*AP236+AQ258*AQ236+AR258*AR236+AS258*AS236+AT258*AT236+AU258*AU236+AV258*AV236+AW258*AW236+AX258*AX236+AY258*AY236+AZ258*AZ236+BA258*BA236+BB258*BB236+BC258*BC236+BD258*BD236+BE258*BE236+BF258*BF236+BG258*BG236+BH258*BH236+BI258*BI236+BJ258*BJ236+BK258*BK236+BL258*BL236+BM258*BM236+BN258*BN236+BO258*BO236+BP258*BP236+BQ258*BQ236+BR258*BR236+BS258*BS236+BT258*BT236+BU258*BU236+BV258*BV236+BW258*BW236+BX258*BX236+BY258*BY236+BZ258*BZ236+CA258*CA236+CB258*CB236+CC258*CC236+CD258*CD236+CE258*CE236+CF258*CF236+CG258*CG236+CH258*CH236+CI258*CI236+CJ258*CJ236+CK258*CK236+CL258*CL236+CM258*CM236+CN258*CN236</f>
        <v>0</v>
      </c>
    </row>
    <row r="237" spans="2:105" ht="18" x14ac:dyDescent="0.25">
      <c r="B237" s="2187">
        <v>104</v>
      </c>
      <c r="C237" s="2188" t="s">
        <v>4768</v>
      </c>
      <c r="D237" s="863" t="s">
        <v>3499</v>
      </c>
      <c r="E237" s="2703">
        <f>0</f>
        <v>0</v>
      </c>
      <c r="F237" s="2703">
        <f>0</f>
        <v>0</v>
      </c>
      <c r="G237" s="2703">
        <f>0</f>
        <v>0</v>
      </c>
      <c r="H237" s="2703">
        <f>0</f>
        <v>0</v>
      </c>
      <c r="I237" s="2703">
        <f>0</f>
        <v>0</v>
      </c>
      <c r="J237" s="2703">
        <f>0</f>
        <v>0</v>
      </c>
      <c r="K237" s="2724">
        <f>0</f>
        <v>0</v>
      </c>
      <c r="L237" s="2703">
        <f>0</f>
        <v>0</v>
      </c>
      <c r="M237" s="2703">
        <f>0</f>
        <v>0</v>
      </c>
      <c r="N237" s="2703">
        <f>0</f>
        <v>0</v>
      </c>
      <c r="O237" s="2703">
        <f>0</f>
        <v>0</v>
      </c>
      <c r="P237" s="2703">
        <f>0</f>
        <v>0</v>
      </c>
      <c r="Q237" s="2703">
        <f>0</f>
        <v>0</v>
      </c>
      <c r="R237" s="2703">
        <f>0</f>
        <v>0</v>
      </c>
      <c r="S237" s="2703">
        <f>0</f>
        <v>0</v>
      </c>
      <c r="T237" s="2734">
        <f>0</f>
        <v>0</v>
      </c>
      <c r="U237" s="2734">
        <f>0</f>
        <v>0</v>
      </c>
      <c r="V237" s="2703">
        <f>0</f>
        <v>0</v>
      </c>
      <c r="W237" s="2703">
        <f>0</f>
        <v>0</v>
      </c>
      <c r="X237" s="2703">
        <f>0</f>
        <v>0</v>
      </c>
      <c r="Y237" s="2703">
        <f>0</f>
        <v>0</v>
      </c>
      <c r="Z237" s="2703">
        <f>0</f>
        <v>0</v>
      </c>
      <c r="AA237" s="2703">
        <f>0</f>
        <v>0</v>
      </c>
      <c r="AB237" s="2703">
        <f>0</f>
        <v>0</v>
      </c>
      <c r="AC237" s="2724">
        <f>0</f>
        <v>0</v>
      </c>
      <c r="AD237" s="2703">
        <f>1</f>
        <v>1</v>
      </c>
      <c r="AE237" s="2703">
        <f>0</f>
        <v>0</v>
      </c>
      <c r="AF237" s="2703">
        <f>0</f>
        <v>0</v>
      </c>
      <c r="AG237" s="2703">
        <f>0</f>
        <v>0</v>
      </c>
      <c r="AH237" s="2703">
        <f>0</f>
        <v>0</v>
      </c>
      <c r="AI237" s="2703">
        <f>0</f>
        <v>0</v>
      </c>
      <c r="AJ237" s="2724">
        <f>0</f>
        <v>0</v>
      </c>
      <c r="AK237" s="2703">
        <f>0</f>
        <v>0</v>
      </c>
      <c r="AL237" s="2703">
        <f>0</f>
        <v>0</v>
      </c>
      <c r="AM237" s="2703">
        <f>0</f>
        <v>0</v>
      </c>
      <c r="AN237" s="2703">
        <f>0</f>
        <v>0</v>
      </c>
      <c r="AO237" s="2703">
        <f>0</f>
        <v>0</v>
      </c>
      <c r="AP237" s="2724">
        <f>0</f>
        <v>0</v>
      </c>
      <c r="AQ237" s="2703">
        <f>0</f>
        <v>0</v>
      </c>
      <c r="AR237" s="2703">
        <f>0</f>
        <v>0</v>
      </c>
      <c r="AS237" s="2703">
        <f>0</f>
        <v>0</v>
      </c>
      <c r="AT237" s="2703">
        <f>0</f>
        <v>0</v>
      </c>
      <c r="AU237" s="2703">
        <f>0</f>
        <v>0</v>
      </c>
      <c r="AV237" s="2703">
        <f>0</f>
        <v>0</v>
      </c>
      <c r="AW237" s="2703">
        <f>0</f>
        <v>0</v>
      </c>
      <c r="AX237" s="2703">
        <f>0</f>
        <v>0</v>
      </c>
      <c r="AY237" s="2703">
        <f>0</f>
        <v>0</v>
      </c>
      <c r="AZ237" s="2703">
        <f>0</f>
        <v>0</v>
      </c>
      <c r="BA237" s="2703">
        <f>0</f>
        <v>0</v>
      </c>
      <c r="BB237" s="2734">
        <f>0</f>
        <v>0</v>
      </c>
      <c r="BC237" s="2734">
        <f>0</f>
        <v>0</v>
      </c>
      <c r="BD237" s="2734">
        <f>0</f>
        <v>0</v>
      </c>
      <c r="BE237" s="2734">
        <f>0</f>
        <v>0</v>
      </c>
      <c r="BF237" s="2734">
        <f>0</f>
        <v>0</v>
      </c>
      <c r="BG237" s="2734">
        <f>0</f>
        <v>0</v>
      </c>
      <c r="BH237" s="2734">
        <f>0</f>
        <v>0</v>
      </c>
      <c r="BI237" s="2734">
        <f>0</f>
        <v>0</v>
      </c>
      <c r="BJ237" s="2783">
        <f>0</f>
        <v>0</v>
      </c>
      <c r="BK237" s="2783">
        <f>0</f>
        <v>0</v>
      </c>
      <c r="BL237" s="2783">
        <f>0</f>
        <v>0</v>
      </c>
      <c r="BM237" s="2783">
        <f>0</f>
        <v>0</v>
      </c>
      <c r="BN237" s="2783">
        <f>0</f>
        <v>0</v>
      </c>
      <c r="BO237" s="2783">
        <f>0</f>
        <v>0</v>
      </c>
      <c r="BP237" s="2783">
        <f>0</f>
        <v>0</v>
      </c>
      <c r="BQ237" s="2734">
        <f>0</f>
        <v>0</v>
      </c>
      <c r="BR237" s="2734">
        <f>0</f>
        <v>0</v>
      </c>
      <c r="BS237" s="2783">
        <f>0</f>
        <v>0</v>
      </c>
      <c r="BT237" s="2734">
        <f>0</f>
        <v>0</v>
      </c>
      <c r="BU237" s="2734">
        <f>0</f>
        <v>0</v>
      </c>
      <c r="BV237" s="2793">
        <f>0</f>
        <v>0</v>
      </c>
      <c r="BW237" s="2793">
        <f>0</f>
        <v>0</v>
      </c>
      <c r="BX237" s="2793">
        <f>0</f>
        <v>0</v>
      </c>
      <c r="BY237" s="2793">
        <f>0</f>
        <v>0</v>
      </c>
      <c r="BZ237" s="2734">
        <f>0</f>
        <v>0</v>
      </c>
      <c r="CA237" s="2734">
        <f>0</f>
        <v>0</v>
      </c>
      <c r="CB237" s="2814">
        <f>0</f>
        <v>0</v>
      </c>
      <c r="CC237" s="2734">
        <f>0</f>
        <v>0</v>
      </c>
      <c r="CD237" s="2734">
        <f>0</f>
        <v>0</v>
      </c>
      <c r="CE237" s="2734">
        <f>0</f>
        <v>0</v>
      </c>
      <c r="CF237" s="2734">
        <f>0</f>
        <v>0</v>
      </c>
      <c r="CG237" s="2734">
        <f>-1</f>
        <v>-1</v>
      </c>
      <c r="CH237" s="2734">
        <f>0</f>
        <v>0</v>
      </c>
      <c r="CI237" s="2734">
        <f>0</f>
        <v>0</v>
      </c>
      <c r="CJ237" s="2734">
        <f>0</f>
        <v>0</v>
      </c>
      <c r="CK237" s="2734">
        <f>0</f>
        <v>0</v>
      </c>
      <c r="CL237" s="2734">
        <f>0</f>
        <v>0</v>
      </c>
      <c r="CM237" s="2734">
        <f>0</f>
        <v>0</v>
      </c>
      <c r="CN237" s="2734">
        <f>0</f>
        <v>0</v>
      </c>
      <c r="CO237" s="2847">
        <f>k_transfer_GNH3_bub</f>
        <v>0</v>
      </c>
      <c r="CQ237" s="2650">
        <f>E248*E237+F248*F237+G248*G237+H248*H237+I248*I237+J248*J237+K248*K237+L248*L237+M248*M237+N248*N237+O248*O237+P248*P237+Q248*Q237+R248*R237+S248*S237+T248*T237+U248*U237+V248*V237+W248*W237+X248*X237+Y248*Y237+Z248*Z237+AA248*AA237+AB248*AB237+AC248*AC237+AD248*AD237+AE248*AE237+AF248*AF237+AG248*AG237+AH248*AH237+AI248*AI237+AJ248*AJ237+AK248*AK237+AL248*AL237+AM248*AM237+AN248*AN237+AO248*AO237+AP248*AP237+AQ248*AQ237+AR248*AR237+AS248*AS237+AT248*AT237+AU248*AU237+AV248*AV237+AW248*AW237+AX248*AX237+AY248*AY237+AZ248*AZ237+BA248*BA237+BB248*BB237+BC248*BC237+BD248*BD237+BE248*BE237+BF248*BF237+BG248*BG237+BH248*BH237+BI248*BI237+BJ248*BJ237+BK248*BK237+BL248*BL237+BM248*BM237+BN248*BN237+BO248*BO237+BP248*BP237+BQ248*BQ237+BR248*BR237+BS248*BS237+BT248*BT237+BU248*BU237+BV248*BV237+BW248*BW237+BX248*BX237+BY248*BY237+BZ248*BZ237+CA248*CA237+CB248*CB237+CC248*CC237+CD248*CD237+CE248*CE237+CF248*CF237+CG248*CG237+CH248*CH237+CI248*CI237+CJ248*CJ237+CK248*CK237+CL248*CL237+CM248*CM237+CN248*CN237</f>
        <v>0</v>
      </c>
      <c r="CR237" s="2650">
        <f>E249*E237+F249*F237+G249*G237+H249*H237+I249*I237+J249*J237+K249*K237+L249*L237+M249*M237+N249*N237+O249*O237+P249*P237+Q249*Q237+R249*R237+S249*S237+T249*T237+U249*U237+V249*V237+W249*W237+X249*X237+Y249*Y237+Z249*Z237+AA249*AA237+AB249*AB237+AC249*AC237+AD249*AD237+AE249*AE237+AF249*AF237+AG249*AG237+AH249*AH237+AI249*AI237+AJ249*AJ237+AK249*AK237+AL249*AL237+AM249*AM237+AN249*AN237+AO249*AO237+AP249*AP237+AQ249*AQ237+AR249*AR237+AS249*AS237+AT249*AT237+AU249*AU237+AV249*AV237+AW249*AW237+AX249*AX237+AY249*AY237+AZ249*AZ237+BA249*BA237+BB249*BB237+BC249*BC237+BD249*BD237+BE249*BE237+BF249*BF237+BG249*BG237+BH249*BH237+BI249*BI237+BJ249*BJ237+BK249*BK237+BL249*BL237+BM249*BM237+BN249*BN237+BO249*BO237+BP249*BP237+BQ249*BQ237+BR249*BR237+BS249*BS237+BT249*BT237+BU249*BU237+BV249*BV237+BW249*BW237+BX249*BX237+BY249*BY237+BZ249*BZ237+CA249*CA237+CB249*CB237+CC249*CC237+CD249*CD237+CE249*CE237+CF249*CF237+CG249*CG237+CH249*CH237+CI249*CI237+CJ249*CJ237+CK249*CK237+CL249*CL237+CM249*CM237+CN249*CN237</f>
        <v>0</v>
      </c>
      <c r="CS237" s="2651">
        <f>E250*E237+F250*F237+G250*G237+H250*H237+I250*I237+J250*J237+K250*K237+L250*L237+M250*M237+N250*N237+O250*O237+P250*P237+Q250*Q237+R250*R237+S250*S237+T250*T237+U250*U237+V250*V237+W250*W237+X250*X237+Y250*Y237+Z250*Z237+AA250*AA237+AB250*AB237+AC250*AC237+AD250*AD237+AE250*AE237+AF250*AF237+AG250*AG237+AH250*AH237+AI250*AI237+AJ250*AJ237+AK250*AK237+AL250*AL237+AM250*AM237+AN250*AN237+AO250*AO237+AP250*AP237+AQ250*AQ237+AR250*AR237+AS250*AS237+AT250*AT237+AU250*AU237+AV250*AV237+AW250*AW237+AX250*AX237+AY250*AY237+AZ250*AZ237+BA250*BA237+BB250*BB237+BC250*BC237+BD250*BD237+BE250*BE237+BF250*BF237+BG250*BG237+BH250*BH237+BI250*BI237+BJ250*BJ237+BK250*BK237+BL250*BL237+BM250*BM237+BN250*BN237+BO250*BO237+BP250*BP237+BQ250*BQ237+BR250*BR237+BS250*BS237+BT250*BT237+BU250*BU237+BV250*BV237+BW250*BW237+BX250*BX237+BY250*BY237+BZ250*BZ237+CA250*CA237+CB250*CB237+CC250*CC237+CD250*CD237+CE250*CE237+CF250*CF237+CG250*CG237+CH250*CH237+CI250*CI237+CJ250*CJ237+CK250*CK237+CL250*CL237+CM250*CM237+CN250*CN237</f>
        <v>0</v>
      </c>
      <c r="CT237" s="2652">
        <f>E251*E237+F251*F237+G251*G237+H251*H237+I251*I237+J251*J237+K251*K237+L251*L237+M251*M237+N251*N237+O251*O237+P251*P237+Q251*Q237+R251*R237+S251*S237+T251*T237+U251*U237+V251*V237+W251*W237+X251*X237+Y251*Y237+Z251*Z237+AA251*AA237+AB251*AB237+AC251*AC237+AD251*AD237+AE251*AE237+AF251*AF237+AG251*AG237+AH251*AH237+AI251*AI237+AJ251*AJ237+AK251*AK237+AL251*AL237+AM251*AM237+AN251*AN237+AO251*AO237+AP251*AP237+AQ251*AQ237+AR251*AR237+AS251*AS237+AT251*AT237+AU251*AU237+AV251*AV237+AW251*AW237+AX251*AX237+AY251*AY237+AZ251*AZ237+BA251*BA237+BB251*BB237+BC251*BC237+BD251*BD237+BE251*BE237+BF251*BF237+BG251*BG237+BH251*BH237+BI251*BI237+BJ251*BJ237+BK251*BK237+BL251*BL237+BM251*BM237+BN251*BN237+BO251*BO237+BP251*BP237+BQ251*BQ237+BR251*BR237+BS251*BS237+BT251*BT237+BU251*BU237+BV251*BV237+BW251*BW237+BX251*BX237+BY251*BY237+BZ251*BZ237+CA251*CA237+CB251*CB237+CC251*CC237+CD251*CD237+CE251*CE237+CF251*CF237+CG251*CG237+CH251*CH237+CI251*CI237+CJ251*CJ237+CK251*CK237+CL251*CL237+CM251*CM237+CN251*CN237</f>
        <v>0</v>
      </c>
      <c r="CU237" s="2652">
        <f>E252*E237+F252*F237+G252*G237+H252*H237+I252*I237+J252*J237+K252*K237+L252*L237+M252*M237+N252*N237+O252*O237+P252*P237+Q252*Q237+R252*R237+S252*S237+T252*T237+U252*U237+V252*V237+W252*W237+X252*X237+Y252*Y237+Z252*Z237+AA252*AA237+AB252*AB237+AC252*AC237+AD252*AD237+AE252*AE237+AF252*AF237+AG252*AG237+AH252*AH237+AI252*AI237+AJ252*AJ237+AK252*AK237+AL252*AL237+AM252*AM237+AN252*AN237+AO252*AO237+AP252*AP237+AQ252*AQ237+AR252*AR237+AS252*AS237+AT252*AT237+AU252*AU237+AV252*AV237+AW252*AW237+AX252*AX237+AY252*AY237+AZ252*AZ237+BA252*BA237+BB252*BB237+BC252*BC237+BD252*BD237+BE252*BE237+BF252*BF237+BG252*BG237+BH252*BH237+BI252*BI237+BJ252*BJ237+BK252*BK237+BL252*BL237+BM252*BM237+BN252*BN237+BO252*BO237+BP252*BP237+BQ252*BQ237+BR252*BR237+BS252*BS237+BT252*BT237+BU252*BU237+BV252*BV237+BW252*BW237+BX252*BX237+BY252*BY237+BZ252*BZ237+CA252*CA237+CB252*CB237+CC252*CC237+CD252*CD237+CE252*CE237+CF252*CF237+CG252*CG237+CH252*CH237+CI252*CI237+CJ252*CJ237+CK252*CK237+CL252*CL237+CM252*CM237+CN252*CN237</f>
        <v>0</v>
      </c>
      <c r="CV237" s="2652">
        <f>E253*E237+F253*F237+G253*G237+H253*H237+I253*I237+J253*J237+K253*K237+L253*L237+M253*M237+N253*N237+O253*O237+P253*P237+Q253*Q237+R253*R237+S253*S237+T253*T237+U253*U237+V253*V237+W253*W237+X253*X237+Y253*Y237+Z253*Z237+AA253*AA237+AB253*AB237+AC253*AC237+AD253*AD237+AE253*AE237+AF253*AF237+AG253*AG237+AH253*AH237+AI253*AI237+AJ253*AJ237+AK253*AK237+AL253*AL237+AM253*AM237+AN253*AN237+AO253*AO237+AP253*AP237+AQ253*AQ237+AR253*AR237+AS253*AS237+AT253*AT237+AU253*AU237+AV253*AV237+AW253*AW237+AX253*AX237+AY253*AY237+AZ253*AZ237+BA253*BA237+BB253*BB237+BC253*BC237+BD253*BD237+BE253*BE237+BF253*BF237+BG253*BG237+BH253*BH237+BI253*BI237+BJ253*BJ237+BK253*BK237+BL253*BL237+BM253*BM237+BN253*BN237+BO253*BO237+BP253*BP237+BQ253*BQ237+BR253*BR237+BS253*BS237+BT253*BT237+BU253*BU237+BV253*BV237+BW253*BW237+BX253*BX237+BY253*BY237+BZ253*BZ237+CA253*CA237+CB253*CB237+CC253*CC237+CD253*CD237+CE253*CE237+CF253*CF237+CG253*CG237+CH253*CH237+CI253*CI237+CJ253*CJ237+CK253*CK237+CL253*CL237+CM253*CM237+CN253*CN237</f>
        <v>0</v>
      </c>
      <c r="CW237" s="2652">
        <f>E254*E237+F254*F237+G254*G237+H254*H237+I254*I237+J254*J237+K254*K237+L254*L237+M254*M237+N254*N237+O254*O237+P254*P237+Q254*Q237+R254*R237+S254*S237+T254*T237+U254*U237+V254*V237+W254*W237+X254*X237+Y254*Y237+Z254*Z237+AA254*AA237+AB254*AB237+AC254*AC237+AD254*AD237+AE254*AE237+AF254*AF237+AG254*AG237+AH254*AH237+AI254*AI237+AJ254*AJ237+AK254*AK237+AL254*AL237+AM254*AM237+AN254*AN237+AO254*AO237+AP254*AP237+AQ254*AQ237+AR254*AR237+AS254*AS237+AT254*AT237+AU254*AU237+AV254*AV237+AW254*AW237+AX254*AX237+AY254*AY237+AZ254*AZ237+BA254*BA237+BB254*BB237+BC254*BC237+BD254*BD237+BE254*BE237+BF254*BF237+BG254*BG237+BH254*BH237+BI254*BI237+BJ254*BJ237+BK254*BK237+BL254*BL237+BM254*BM237+BN254*BN237+BO254*BO237+BP254*BP237+BQ254*BQ237+BR254*BR237+BS254*BS237+BT254*BT237+BU254*BU237+BV254*BV237+BW254*BW237+BX254*BX237+BY254*BY237+BZ254*BZ237+CA254*CA237+CB254*CB237+CC254*CC237+CD254*CD237+CE254*CE237+CF254*CF237+CG254*CG237+CH254*CH237+CI254*CI237+CJ254*CJ237+CK254*CK237+CL254*CL237+CM254*CM237+CN254*CN237</f>
        <v>0</v>
      </c>
      <c r="CX237" s="2652">
        <f>E255*E237+F255*F237+G255*G237+H255*H237+I255*I237+J255*J237+K255*K237+L255*L237+M255*M237+N255*N237+O255*O237+P255*P237+Q255*Q237+R255*R237+S255*S237+T255*T237+U255*U237+V255*V237+W255*W237+X255*X237+Y255*Y237+Z255*Z237+AA255*AA237+AB255*AB237+AC255*AC237+AD255*AD237+AE255*AE237+AF255*AF237+AG255*AG237+AH255*AH237+AI255*AI237+AJ255*AJ237+AK255*AK237+AL255*AL237+AM255*AM237+AN255*AN237+AO255*AO237+AP255*AP237+AQ255*AQ237+AR255*AR237+AS255*AS237+AT255*AT237+AU255*AU237+AV255*AV237+AW255*AW237+AX255*AX237+AY255*AY237+AZ255*AZ237+BA255*BA237+BB255*BB237+BC255*BC237+BD255*BD237+BE255*BE237+BF255*BF237+BG255*BG237+BH255*BH237+BI255*BI237+BJ255*BJ237+BK255*BK237+BL255*BL237+BM255*BM237+BN255*BN237+BO255*BO237+BP255*BP237+BQ255*BQ237+BR255*BR237+BS255*BS237+BT255*BT237+BU255*BU237+BV255*BV237+BW255*BW237+BX255*BX237+BY255*BY237+BZ255*BZ237+CA255*CA237+CB255*CB237+CC255*CC237+CD255*CD237+CE255*CE237+CF255*CF237+CG255*CG237+CH255*CH237+CI255*CI237+CJ255*CJ237+CK255*CK237+CL255*CL237+CM255*CM237+CN255*CN237</f>
        <v>0</v>
      </c>
      <c r="CY237" s="2652">
        <f>E256*E237+F256*F237+G256*G237+H256*H237+I256*I237+J256*J237+K256*K237+L256*L237+M256*M237+N256*N237+O256*O237+P256*P237+Q256*Q237+R256*R237+S256*S237+T256*T237+U256*U237+V256*V237+W256*W237+X256*X237+Y256*Y237+Z256*Z237+AA256*AA237+AB256*AB237+AC256*AC237+AD256*AD237+AE256*AE237+AF256*AF237+AG256*AG237+AH256*AH237+AI256*AI237+AJ256*AJ237+AK256*AK237+AL256*AL237+AM256*AM237+AN256*AN237+AO256*AO237+AP256*AP237+AQ256*AQ237+AR256*AR237+AS256*AS237+AT256*AT237+AU256*AU237+AV256*AV237+AW256*AW237+AX256*AX237+AY256*AY237+AZ256*AZ237+BA256*BA237+BB256*BB237+BC256*BC237+BD256*BD237+BE256*BE237+BF256*BF237+BG256*BG237+BH256*BH237+BI256*BI237+BJ256*BJ237+BK256*BK237+BL256*BL237+BM256*BM237+BN256*BN237+BO256*BO237+BP256*BP237+BQ256*BQ237+BR256*BR237+BS256*BS237+BT256*BT237+BU256*BU237+BV256*BV237+BW256*BW237+BX256*BX237+BY256*BY237+BZ256*BZ237+CA256*CA237+CB256*CB237+CC256*CC237+CD256*CD237+CE256*CE237+CF256*CF237+CG256*CG237+CH256*CH237+CI256*CI237+CJ256*CJ237+CK256*CK237+CL256*CL237+CM256*CM237+CN256*CN237</f>
        <v>0</v>
      </c>
      <c r="CZ237" s="2652">
        <f>E257*E237+F257*F237+G257*G237+H257*H237+I257*I237+J257*J237+K257*K237+L257*L237+M257*M237+N257*N237+O257*O237+P257*P237+Q257*Q237+R257*R237+S257*S237+T257*T237+U257*U237+V257*V237+W257*W237+X257*X237+Y257*Y237+Z257*Z237+AA257*AA237+AB257*AB237+AC257*AC237+AD257*AD237+AE257*AE237+AF257*AF237+AG257*AG237+AH257*AH237+AI257*AI237+AJ257*AJ237+AK257*AK237+AL257*AL237+AM257*AM237+AN257*AN237+AO257*AO237+AP257*AP237+AQ257*AQ237+AR257*AR237+AS257*AS237+AT257*AT237+AU257*AU237+AV257*AV237+AW257*AW237+AX257*AX237+AY257*AY237+AZ257*AZ237+BA257*BA237+BB257*BB237+BC257*BC237+BD257*BD237+BE257*BE237+BF257*BF237+BG257*BG237+BH257*BH237+BI257*BI237+BJ257*BJ237+BK257*BK237+BL257*BL237+BM257*BM237+BN257*BN237+BO257*BO237+BP257*BP237+BQ257*BQ237+BR257*BR237+BS257*BS237+BT257*BT237+BU257*BU237+BV257*BV237+BW257*BW237+BX257*BX237+BY257*BY237+BZ257*BZ237+CA257*CA237+CB257*CB237+CC257*CC237+CD257*CD237+CE257*CE237+CF257*CF237+CG257*CG237+CH257*CH237+CI257*CI237+CJ257*CJ237+CK257*CK237+CL257*CL237+CM257*CM237+CN257*CN237</f>
        <v>0</v>
      </c>
      <c r="DA237" s="2652">
        <f>E258*E237+F258*F237+G258*G237+H258*H237+I258*I237+J258*J237+K258*K237+L258*L237+M258*M237+N258*N237+O258*O237+P258*P237+Q258*Q237+R258*R237+S258*S237+T258*T237+U258*U237+V258*V237+W258*W237+X258*X237+Y258*Y237+Z258*Z237+AA258*AA237+AB258*AB237+AC258*AC237+AD258*AD237+AE258*AE237+AF258*AF237+AG258*AG237+AH258*AH237+AI258*AI237+AJ258*AJ237+AK258*AK237+AL258*AL237+AM258*AM237+AN258*AN237+AO258*AO237+AP258*AP237+AQ258*AQ237+AR258*AR237+AS258*AS237+AT258*AT237+AU258*AU237+AV258*AV237+AW258*AW237+AX258*AX237+AY258*AY237+AZ258*AZ237+BA258*BA237+BB258*BB237+BC258*BC237+BD258*BD237+BE258*BE237+BF258*BF237+BG258*BG237+BH258*BH237+BI258*BI237+BJ258*BJ237+BK258*BK237+BL258*BL237+BM258*BM237+BN258*BN237+BO258*BO237+BP258*BP237+BQ258*BQ237+BR258*BR237+BS258*BS237+BT258*BT237+BU258*BU237+BV258*BV237+BW258*BW237+BX258*BX237+BY258*BY237+BZ258*BZ237+CA258*CA237+CB258*CB237+CC258*CC237+CD258*CD237+CE258*CE237+CF258*CF237+CG258*CG237+CH258*CH237+CI258*CI237+CJ258*CJ237+CK258*CK237+CL258*CL237+CM258*CM237+CN258*CN237</f>
        <v>0</v>
      </c>
    </row>
    <row r="238" spans="2:105" ht="18" x14ac:dyDescent="0.25">
      <c r="B238" s="2187">
        <v>105</v>
      </c>
      <c r="C238" s="2188" t="s">
        <v>4848</v>
      </c>
      <c r="D238" s="863" t="s">
        <v>3500</v>
      </c>
      <c r="E238" s="2703">
        <f>0</f>
        <v>0</v>
      </c>
      <c r="F238" s="2703">
        <f>0</f>
        <v>0</v>
      </c>
      <c r="G238" s="2703">
        <f>0</f>
        <v>0</v>
      </c>
      <c r="H238" s="2703">
        <f>0</f>
        <v>0</v>
      </c>
      <c r="I238" s="2703">
        <f>0</f>
        <v>0</v>
      </c>
      <c r="J238" s="2703">
        <f>0</f>
        <v>0</v>
      </c>
      <c r="K238" s="2724">
        <f>0</f>
        <v>0</v>
      </c>
      <c r="L238" s="2703">
        <f>0</f>
        <v>0</v>
      </c>
      <c r="M238" s="2703">
        <f>0</f>
        <v>0</v>
      </c>
      <c r="N238" s="2703">
        <f>0</f>
        <v>0</v>
      </c>
      <c r="O238" s="2703">
        <f>0</f>
        <v>0</v>
      </c>
      <c r="P238" s="2703">
        <f>0</f>
        <v>0</v>
      </c>
      <c r="Q238" s="2703">
        <f>0</f>
        <v>0</v>
      </c>
      <c r="R238" s="2703">
        <f>0</f>
        <v>0</v>
      </c>
      <c r="S238" s="2703">
        <f>0</f>
        <v>0</v>
      </c>
      <c r="T238" s="2734">
        <f>0</f>
        <v>0</v>
      </c>
      <c r="U238" s="2734">
        <f>0</f>
        <v>0</v>
      </c>
      <c r="V238" s="2703">
        <f>0</f>
        <v>0</v>
      </c>
      <c r="W238" s="2703">
        <f>0</f>
        <v>0</v>
      </c>
      <c r="X238" s="2703">
        <f>0</f>
        <v>0</v>
      </c>
      <c r="Y238" s="2703">
        <f>0</f>
        <v>0</v>
      </c>
      <c r="Z238" s="2703">
        <f>0</f>
        <v>0</v>
      </c>
      <c r="AA238" s="2703">
        <f>0</f>
        <v>0</v>
      </c>
      <c r="AB238" s="2703">
        <f>0</f>
        <v>0</v>
      </c>
      <c r="AC238" s="2724">
        <f>0</f>
        <v>0</v>
      </c>
      <c r="AD238" s="2703">
        <f>0</f>
        <v>0</v>
      </c>
      <c r="AE238" s="2703">
        <f>0</f>
        <v>0</v>
      </c>
      <c r="AF238" s="2703">
        <f>0</f>
        <v>0</v>
      </c>
      <c r="AG238" s="2703">
        <f>1</f>
        <v>1</v>
      </c>
      <c r="AH238" s="2703">
        <f>0</f>
        <v>0</v>
      </c>
      <c r="AI238" s="2703">
        <f>0</f>
        <v>0</v>
      </c>
      <c r="AJ238" s="2724">
        <f>0</f>
        <v>0</v>
      </c>
      <c r="AK238" s="2703">
        <f>0</f>
        <v>0</v>
      </c>
      <c r="AL238" s="2703">
        <f>0</f>
        <v>0</v>
      </c>
      <c r="AM238" s="2703">
        <f>0</f>
        <v>0</v>
      </c>
      <c r="AN238" s="2703">
        <f>0</f>
        <v>0</v>
      </c>
      <c r="AO238" s="2703">
        <f>0</f>
        <v>0</v>
      </c>
      <c r="AP238" s="2724">
        <f>0</f>
        <v>0</v>
      </c>
      <c r="AQ238" s="2703">
        <f>0</f>
        <v>0</v>
      </c>
      <c r="AR238" s="2703">
        <f>0</f>
        <v>0</v>
      </c>
      <c r="AS238" s="2703">
        <f>0</f>
        <v>0</v>
      </c>
      <c r="AT238" s="2703">
        <f>0</f>
        <v>0</v>
      </c>
      <c r="AU238" s="2703">
        <f>0</f>
        <v>0</v>
      </c>
      <c r="AV238" s="2703">
        <f>0</f>
        <v>0</v>
      </c>
      <c r="AW238" s="2703">
        <f>0</f>
        <v>0</v>
      </c>
      <c r="AX238" s="2703">
        <f>0</f>
        <v>0</v>
      </c>
      <c r="AY238" s="2703">
        <f>0</f>
        <v>0</v>
      </c>
      <c r="AZ238" s="2703">
        <f>0</f>
        <v>0</v>
      </c>
      <c r="BA238" s="2703">
        <f>0</f>
        <v>0</v>
      </c>
      <c r="BB238" s="2734">
        <f>0</f>
        <v>0</v>
      </c>
      <c r="BC238" s="2734">
        <f>0</f>
        <v>0</v>
      </c>
      <c r="BD238" s="2734">
        <f>0</f>
        <v>0</v>
      </c>
      <c r="BE238" s="2734">
        <f>0</f>
        <v>0</v>
      </c>
      <c r="BF238" s="2734">
        <f>0</f>
        <v>0</v>
      </c>
      <c r="BG238" s="2734">
        <f>0</f>
        <v>0</v>
      </c>
      <c r="BH238" s="2734">
        <f>0</f>
        <v>0</v>
      </c>
      <c r="BI238" s="2734">
        <f>0</f>
        <v>0</v>
      </c>
      <c r="BJ238" s="2734">
        <f>0</f>
        <v>0</v>
      </c>
      <c r="BK238" s="2734">
        <f>0</f>
        <v>0</v>
      </c>
      <c r="BL238" s="2734">
        <f>0</f>
        <v>0</v>
      </c>
      <c r="BM238" s="2734">
        <f>0</f>
        <v>0</v>
      </c>
      <c r="BN238" s="2734">
        <f>0</f>
        <v>0</v>
      </c>
      <c r="BO238" s="2734">
        <f>0</f>
        <v>0</v>
      </c>
      <c r="BP238" s="2734">
        <f>0</f>
        <v>0</v>
      </c>
      <c r="BQ238" s="2734">
        <f>0</f>
        <v>0</v>
      </c>
      <c r="BR238" s="2734">
        <f>0</f>
        <v>0</v>
      </c>
      <c r="BS238" s="2734">
        <f>0</f>
        <v>0</v>
      </c>
      <c r="BT238" s="2734">
        <f>0</f>
        <v>0</v>
      </c>
      <c r="BU238" s="2734">
        <f>0</f>
        <v>0</v>
      </c>
      <c r="BV238" s="2793">
        <f>0</f>
        <v>0</v>
      </c>
      <c r="BW238" s="2793">
        <f>0</f>
        <v>0</v>
      </c>
      <c r="BX238" s="2793">
        <f>0</f>
        <v>0</v>
      </c>
      <c r="BY238" s="2793">
        <f>0</f>
        <v>0</v>
      </c>
      <c r="BZ238" s="2734">
        <f>0</f>
        <v>0</v>
      </c>
      <c r="CA238" s="2734">
        <f>0</f>
        <v>0</v>
      </c>
      <c r="CB238" s="2814">
        <f>0</f>
        <v>0</v>
      </c>
      <c r="CC238" s="2734">
        <f>0</f>
        <v>0</v>
      </c>
      <c r="CD238" s="2734">
        <f>0</f>
        <v>0</v>
      </c>
      <c r="CE238" s="2734">
        <f>0</f>
        <v>0</v>
      </c>
      <c r="CF238" s="2734">
        <f>0</f>
        <v>0</v>
      </c>
      <c r="CG238" s="2734">
        <f>0</f>
        <v>0</v>
      </c>
      <c r="CH238" s="2734">
        <f>-1</f>
        <v>-1</v>
      </c>
      <c r="CI238" s="2734">
        <f>0</f>
        <v>0</v>
      </c>
      <c r="CJ238" s="2734">
        <f>0</f>
        <v>0</v>
      </c>
      <c r="CK238" s="2734">
        <f>0</f>
        <v>0</v>
      </c>
      <c r="CL238" s="2734">
        <f>0</f>
        <v>0</v>
      </c>
      <c r="CM238" s="2734">
        <f>0</f>
        <v>0</v>
      </c>
      <c r="CN238" s="2734">
        <f>0</f>
        <v>0</v>
      </c>
      <c r="CO238" s="2847">
        <f>k_LaGN2_bub*(S_GN2_bub_sat-S_N2)</f>
        <v>-272.94299999999998</v>
      </c>
      <c r="CQ238" s="2650">
        <f>E248*E238+F248*F238+G248*G238+H248*H238+I248*I238+J248*J238+K248*K238+L248*L238+M248*M238+N248*N238+O248*O238+P248*P238+Q248*Q238+R248*R238+S248*S238+T248*T238+U248*U238+V248*V238+W248*W238+X248*X238+Y248*Y238+Z248*Z238+AA248*AA238+AB248*AB238+AC248*AC238+AD248*AD238+AE248*AE238+AF248*AF238+AG248*AG238+AH248*AH238+AI248*AI238+AJ248*AJ238+AK248*AK238+AL248*AL238+AM248*AM238+AN248*AN238+AO248*AO238+AP248*AP238+AQ248*AQ238+AR248*AR238+AS248*AS238+AT248*AT238+AU248*AU238+AV248*AV238+AW248*AW238+AX248*AX238+AY248*AY238+AZ248*AZ238+BA248*BA238+BB248*BB238+BC248*BC238+BD248*BD238+BE248*BE238+BF248*BF238+BG248*BG238+BH248*BH238+BI248*BI238+BJ248*BJ238+BK248*BK238+BL248*BL238+BM248*BM238+BN248*BN238+BO248*BO238+BP248*BP238+BQ248*BQ238+BR248*BR238+BS248*BS238+BT248*BT238+BU248*BU238+BV248*BV238+BW248*BW238+BX248*BX238+BY248*BY238+BZ248*BZ238+CA248*CA238+CB248*CB238+CC248*CC238+CD248*CD238+CE248*CE238+CF248*CF238+CG248*CG238+CH248*CH238+CI248*CI238+CJ248*CJ238+CK248*CK238+CL248*CL238+CM248*CM238+CN248*CN238</f>
        <v>0</v>
      </c>
      <c r="CR238" s="2650">
        <f>E249*E238+F249*F238+G249*G238+H249*H238+I249*I238+J249*J238+K249*K238+L249*L238+M249*M238+N249*N238+O249*O238+P249*P238+Q249*Q238+R249*R238+S249*S238+T249*T238+U249*U238+V249*V238+W249*W238+X249*X238+Y249*Y238+Z249*Z238+AA249*AA238+AB249*AB238+AC249*AC238+AD249*AD238+AE249*AE238+AF249*AF238+AG249*AG238+AH249*AH238+AI249*AI238+AJ249*AJ238+AK249*AK238+AL249*AL238+AM249*AM238+AN249*AN238+AO249*AO238+AP249*AP238+AQ249*AQ238+AR249*AR238+AS249*AS238+AT249*AT238+AU249*AU238+AV249*AV238+AW249*AW238+AX249*AX238+AY249*AY238+AZ249*AZ238+BA249*BA238+BB249*BB238+BC249*BC238+BD249*BD238+BE249*BE238+BF249*BF238+BG249*BG238+BH249*BH238+BI249*BI238+BJ249*BJ238+BK249*BK238+BL249*BL238+BM249*BM238+BN249*BN238+BO249*BO238+BP249*BP238+BQ249*BQ238+BR249*BR238+BS249*BS238+BT249*BT238+BU249*BU238+BV249*BV238+BW249*BW238+BX249*BX238+BY249*BY238+BZ249*BZ238+CA249*CA238+CB249*CB238+CC249*CC238+CD249*CD238+CE249*CE238+CF249*CF238+CG249*CG238+CH249*CH238+CI249*CI238+CJ249*CJ238+CK249*CK238+CL249*CL238+CM249*CM238+CN249*CN238</f>
        <v>0</v>
      </c>
      <c r="CS238" s="2651">
        <f>E250*E238+F250*F238+G250*G238+H250*H238+I250*I238+J250*J238+K250*K238+L250*L238+M250*M238+N250*N238+O250*O238+P250*P238+Q250*Q238+R250*R238+S250*S238+T250*T238+U250*U238+V250*V238+W250*W238+X250*X238+Y250*Y238+Z250*Z238+AA250*AA238+AB250*AB238+AC250*AC238+AD250*AD238+AE250*AE238+AF250*AF238+AG250*AG238+AH250*AH238+AI250*AI238+AJ250*AJ238+AK250*AK238+AL250*AL238+AM250*AM238+AN250*AN238+AO250*AO238+AP250*AP238+AQ250*AQ238+AR250*AR238+AS250*AS238+AT250*AT238+AU250*AU238+AV250*AV238+AW250*AW238+AX250*AX238+AY250*AY238+AZ250*AZ238+BA250*BA238+BB250*BB238+BC250*BC238+BD250*BD238+BE250*BE238+BF250*BF238+BG250*BG238+BH250*BH238+BI250*BI238+BJ250*BJ238+BK250*BK238+BL250*BL238+BM250*BM238+BN250*BN238+BO250*BO238+BP250*BP238+BQ250*BQ238+BR250*BR238+BS250*BS238+BT250*BT238+BU250*BU238+BV250*BV238+BW250*BW238+BX250*BX238+BY250*BY238+BZ250*BZ238+CA250*CA238+CB250*CB238+CC250*CC238+CD250*CD238+CE250*CE238+CF250*CF238+CG250*CG238+CH250*CH238+CI250*CI238+CJ250*CJ238+CK250*CK238+CL250*CL238+CM250*CM238+CN250*CN238</f>
        <v>0</v>
      </c>
      <c r="CT238" s="2652">
        <f>E251*E238+F251*F238+G251*G238+H251*H238+I251*I238+J251*J238+K251*K238+L251*L238+M251*M238+N251*N238+O251*O238+P251*P238+Q251*Q238+R251*R238+S251*S238+T251*T238+U251*U238+V251*V238+W251*W238+X251*X238+Y251*Y238+Z251*Z238+AA251*AA238+AB251*AB238+AC251*AC238+AD251*AD238+AE251*AE238+AF251*AF238+AG251*AG238+AH251*AH238+AI251*AI238+AJ251*AJ238+AK251*AK238+AL251*AL238+AM251*AM238+AN251*AN238+AO251*AO238+AP251*AP238+AQ251*AQ238+AR251*AR238+AS251*AS238+AT251*AT238+AU251*AU238+AV251*AV238+AW251*AW238+AX251*AX238+AY251*AY238+AZ251*AZ238+BA251*BA238+BB251*BB238+BC251*BC238+BD251*BD238+BE251*BE238+BF251*BF238+BG251*BG238+BH251*BH238+BI251*BI238+BJ251*BJ238+BK251*BK238+BL251*BL238+BM251*BM238+BN251*BN238+BO251*BO238+BP251*BP238+BQ251*BQ238+BR251*BR238+BS251*BS238+BT251*BT238+BU251*BU238+BV251*BV238+BW251*BW238+BX251*BX238+BY251*BY238+BZ251*BZ238+CA251*CA238+CB251*CB238+CC251*CC238+CD251*CD238+CE251*CE238+CF251*CF238+CG251*CG238+CH251*CH238+CI251*CI238+CJ251*CJ238+CK251*CK238+CL251*CL238+CM251*CM238+CN251*CN238</f>
        <v>0</v>
      </c>
      <c r="CU238" s="2652">
        <f>E252*E238+F252*F238+G252*G238+H252*H238+I252*I238+J252*J238+K252*K238+L252*L238+M252*M238+N252*N238+O252*O238+P252*P238+Q252*Q238+R252*R238+S252*S238+T252*T238+U252*U238+V252*V238+W252*W238+X252*X238+Y252*Y238+Z252*Z238+AA252*AA238+AB252*AB238+AC252*AC238+AD252*AD238+AE252*AE238+AF252*AF238+AG252*AG238+AH252*AH238+AI252*AI238+AJ252*AJ238+AK252*AK238+AL252*AL238+AM252*AM238+AN252*AN238+AO252*AO238+AP252*AP238+AQ252*AQ238+AR252*AR238+AS252*AS238+AT252*AT238+AU252*AU238+AV252*AV238+AW252*AW238+AX252*AX238+AY252*AY238+AZ252*AZ238+BA252*BA238+BB252*BB238+BC252*BC238+BD252*BD238+BE252*BE238+BF252*BF238+BG252*BG238+BH252*BH238+BI252*BI238+BJ252*BJ238+BK252*BK238+BL252*BL238+BM252*BM238+BN252*BN238+BO252*BO238+BP252*BP238+BQ252*BQ238+BR252*BR238+BS252*BS238+BT252*BT238+BU252*BU238+BV252*BV238+BW252*BW238+BX252*BX238+BY252*BY238+BZ252*BZ238+CA252*CA238+CB252*CB238+CC252*CC238+CD252*CD238+CE252*CE238+CF252*CF238+CG252*CG238+CH252*CH238+CI252*CI238+CJ252*CJ238+CK252*CK238+CL252*CL238+CM252*CM238+CN252*CN238</f>
        <v>0</v>
      </c>
      <c r="CV238" s="2652">
        <f>E253*E238+F253*F238+G253*G238+H253*H238+I253*I238+J253*J238+K253*K238+L253*L238+M253*M238+N253*N238+O253*O238+P253*P238+Q253*Q238+R253*R238+S253*S238+T253*T238+U253*U238+V253*V238+W253*W238+X253*X238+Y253*Y238+Z253*Z238+AA253*AA238+AB253*AB238+AC253*AC238+AD253*AD238+AE253*AE238+AF253*AF238+AG253*AG238+AH253*AH238+AI253*AI238+AJ253*AJ238+AK253*AK238+AL253*AL238+AM253*AM238+AN253*AN238+AO253*AO238+AP253*AP238+AQ253*AQ238+AR253*AR238+AS253*AS238+AT253*AT238+AU253*AU238+AV253*AV238+AW253*AW238+AX253*AX238+AY253*AY238+AZ253*AZ238+BA253*BA238+BB253*BB238+BC253*BC238+BD253*BD238+BE253*BE238+BF253*BF238+BG253*BG238+BH253*BH238+BI253*BI238+BJ253*BJ238+BK253*BK238+BL253*BL238+BM253*BM238+BN253*BN238+BO253*BO238+BP253*BP238+BQ253*BQ238+BR253*BR238+BS253*BS238+BT253*BT238+BU253*BU238+BV253*BV238+BW253*BW238+BX253*BX238+BY253*BY238+BZ253*BZ238+CA253*CA238+CB253*CB238+CC253*CC238+CD253*CD238+CE253*CE238+CF253*CF238+CG253*CG238+CH253*CH238+CI253*CI238+CJ253*CJ238+CK253*CK238+CL253*CL238+CM253*CM238+CN253*CN238</f>
        <v>0</v>
      </c>
      <c r="CW238" s="2652">
        <f>E254*E238+F254*F238+G254*G238+H254*H238+I254*I238+J254*J238+K254*K238+L254*L238+M254*M238+N254*N238+O254*O238+P254*P238+Q254*Q238+R254*R238+S254*S238+T254*T238+U254*U238+V254*V238+W254*W238+X254*X238+Y254*Y238+Z254*Z238+AA254*AA238+AB254*AB238+AC254*AC238+AD254*AD238+AE254*AE238+AF254*AF238+AG254*AG238+AH254*AH238+AI254*AI238+AJ254*AJ238+AK254*AK238+AL254*AL238+AM254*AM238+AN254*AN238+AO254*AO238+AP254*AP238+AQ254*AQ238+AR254*AR238+AS254*AS238+AT254*AT238+AU254*AU238+AV254*AV238+AW254*AW238+AX254*AX238+AY254*AY238+AZ254*AZ238+BA254*BA238+BB254*BB238+BC254*BC238+BD254*BD238+BE254*BE238+BF254*BF238+BG254*BG238+BH254*BH238+BI254*BI238+BJ254*BJ238+BK254*BK238+BL254*BL238+BM254*BM238+BN254*BN238+BO254*BO238+BP254*BP238+BQ254*BQ238+BR254*BR238+BS254*BS238+BT254*BT238+BU254*BU238+BV254*BV238+BW254*BW238+BX254*BX238+BY254*BY238+BZ254*BZ238+CA254*CA238+CB254*CB238+CC254*CC238+CD254*CD238+CE254*CE238+CF254*CF238+CG254*CG238+CH254*CH238+CI254*CI238+CJ254*CJ238+CK254*CK238+CL254*CL238+CM254*CM238+CN254*CN238</f>
        <v>0</v>
      </c>
      <c r="CX238" s="2652">
        <f>E255*E238+F255*F238+G255*G238+H255*H238+I255*I238+J255*J238+K255*K238+L255*L238+M255*M238+N255*N238+O255*O238+P255*P238+Q255*Q238+R255*R238+S255*S238+T255*T238+U255*U238+V255*V238+W255*W238+X255*X238+Y255*Y238+Z255*Z238+AA255*AA238+AB255*AB238+AC255*AC238+AD255*AD238+AE255*AE238+AF255*AF238+AG255*AG238+AH255*AH238+AI255*AI238+AJ255*AJ238+AK255*AK238+AL255*AL238+AM255*AM238+AN255*AN238+AO255*AO238+AP255*AP238+AQ255*AQ238+AR255*AR238+AS255*AS238+AT255*AT238+AU255*AU238+AV255*AV238+AW255*AW238+AX255*AX238+AY255*AY238+AZ255*AZ238+BA255*BA238+BB255*BB238+BC255*BC238+BD255*BD238+BE255*BE238+BF255*BF238+BG255*BG238+BH255*BH238+BI255*BI238+BJ255*BJ238+BK255*BK238+BL255*BL238+BM255*BM238+BN255*BN238+BO255*BO238+BP255*BP238+BQ255*BQ238+BR255*BR238+BS255*BS238+BT255*BT238+BU255*BU238+BV255*BV238+BW255*BW238+BX255*BX238+BY255*BY238+BZ255*BZ238+CA255*CA238+CB255*CB238+CC255*CC238+CD255*CD238+CE255*CE238+CF255*CF238+CG255*CG238+CH255*CH238+CI255*CI238+CJ255*CJ238+CK255*CK238+CL255*CL238+CM255*CM238+CN255*CN238</f>
        <v>0</v>
      </c>
      <c r="CY238" s="2652">
        <f>E256*E238+F256*F238+G256*G238+H256*H238+I256*I238+J256*J238+K256*K238+L256*L238+M256*M238+N256*N238+O256*O238+P256*P238+Q256*Q238+R256*R238+S256*S238+T256*T238+U256*U238+V256*V238+W256*W238+X256*X238+Y256*Y238+Z256*Z238+AA256*AA238+AB256*AB238+AC256*AC238+AD256*AD238+AE256*AE238+AF256*AF238+AG256*AG238+AH256*AH238+AI256*AI238+AJ256*AJ238+AK256*AK238+AL256*AL238+AM256*AM238+AN256*AN238+AO256*AO238+AP256*AP238+AQ256*AQ238+AR256*AR238+AS256*AS238+AT256*AT238+AU256*AU238+AV256*AV238+AW256*AW238+AX256*AX238+AY256*AY238+AZ256*AZ238+BA256*BA238+BB256*BB238+BC256*BC238+BD256*BD238+BE256*BE238+BF256*BF238+BG256*BG238+BH256*BH238+BI256*BI238+BJ256*BJ238+BK256*BK238+BL256*BL238+BM256*BM238+BN256*BN238+BO256*BO238+BP256*BP238+BQ256*BQ238+BR256*BR238+BS256*BS238+BT256*BT238+BU256*BU238+BV256*BV238+BW256*BW238+BX256*BX238+BY256*BY238+BZ256*BZ238+CA256*CA238+CB256*CB238+CC256*CC238+CD256*CD238+CE256*CE238+CF256*CF238+CG256*CG238+CH256*CH238+CI256*CI238+CJ256*CJ238+CK256*CK238+CL256*CL238+CM256*CM238+CN256*CN238</f>
        <v>0</v>
      </c>
      <c r="CZ238" s="2652">
        <f>E257*E238+F257*F238+G257*G238+H257*H238+I257*I238+J257*J238+K257*K238+L257*L238+M257*M238+N257*N238+O257*O238+P257*P238+Q257*Q238+R257*R238+S257*S238+T257*T238+U257*U238+V257*V238+W257*W238+X257*X238+Y257*Y238+Z257*Z238+AA257*AA238+AB257*AB238+AC257*AC238+AD257*AD238+AE257*AE238+AF257*AF238+AG257*AG238+AH257*AH238+AI257*AI238+AJ257*AJ238+AK257*AK238+AL257*AL238+AM257*AM238+AN257*AN238+AO257*AO238+AP257*AP238+AQ257*AQ238+AR257*AR238+AS257*AS238+AT257*AT238+AU257*AU238+AV257*AV238+AW257*AW238+AX257*AX238+AY257*AY238+AZ257*AZ238+BA257*BA238+BB257*BB238+BC257*BC238+BD257*BD238+BE257*BE238+BF257*BF238+BG257*BG238+BH257*BH238+BI257*BI238+BJ257*BJ238+BK257*BK238+BL257*BL238+BM257*BM238+BN257*BN238+BO257*BO238+BP257*BP238+BQ257*BQ238+BR257*BR238+BS257*BS238+BT257*BT238+BU257*BU238+BV257*BV238+BW257*BW238+BX257*BX238+BY257*BY238+BZ257*BZ238+CA257*CA238+CB257*CB238+CC257*CC238+CD257*CD238+CE257*CE238+CF257*CF238+CG257*CG238+CH257*CH238+CI257*CI238+CJ257*CJ238+CK257*CK238+CL257*CL238+CM257*CM238+CN257*CN238</f>
        <v>0</v>
      </c>
      <c r="DA238" s="2652">
        <f>E258*E238+F258*F238+G258*G238+H258*H238+I258*I238+J258*J238+K258*K238+L258*L238+M258*M238+N258*N238+O258*O238+P258*P238+Q258*Q238+R258*R238+S258*S238+T258*T238+U258*U238+V258*V238+W258*W238+X258*X238+Y258*Y238+Z258*Z238+AA258*AA238+AB258*AB238+AC258*AC238+AD258*AD238+AE258*AE238+AF258*AF238+AG258*AG238+AH258*AH238+AI258*AI238+AJ258*AJ238+AK258*AK238+AL258*AL238+AM258*AM238+AN258*AN238+AO258*AO238+AP258*AP238+AQ258*AQ238+AR258*AR238+AS258*AS238+AT258*AT238+AU258*AU238+AV258*AV238+AW258*AW238+AX258*AX238+AY258*AY238+AZ258*AZ238+BA258*BA238+BB258*BB238+BC258*BC238+BD258*BD238+BE258*BE238+BF258*BF238+BG258*BG238+BH258*BH238+BI258*BI238+BJ258*BJ238+BK258*BK238+BL258*BL238+BM258*BM238+BN258*BN238+BO258*BO238+BP258*BP238+BQ258*BQ238+BR258*BR238+BS258*BS238+BT258*BT238+BU258*BU238+BV258*BV238+BW258*BW238+BX258*BX238+BY258*BY238+BZ258*BZ238+CA258*CA238+CB258*CB238+CC258*CC238+CD258*CD238+CE258*CE238+CF258*CF238+CG258*CG238+CH258*CH238+CI258*CI238+CJ258*CJ238+CK258*CK238+CL258*CL238+CM258*CM238+CN258*CN238</f>
        <v>0</v>
      </c>
    </row>
    <row r="239" spans="2:105" ht="18" x14ac:dyDescent="0.25">
      <c r="B239" s="2189">
        <v>106</v>
      </c>
      <c r="C239" s="2190" t="s">
        <v>4849</v>
      </c>
      <c r="D239" s="835" t="s">
        <v>3489</v>
      </c>
      <c r="E239" s="2689">
        <f>0</f>
        <v>0</v>
      </c>
      <c r="F239" s="2689">
        <f>0</f>
        <v>0</v>
      </c>
      <c r="G239" s="2689">
        <f>0</f>
        <v>0</v>
      </c>
      <c r="H239" s="2689">
        <f>0</f>
        <v>0</v>
      </c>
      <c r="I239" s="2689">
        <f>0</f>
        <v>0</v>
      </c>
      <c r="J239" s="2689">
        <f>0</f>
        <v>0</v>
      </c>
      <c r="K239" s="2725">
        <f>0</f>
        <v>0</v>
      </c>
      <c r="L239" s="2689">
        <f>0</f>
        <v>0</v>
      </c>
      <c r="M239" s="2689">
        <f>0</f>
        <v>0</v>
      </c>
      <c r="N239" s="2689">
        <f>0</f>
        <v>0</v>
      </c>
      <c r="O239" s="2689">
        <f>0</f>
        <v>0</v>
      </c>
      <c r="P239" s="2689">
        <f>0</f>
        <v>0</v>
      </c>
      <c r="Q239" s="2689">
        <f>0</f>
        <v>0</v>
      </c>
      <c r="R239" s="2689">
        <f>0</f>
        <v>0</v>
      </c>
      <c r="S239" s="2689">
        <f>0</f>
        <v>0</v>
      </c>
      <c r="T239" s="2735">
        <f>0</f>
        <v>0</v>
      </c>
      <c r="U239" s="2735">
        <f>0</f>
        <v>0</v>
      </c>
      <c r="V239" s="2689">
        <f>0</f>
        <v>0</v>
      </c>
      <c r="W239" s="2689">
        <f>0</f>
        <v>0</v>
      </c>
      <c r="X239" s="2689">
        <f>0</f>
        <v>0</v>
      </c>
      <c r="Y239" s="2689">
        <f>0</f>
        <v>0</v>
      </c>
      <c r="Z239" s="2689">
        <f>0</f>
        <v>0</v>
      </c>
      <c r="AA239" s="2689">
        <f>0</f>
        <v>0</v>
      </c>
      <c r="AB239" s="2689">
        <f>0</f>
        <v>0</v>
      </c>
      <c r="AC239" s="2725">
        <f>0</f>
        <v>0</v>
      </c>
      <c r="AD239" s="2689">
        <f>0</f>
        <v>0</v>
      </c>
      <c r="AE239" s="2689">
        <f>0</f>
        <v>0</v>
      </c>
      <c r="AF239" s="2689">
        <f>0</f>
        <v>0</v>
      </c>
      <c r="AG239" s="2689">
        <f>0</f>
        <v>0</v>
      </c>
      <c r="AH239" s="2689">
        <f>0</f>
        <v>0</v>
      </c>
      <c r="AI239" s="2689">
        <f>0</f>
        <v>0</v>
      </c>
      <c r="AJ239" s="2725">
        <f>0</f>
        <v>0</v>
      </c>
      <c r="AK239" s="2689">
        <f>0</f>
        <v>0</v>
      </c>
      <c r="AL239" s="2689">
        <f>0</f>
        <v>0</v>
      </c>
      <c r="AM239" s="2689">
        <f>0</f>
        <v>0</v>
      </c>
      <c r="AN239" s="2689">
        <f>0</f>
        <v>0</v>
      </c>
      <c r="AO239" s="2689">
        <f>0</f>
        <v>0</v>
      </c>
      <c r="AP239" s="2725">
        <f>0</f>
        <v>0</v>
      </c>
      <c r="AQ239" s="2689">
        <f>0</f>
        <v>0</v>
      </c>
      <c r="AR239" s="2689">
        <f>0</f>
        <v>0</v>
      </c>
      <c r="AS239" s="2689">
        <f>0</f>
        <v>0</v>
      </c>
      <c r="AT239" s="2689">
        <f>0</f>
        <v>0</v>
      </c>
      <c r="AU239" s="2689">
        <f>1</f>
        <v>1</v>
      </c>
      <c r="AV239" s="2689">
        <f>0</f>
        <v>0</v>
      </c>
      <c r="AW239" s="2689">
        <f>0</f>
        <v>0</v>
      </c>
      <c r="AX239" s="2689">
        <f>0</f>
        <v>0</v>
      </c>
      <c r="AY239" s="2689">
        <f>0</f>
        <v>0</v>
      </c>
      <c r="AZ239" s="2689">
        <f>0</f>
        <v>0</v>
      </c>
      <c r="BA239" s="2689">
        <f>0</f>
        <v>0</v>
      </c>
      <c r="BB239" s="2735">
        <f>0</f>
        <v>0</v>
      </c>
      <c r="BC239" s="2735">
        <f>0</f>
        <v>0</v>
      </c>
      <c r="BD239" s="2735">
        <f>0</f>
        <v>0</v>
      </c>
      <c r="BE239" s="2735">
        <f>0</f>
        <v>0</v>
      </c>
      <c r="BF239" s="2735">
        <f>0</f>
        <v>0</v>
      </c>
      <c r="BG239" s="2735">
        <f>0</f>
        <v>0</v>
      </c>
      <c r="BH239" s="2735">
        <f>0</f>
        <v>0</v>
      </c>
      <c r="BI239" s="2735">
        <f>0</f>
        <v>0</v>
      </c>
      <c r="BJ239" s="2735">
        <f>0</f>
        <v>0</v>
      </c>
      <c r="BK239" s="2735">
        <f>0</f>
        <v>0</v>
      </c>
      <c r="BL239" s="2735">
        <f>0</f>
        <v>0</v>
      </c>
      <c r="BM239" s="2735">
        <f>0</f>
        <v>0</v>
      </c>
      <c r="BN239" s="2735">
        <f>0</f>
        <v>0</v>
      </c>
      <c r="BO239" s="2735">
        <f>0</f>
        <v>0</v>
      </c>
      <c r="BP239" s="2735">
        <f>0</f>
        <v>0</v>
      </c>
      <c r="BQ239" s="2735">
        <f>0</f>
        <v>0</v>
      </c>
      <c r="BR239" s="2735">
        <f>0</f>
        <v>0</v>
      </c>
      <c r="BS239" s="2735">
        <f>0</f>
        <v>0</v>
      </c>
      <c r="BT239" s="2735">
        <f>0</f>
        <v>0</v>
      </c>
      <c r="BU239" s="2735">
        <f>0</f>
        <v>0</v>
      </c>
      <c r="BV239" s="2789">
        <f>0</f>
        <v>0</v>
      </c>
      <c r="BW239" s="2789">
        <f>0</f>
        <v>0</v>
      </c>
      <c r="BX239" s="2789">
        <f>0</f>
        <v>0</v>
      </c>
      <c r="BY239" s="2789">
        <f>0</f>
        <v>0</v>
      </c>
      <c r="BZ239" s="2735">
        <f>0</f>
        <v>0</v>
      </c>
      <c r="CA239" s="2735">
        <f>0</f>
        <v>0</v>
      </c>
      <c r="CB239" s="2805">
        <f>0</f>
        <v>0</v>
      </c>
      <c r="CC239" s="2735">
        <f>0</f>
        <v>0</v>
      </c>
      <c r="CD239" s="2735">
        <f>0</f>
        <v>0</v>
      </c>
      <c r="CE239" s="2735">
        <f>0</f>
        <v>0</v>
      </c>
      <c r="CF239" s="2735">
        <f>0</f>
        <v>0</v>
      </c>
      <c r="CG239" s="2735">
        <f>0</f>
        <v>0</v>
      </c>
      <c r="CH239" s="2735">
        <f>0</f>
        <v>0</v>
      </c>
      <c r="CI239" s="2735">
        <f>-Δ_atm</f>
        <v>-1</v>
      </c>
      <c r="CJ239" s="2735">
        <f>0</f>
        <v>0</v>
      </c>
      <c r="CK239" s="2735">
        <f>0</f>
        <v>0</v>
      </c>
      <c r="CL239" s="2735">
        <f>0</f>
        <v>0</v>
      </c>
      <c r="CM239" s="2735">
        <f>0</f>
        <v>0</v>
      </c>
      <c r="CN239" s="2735">
        <f>0</f>
        <v>0</v>
      </c>
      <c r="CO239" s="2834">
        <f>k_transfer_GCO2_sur</f>
        <v>85.864791591722664</v>
      </c>
      <c r="CQ239" s="2650">
        <f>E248*E239+F248*F239+G248*G239+H248*H239+I248*I239+J248*J239+K248*K239+L248*L239+M248*M239+N248*N239+O248*O239+P248*P239+Q248*Q239+R248*R239+S248*S239+T248*T239+U248*U239+V248*V239+W248*W239+X248*X239+Y248*Y239+Z248*Z239+AA248*AA239+AB248*AB239+AC248*AC239+AD248*AD239+AE248*AE239+AF248*AF239+AG248*AG239+AH248*AH239+AI248*AI239+AJ248*AJ239+AK248*AK239+AL248*AL239+AM248*AM239+AN248*AN239+AO248*AO239+AP248*AP239+AQ248*AQ239+AR248*AR239+AS248*AS239+AT248*AT239+AU248*AU239+AV248*AV239+AW248*AW239+AX248*AX239+AY248*AY239+AZ248*AZ239+BA248*BA239+BB248*BB239+BC248*BC239+BD248*BD239+BE248*BE239+BF248*BF239+BG248*BG239+BH248*BH239+BI248*BI239+BJ248*BJ239+BK248*BK239+BL248*BL239+BM248*BM239+BN248*BN239+BO248*BO239+BP248*BP239+BQ248*BQ239+BR248*BR239+BS248*BS239+BT248*BT239+BU248*BU239+BV248*BV239+BW248*BW239+BX248*BX239+BY248*BY239+BZ248*BZ239+CA248*CA239+CB248*CB239+CC248*CC239+CD248*CD239+CE248*CE239+CF248*CF239+CG248*CG239+CH248*CH239+CI248*CI239+CJ248*CJ239+CK248*CK239+CL248*CL239+CM248*CM239+CN248*CN239</f>
        <v>0</v>
      </c>
      <c r="CR239" s="2650">
        <f>E249*E239+F249*F239+G249*G239+H249*H239+I249*I239+J249*J239+K249*K239+L249*L239+M249*M239+N249*N239+O249*O239+P249*P239+Q249*Q239+R249*R239+S249*S239+T249*T239+U249*U239+V249*V239+W249*W239+X249*X239+Y249*Y239+Z249*Z239+AA249*AA239+AB249*AB239+AC249*AC239+AD249*AD239+AE249*AE239+AF249*AF239+AG249*AG239+AH249*AH239+AI249*AI239+AJ249*AJ239+AK249*AK239+AL249*AL239+AM249*AM239+AN249*AN239+AO249*AO239+AP249*AP239+AQ249*AQ239+AR249*AR239+AS249*AS239+AT249*AT239+AU249*AU239+AV249*AV239+AW249*AW239+AX249*AX239+AY249*AY239+AZ249*AZ239+BA249*BA239+BB249*BB239+BC249*BC239+BD249*BD239+BE249*BE239+BF249*BF239+BG249*BG239+BH249*BH239+BI249*BI239+BJ249*BJ239+BK249*BK239+BL249*BL239+BM249*BM239+BN249*BN239+BO249*BO239+BP249*BP239+BQ249*BQ239+BR249*BR239+BS249*BS239+BT249*BT239+BU249*BU239+BV249*BV239+BW249*BW239+BX249*BX239+BY249*BY239+BZ249*BZ239+CA249*CA239+CB249*CB239+CC249*CC239+CD249*CD239+CE249*CE239+CF249*CF239+CG249*CG239+CH249*CH239+CI249*CI239+CJ249*CJ239+CK249*CK239+CL249*CL239+CM249*CM239+CN249*CN239</f>
        <v>0</v>
      </c>
      <c r="CS239" s="2651">
        <f>E250*E239+F250*F239+G250*G239+H250*H239+I250*I239+J250*J239+K250*K239+L250*L239+M250*M239+N250*N239+O250*O239+P250*P239+Q250*Q239+R250*R239+S250*S239+T250*T239+U250*U239+V250*V239+W250*W239+X250*X239+Y250*Y239+Z250*Z239+AA250*AA239+AB250*AB239+AC250*AC239+AD250*AD239+AE250*AE239+AF250*AF239+AG250*AG239+AH250*AH239+AI250*AI239+AJ250*AJ239+AK250*AK239+AL250*AL239+AM250*AM239+AN250*AN239+AO250*AO239+AP250*AP239+AQ250*AQ239+AR250*AR239+AS250*AS239+AT250*AT239+AU250*AU239+AV250*AV239+AW250*AW239+AX250*AX239+AY250*AY239+AZ250*AZ239+BA250*BA239+BB250*BB239+BC250*BC239+BD250*BD239+BE250*BE239+BF250*BF239+BG250*BG239+BH250*BH239+BI250*BI239+BJ250*BJ239+BK250*BK239+BL250*BL239+BM250*BM239+BN250*BN239+BO250*BO239+BP250*BP239+BQ250*BQ239+BR250*BR239+BS250*BS239+BT250*BT239+BU250*BU239+BV250*BV239+BW250*BW239+BX250*BX239+BY250*BY239+BZ250*BZ239+CA250*CA239+CB250*CB239+CC250*CC239+CD250*CD239+CE250*CE239+CF250*CF239+CG250*CG239+CH250*CH239+CI250*CI239+CJ250*CJ239+CK250*CK239+CL250*CL239+CM250*CM239+CN250*CN239</f>
        <v>0</v>
      </c>
      <c r="CT239" s="2652">
        <f>E251*E239+F251*F239+G251*G239+H251*H239+I251*I239+J251*J239+K251*K239+L251*L239+M251*M239+N251*N239+O251*O239+P251*P239+Q251*Q239+R251*R239+S251*S239+T251*T239+U251*U239+V251*V239+W251*W239+X251*X239+Y251*Y239+Z251*Z239+AA251*AA239+AB251*AB239+AC251*AC239+AD251*AD239+AE251*AE239+AF251*AF239+AG251*AG239+AH251*AH239+AI251*AI239+AJ251*AJ239+AK251*AK239+AL251*AL239+AM251*AM239+AN251*AN239+AO251*AO239+AP251*AP239+AQ251*AQ239+AR251*AR239+AS251*AS239+AT251*AT239+AU251*AU239+AV251*AV239+AW251*AW239+AX251*AX239+AY251*AY239+AZ251*AZ239+BA251*BA239+BB251*BB239+BC251*BC239+BD251*BD239+BE251*BE239+BF251*BF239+BG251*BG239+BH251*BH239+BI251*BI239+BJ251*BJ239+BK251*BK239+BL251*BL239+BM251*BM239+BN251*BN239+BO251*BO239+BP251*BP239+BQ251*BQ239+BR251*BR239+BS251*BS239+BT251*BT239+BU251*BU239+BV251*BV239+BW251*BW239+BX251*BX239+BY251*BY239+BZ251*BZ239+CA251*CA239+CB251*CB239+CC251*CC239+CD251*CD239+CE251*CE239+CF251*CF239+CG251*CG239+CH251*CH239+CI251*CI239+CJ251*CJ239+CK251*CK239+CL251*CL239+CM251*CM239+CN251*CN239</f>
        <v>0</v>
      </c>
      <c r="CU239" s="2652">
        <f>E252*E239+F252*F239+G252*G239+H252*H239+I252*I239+J252*J239+K252*K239+L252*L239+M252*M239+N252*N239+O252*O239+P252*P239+Q252*Q239+R252*R239+S252*S239+T252*T239+U252*U239+V252*V239+W252*W239+X252*X239+Y252*Y239+Z252*Z239+AA252*AA239+AB252*AB239+AC252*AC239+AD252*AD239+AE252*AE239+AF252*AF239+AG252*AG239+AH252*AH239+AI252*AI239+AJ252*AJ239+AK252*AK239+AL252*AL239+AM252*AM239+AN252*AN239+AO252*AO239+AP252*AP239+AQ252*AQ239+AR252*AR239+AS252*AS239+AT252*AT239+AU252*AU239+AV252*AV239+AW252*AW239+AX252*AX239+AY252*AY239+AZ252*AZ239+BA252*BA239+BB252*BB239+BC252*BC239+BD252*BD239+BE252*BE239+BF252*BF239+BG252*BG239+BH252*BH239+BI252*BI239+BJ252*BJ239+BK252*BK239+BL252*BL239+BM252*BM239+BN252*BN239+BO252*BO239+BP252*BP239+BQ252*BQ239+BR252*BR239+BS252*BS239+BT252*BT239+BU252*BU239+BV252*BV239+BW252*BW239+BX252*BX239+BY252*BY239+BZ252*BZ239+CA252*CA239+CB252*CB239+CC252*CC239+CD252*CD239+CE252*CE239+CF252*CF239+CG252*CG239+CH252*CH239+CI252*CI239+CJ252*CJ239+CK252*CK239+CL252*CL239+CM252*CM239+CN252*CN239</f>
        <v>0</v>
      </c>
      <c r="CV239" s="2652">
        <f>E253*E239+F253*F239+G253*G239+H253*H239+I253*I239+J253*J239+K253*K239+L253*L239+M253*M239+N253*N239+O253*O239+P253*P239+Q253*Q239+R253*R239+S253*S239+T253*T239+U253*U239+V253*V239+W253*W239+X253*X239+Y253*Y239+Z253*Z239+AA253*AA239+AB253*AB239+AC253*AC239+AD253*AD239+AE253*AE239+AF253*AF239+AG253*AG239+AH253*AH239+AI253*AI239+AJ253*AJ239+AK253*AK239+AL253*AL239+AM253*AM239+AN253*AN239+AO253*AO239+AP253*AP239+AQ253*AQ239+AR253*AR239+AS253*AS239+AT253*AT239+AU253*AU239+AV253*AV239+AW253*AW239+AX253*AX239+AY253*AY239+AZ253*AZ239+BA253*BA239+BB253*BB239+BC253*BC239+BD253*BD239+BE253*BE239+BF253*BF239+BG253*BG239+BH253*BH239+BI253*BI239+BJ253*BJ239+BK253*BK239+BL253*BL239+BM253*BM239+BN253*BN239+BO253*BO239+BP253*BP239+BQ253*BQ239+BR253*BR239+BS253*BS239+BT253*BT239+BU253*BU239+BV253*BV239+BW253*BW239+BX253*BX239+BY253*BY239+BZ253*BZ239+CA253*CA239+CB253*CB239+CC253*CC239+CD253*CD239+CE253*CE239+CF253*CF239+CG253*CG239+CH253*CH239+CI253*CI239+CJ253*CJ239+CK253*CK239+CL253*CL239+CM253*CM239+CN253*CN239</f>
        <v>0</v>
      </c>
      <c r="CW239" s="2652">
        <f>E254*E239+F254*F239+G254*G239+H254*H239+I254*I239+J254*J239+K254*K239+L254*L239+M254*M239+N254*N239+O254*O239+P254*P239+Q254*Q239+R254*R239+S254*S239+T254*T239+U254*U239+V254*V239+W254*W239+X254*X239+Y254*Y239+Z254*Z239+AA254*AA239+AB254*AB239+AC254*AC239+AD254*AD239+AE254*AE239+AF254*AF239+AG254*AG239+AH254*AH239+AI254*AI239+AJ254*AJ239+AK254*AK239+AL254*AL239+AM254*AM239+AN254*AN239+AO254*AO239+AP254*AP239+AQ254*AQ239+AR254*AR239+AS254*AS239+AT254*AT239+AU254*AU239+AV254*AV239+AW254*AW239+AX254*AX239+AY254*AY239+AZ254*AZ239+BA254*BA239+BB254*BB239+BC254*BC239+BD254*BD239+BE254*BE239+BF254*BF239+BG254*BG239+BH254*BH239+BI254*BI239+BJ254*BJ239+BK254*BK239+BL254*BL239+BM254*BM239+BN254*BN239+BO254*BO239+BP254*BP239+BQ254*BQ239+BR254*BR239+BS254*BS239+BT254*BT239+BU254*BU239+BV254*BV239+BW254*BW239+BX254*BX239+BY254*BY239+BZ254*BZ239+CA254*CA239+CB254*CB239+CC254*CC239+CD254*CD239+CE254*CE239+CF254*CF239+CG254*CG239+CH254*CH239+CI254*CI239+CJ254*CJ239+CK254*CK239+CL254*CL239+CM254*CM239+CN254*CN239</f>
        <v>0</v>
      </c>
      <c r="CX239" s="2652">
        <f>E255*E239+F255*F239+G255*G239+H255*H239+I255*I239+J255*J239+K255*K239+L255*L239+M255*M239+N255*N239+O255*O239+P255*P239+Q255*Q239+R255*R239+S255*S239+T255*T239+U255*U239+V255*V239+W255*W239+X255*X239+Y255*Y239+Z255*Z239+AA255*AA239+AB255*AB239+AC255*AC239+AD255*AD239+AE255*AE239+AF255*AF239+AG255*AG239+AH255*AH239+AI255*AI239+AJ255*AJ239+AK255*AK239+AL255*AL239+AM255*AM239+AN255*AN239+AO255*AO239+AP255*AP239+AQ255*AQ239+AR255*AR239+AS255*AS239+AT255*AT239+AU255*AU239+AV255*AV239+AW255*AW239+AX255*AX239+AY255*AY239+AZ255*AZ239+BA255*BA239+BB255*BB239+BC255*BC239+BD255*BD239+BE255*BE239+BF255*BF239+BG255*BG239+BH255*BH239+BI255*BI239+BJ255*BJ239+BK255*BK239+BL255*BL239+BM255*BM239+BN255*BN239+BO255*BO239+BP255*BP239+BQ255*BQ239+BR255*BR239+BS255*BS239+BT255*BT239+BU255*BU239+BV255*BV239+BW255*BW239+BX255*BX239+BY255*BY239+BZ255*BZ239+CA255*CA239+CB255*CB239+CC255*CC239+CD255*CD239+CE255*CE239+CF255*CF239+CG255*CG239+CH255*CH239+CI255*CI239+CJ255*CJ239+CK255*CK239+CL255*CL239+CM255*CM239+CN255*CN239</f>
        <v>0</v>
      </c>
      <c r="CY239" s="2652">
        <f>E256*E239+F256*F239+G256*G239+H256*H239+I256*I239+J256*J239+K256*K239+L256*L239+M256*M239+N256*N239+O256*O239+P256*P239+Q256*Q239+R256*R239+S256*S239+T256*T239+U256*U239+V256*V239+W256*W239+X256*X239+Y256*Y239+Z256*Z239+AA256*AA239+AB256*AB239+AC256*AC239+AD256*AD239+AE256*AE239+AF256*AF239+AG256*AG239+AH256*AH239+AI256*AI239+AJ256*AJ239+AK256*AK239+AL256*AL239+AM256*AM239+AN256*AN239+AO256*AO239+AP256*AP239+AQ256*AQ239+AR256*AR239+AS256*AS239+AT256*AT239+AU256*AU239+AV256*AV239+AW256*AW239+AX256*AX239+AY256*AY239+AZ256*AZ239+BA256*BA239+BB256*BB239+BC256*BC239+BD256*BD239+BE256*BE239+BF256*BF239+BG256*BG239+BH256*BH239+BI256*BI239+BJ256*BJ239+BK256*BK239+BL256*BL239+BM256*BM239+BN256*BN239+BO256*BO239+BP256*BP239+BQ256*BQ239+BR256*BR239+BS256*BS239+BT256*BT239+BU256*BU239+BV256*BV239+BW256*BW239+BX256*BX239+BY256*BY239+BZ256*BZ239+CA256*CA239+CB256*CB239+CC256*CC239+CD256*CD239+CE256*CE239+CF256*CF239+CG256*CG239+CH256*CH239+CI256*CI239+CJ256*CJ239+CK256*CK239+CL256*CL239+CM256*CM239+CN256*CN239</f>
        <v>0</v>
      </c>
      <c r="CZ239" s="2652">
        <f>E257*E239+F257*F239+G257*G239+H257*H239+I257*I239+J257*J239+K257*K239+L257*L239+M257*M239+N257*N239+O257*O239+P257*P239+Q257*Q239+R257*R239+S257*S239+T257*T239+U257*U239+V257*V239+W257*W239+X257*X239+Y257*Y239+Z257*Z239+AA257*AA239+AB257*AB239+AC257*AC239+AD257*AD239+AE257*AE239+AF257*AF239+AG257*AG239+AH257*AH239+AI257*AI239+AJ257*AJ239+AK257*AK239+AL257*AL239+AM257*AM239+AN257*AN239+AO257*AO239+AP257*AP239+AQ257*AQ239+AR257*AR239+AS257*AS239+AT257*AT239+AU257*AU239+AV257*AV239+AW257*AW239+AX257*AX239+AY257*AY239+AZ257*AZ239+BA257*BA239+BB257*BB239+BC257*BC239+BD257*BD239+BE257*BE239+BF257*BF239+BG257*BG239+BH257*BH239+BI257*BI239+BJ257*BJ239+BK257*BK239+BL257*BL239+BM257*BM239+BN257*BN239+BO257*BO239+BP257*BP239+BQ257*BQ239+BR257*BR239+BS257*BS239+BT257*BT239+BU257*BU239+BV257*BV239+BW257*BW239+BX257*BX239+BY257*BY239+BZ257*BZ239+CA257*CA239+CB257*CB239+CC257*CC239+CD257*CD239+CE257*CE239+CF257*CF239+CG257*CG239+CH257*CH239+CI257*CI239+CJ257*CJ239+CK257*CK239+CL257*CL239+CM257*CM239+CN257*CN239</f>
        <v>0</v>
      </c>
      <c r="DA239" s="2652">
        <f>E258*E239+F258*F239+G258*G239+H258*H239+I258*I239+J258*J239+K258*K239+L258*L239+M258*M239+N258*N239+O258*O239+P258*P239+Q258*Q239+R258*R239+S258*S239+T258*T239+U258*U239+V258*V239+W258*W239+X258*X239+Y258*Y239+Z258*Z239+AA258*AA239+AB258*AB239+AC258*AC239+AD258*AD239+AE258*AE239+AF258*AF239+AG258*AG239+AH258*AH239+AI258*AI239+AJ258*AJ239+AK258*AK239+AL258*AL239+AM258*AM239+AN258*AN239+AO258*AO239+AP258*AP239+AQ258*AQ239+AR258*AR239+AS258*AS239+AT258*AT239+AU258*AU239+AV258*AV239+AW258*AW239+AX258*AX239+AY258*AY239+AZ258*AZ239+BA258*BA239+BB258*BB239+BC258*BC239+BD258*BD239+BE258*BE239+BF258*BF239+BG258*BG239+BH258*BH239+BI258*BI239+BJ258*BJ239+BK258*BK239+BL258*BL239+BM258*BM239+BN258*BN239+BO258*BO239+BP258*BP239+BQ258*BQ239+BR258*BR239+BS258*BS239+BT258*BT239+BU258*BU239+BV258*BV239+BW258*BW239+BX258*BX239+BY258*BY239+BZ258*BZ239+CA258*CA239+CB258*CB239+CC258*CC239+CD258*CD239+CE258*CE239+CF258*CF239+CG258*CG239+CH258*CH239+CI258*CI239+CJ258*CJ239+CK258*CK239+CL258*CL239+CM258*CM239+CN258*CN239</f>
        <v>0</v>
      </c>
    </row>
    <row r="240" spans="2:105" ht="18" x14ac:dyDescent="0.25">
      <c r="B240" s="2189">
        <v>107</v>
      </c>
      <c r="C240" s="2190" t="s">
        <v>4850</v>
      </c>
      <c r="D240" s="835" t="s">
        <v>3490</v>
      </c>
      <c r="E240" s="2689">
        <f>0</f>
        <v>0</v>
      </c>
      <c r="F240" s="2689">
        <f>0</f>
        <v>0</v>
      </c>
      <c r="G240" s="2689">
        <f>0</f>
        <v>0</v>
      </c>
      <c r="H240" s="2689">
        <f>0</f>
        <v>0</v>
      </c>
      <c r="I240" s="2689">
        <f>0</f>
        <v>0</v>
      </c>
      <c r="J240" s="2689">
        <f>0</f>
        <v>0</v>
      </c>
      <c r="K240" s="2725">
        <f>0</f>
        <v>0</v>
      </c>
      <c r="L240" s="2689">
        <f>0</f>
        <v>0</v>
      </c>
      <c r="M240" s="2689">
        <f>0</f>
        <v>0</v>
      </c>
      <c r="N240" s="2689">
        <f>0</f>
        <v>0</v>
      </c>
      <c r="O240" s="2689">
        <f>0</f>
        <v>0</v>
      </c>
      <c r="P240" s="2689">
        <f>0</f>
        <v>0</v>
      </c>
      <c r="Q240" s="2689">
        <f>0</f>
        <v>0</v>
      </c>
      <c r="R240" s="2689">
        <f>0</f>
        <v>0</v>
      </c>
      <c r="S240" s="2689">
        <f>0</f>
        <v>0</v>
      </c>
      <c r="T240" s="2735">
        <f>0</f>
        <v>0</v>
      </c>
      <c r="U240" s="2735">
        <f>0</f>
        <v>0</v>
      </c>
      <c r="V240" s="2689">
        <f>0</f>
        <v>0</v>
      </c>
      <c r="W240" s="2689">
        <f>0</f>
        <v>0</v>
      </c>
      <c r="X240" s="2689">
        <f>0</f>
        <v>0</v>
      </c>
      <c r="Y240" s="2689">
        <f>0</f>
        <v>0</v>
      </c>
      <c r="Z240" s="2689">
        <f>0</f>
        <v>0</v>
      </c>
      <c r="AA240" s="2689">
        <f>0</f>
        <v>0</v>
      </c>
      <c r="AB240" s="2689">
        <f>0</f>
        <v>0</v>
      </c>
      <c r="AC240" s="2725">
        <f>0</f>
        <v>0</v>
      </c>
      <c r="AD240" s="2689">
        <f>0</f>
        <v>0</v>
      </c>
      <c r="AE240" s="2689">
        <f>0</f>
        <v>0</v>
      </c>
      <c r="AF240" s="2689">
        <f>0</f>
        <v>0</v>
      </c>
      <c r="AG240" s="2689">
        <f>0</f>
        <v>0</v>
      </c>
      <c r="AH240" s="2689">
        <f>0</f>
        <v>0</v>
      </c>
      <c r="AI240" s="2689">
        <f>0</f>
        <v>0</v>
      </c>
      <c r="AJ240" s="2725">
        <f>0</f>
        <v>0</v>
      </c>
      <c r="AK240" s="2689">
        <f>0</f>
        <v>0</v>
      </c>
      <c r="AL240" s="2689">
        <f>0</f>
        <v>0</v>
      </c>
      <c r="AM240" s="2689">
        <f>0</f>
        <v>0</v>
      </c>
      <c r="AN240" s="2689">
        <f>0</f>
        <v>0</v>
      </c>
      <c r="AO240" s="2689">
        <f>0</f>
        <v>0</v>
      </c>
      <c r="AP240" s="2725">
        <f>0</f>
        <v>0</v>
      </c>
      <c r="AQ240" s="2689">
        <f>0</f>
        <v>0</v>
      </c>
      <c r="AR240" s="2689">
        <f>0</f>
        <v>0</v>
      </c>
      <c r="AS240" s="2689">
        <f>1</f>
        <v>1</v>
      </c>
      <c r="AT240" s="2689">
        <f>0</f>
        <v>0</v>
      </c>
      <c r="AU240" s="2689">
        <f>0</f>
        <v>0</v>
      </c>
      <c r="AV240" s="2689">
        <f>0</f>
        <v>0</v>
      </c>
      <c r="AW240" s="2689">
        <f>0</f>
        <v>0</v>
      </c>
      <c r="AX240" s="2689">
        <f>0</f>
        <v>0</v>
      </c>
      <c r="AY240" s="2689">
        <f>0</f>
        <v>0</v>
      </c>
      <c r="AZ240" s="2689">
        <f>0</f>
        <v>0</v>
      </c>
      <c r="BA240" s="2689">
        <f>0</f>
        <v>0</v>
      </c>
      <c r="BB240" s="2735">
        <f>0</f>
        <v>0</v>
      </c>
      <c r="BC240" s="2735">
        <f>0</f>
        <v>0</v>
      </c>
      <c r="BD240" s="2735">
        <f>0</f>
        <v>0</v>
      </c>
      <c r="BE240" s="2735">
        <f>0</f>
        <v>0</v>
      </c>
      <c r="BF240" s="2735">
        <f>0</f>
        <v>0</v>
      </c>
      <c r="BG240" s="2735">
        <f>0</f>
        <v>0</v>
      </c>
      <c r="BH240" s="2735">
        <f>0</f>
        <v>0</v>
      </c>
      <c r="BI240" s="2735">
        <f>0</f>
        <v>0</v>
      </c>
      <c r="BJ240" s="2774">
        <f>0</f>
        <v>0</v>
      </c>
      <c r="BK240" s="2774">
        <f>0</f>
        <v>0</v>
      </c>
      <c r="BL240" s="2774">
        <f>0</f>
        <v>0</v>
      </c>
      <c r="BM240" s="2774">
        <f>0</f>
        <v>0</v>
      </c>
      <c r="BN240" s="2774">
        <f>0</f>
        <v>0</v>
      </c>
      <c r="BO240" s="2774">
        <f>0</f>
        <v>0</v>
      </c>
      <c r="BP240" s="2774">
        <f>0</f>
        <v>0</v>
      </c>
      <c r="BQ240" s="2735">
        <f>0</f>
        <v>0</v>
      </c>
      <c r="BR240" s="2735">
        <f>0</f>
        <v>0</v>
      </c>
      <c r="BS240" s="2774">
        <f>0</f>
        <v>0</v>
      </c>
      <c r="BT240" s="2735">
        <f>0</f>
        <v>0</v>
      </c>
      <c r="BU240" s="2735">
        <f>0</f>
        <v>0</v>
      </c>
      <c r="BV240" s="2789">
        <f>0</f>
        <v>0</v>
      </c>
      <c r="BW240" s="2789">
        <f>0</f>
        <v>0</v>
      </c>
      <c r="BX240" s="2789">
        <f>0</f>
        <v>0</v>
      </c>
      <c r="BY240" s="2789">
        <f>0</f>
        <v>0</v>
      </c>
      <c r="BZ240" s="2735">
        <f>0</f>
        <v>0</v>
      </c>
      <c r="CA240" s="2735">
        <f>0</f>
        <v>0</v>
      </c>
      <c r="CB240" s="2805">
        <f>0</f>
        <v>0</v>
      </c>
      <c r="CC240" s="2735">
        <f>0</f>
        <v>0</v>
      </c>
      <c r="CD240" s="2735">
        <f>0</f>
        <v>0</v>
      </c>
      <c r="CE240" s="2735">
        <f>0</f>
        <v>0</v>
      </c>
      <c r="CF240" s="2735">
        <f>0</f>
        <v>0</v>
      </c>
      <c r="CG240" s="2735">
        <f>0</f>
        <v>0</v>
      </c>
      <c r="CH240" s="2735">
        <f>0</f>
        <v>0</v>
      </c>
      <c r="CI240" s="2735">
        <f>0</f>
        <v>0</v>
      </c>
      <c r="CJ240" s="2735">
        <f>-Δ_atm</f>
        <v>-1</v>
      </c>
      <c r="CK240" s="2735">
        <f>0</f>
        <v>0</v>
      </c>
      <c r="CL240" s="2735">
        <f>0</f>
        <v>0</v>
      </c>
      <c r="CM240" s="2735">
        <f>0</f>
        <v>0</v>
      </c>
      <c r="CN240" s="2735">
        <f>0</f>
        <v>0</v>
      </c>
      <c r="CO240" s="2834">
        <f>k_LaGCH4_sur*(S_GCH4_sur_sat-S_CH4)</f>
        <v>-2.5329999999999998E-2</v>
      </c>
      <c r="CQ240" s="2650">
        <f>E248*E240+F248*F240+G248*G240+H248*H240+I248*I240+J248*J240+K248*K240+L248*L240+M248*M240+N248*N240+O248*O240+P248*P240+Q248*Q240+R248*R240+S248*S240+T248*T240+U248*U240+V248*V240+W248*W240+X248*X240+Y248*Y240+Z248*Z240+AA248*AA240+AB248*AB240+AC248*AC240+AD248*AD240+AE248*AE240+AF248*AF240+AG248*AG240+AH248*AH240+AI248*AI240+AJ248*AJ240+AK248*AK240+AL248*AL240+AM248*AM240+AN248*AN240+AO248*AO240+AP248*AP240+AQ248*AQ240+AR248*AR240+AS248*AS240+AT248*AT240+AU248*AU240+AV248*AV240+AW248*AW240+AX248*AX240+AY248*AY240+AZ248*AZ240+BA248*BA240+BB248*BB240+BC248*BC240+BD248*BD240+BE248*BE240+BF248*BF240+BG248*BG240+BH248*BH240+BI248*BI240+BJ248*BJ240+BK248*BK240+BL248*BL240+BM248*BM240+BN248*BN240+BO248*BO240+BP248*BP240+BQ248*BQ240+BR248*BR240+BS248*BS240+BT248*BT240+BU248*BU240+BV248*BV240+BW248*BW240+BX248*BX240+BY248*BY240+BZ248*BZ240+CA248*CA240+CB248*CB240+CC248*CC240+CD248*CD240+CE248*CE240+CF248*CF240+CG248*CG240+CH248*CH240+CI248*CI240+CJ248*CJ240+CK248*CK240+CL248*CL240+CM248*CM240+CN248*CN240</f>
        <v>0</v>
      </c>
      <c r="CR240" s="2650">
        <f>E249*E240+F249*F240+G249*G240+H249*H240+I249*I240+J249*J240+K249*K240+L249*L240+M249*M240+N249*N240+O249*O240+P249*P240+Q249*Q240+R249*R240+S249*S240+T249*T240+U249*U240+V249*V240+W249*W240+X249*X240+Y249*Y240+Z249*Z240+AA249*AA240+AB249*AB240+AC249*AC240+AD249*AD240+AE249*AE240+AF249*AF240+AG249*AG240+AH249*AH240+AI249*AI240+AJ249*AJ240+AK249*AK240+AL249*AL240+AM249*AM240+AN249*AN240+AO249*AO240+AP249*AP240+AQ249*AQ240+AR249*AR240+AS249*AS240+AT249*AT240+AU249*AU240+AV249*AV240+AW249*AW240+AX249*AX240+AY249*AY240+AZ249*AZ240+BA249*BA240+BB249*BB240+BC249*BC240+BD249*BD240+BE249*BE240+BF249*BF240+BG249*BG240+BH249*BH240+BI249*BI240+BJ249*BJ240+BK249*BK240+BL249*BL240+BM249*BM240+BN249*BN240+BO249*BO240+BP249*BP240+BQ249*BQ240+BR249*BR240+BS249*BS240+BT249*BT240+BU249*BU240+BV249*BV240+BW249*BW240+BX249*BX240+BY249*BY240+BZ249*BZ240+CA249*CA240+CB249*CB240+CC249*CC240+CD249*CD240+CE249*CE240+CF249*CF240+CG249*CG240+CH249*CH240+CI249*CI240+CJ249*CJ240+CK249*CK240+CL249*CL240+CM249*CM240+CN249*CN240</f>
        <v>0</v>
      </c>
      <c r="CS240" s="2651">
        <f>E250*E240+F250*F240+G250*G240+H250*H240+I250*I240+J250*J240+K250*K240+L250*L240+M250*M240+N250*N240+O250*O240+P250*P240+Q250*Q240+R250*R240+S250*S240+T250*T240+U250*U240+V250*V240+W250*W240+X250*X240+Y250*Y240+Z250*Z240+AA250*AA240+AB250*AB240+AC250*AC240+AD250*AD240+AE250*AE240+AF250*AF240+AG250*AG240+AH250*AH240+AI250*AI240+AJ250*AJ240+AK250*AK240+AL250*AL240+AM250*AM240+AN250*AN240+AO250*AO240+AP250*AP240+AQ250*AQ240+AR250*AR240+AS250*AS240+AT250*AT240+AU250*AU240+AV250*AV240+AW250*AW240+AX250*AX240+AY250*AY240+AZ250*AZ240+BA250*BA240+BB250*BB240+BC250*BC240+BD250*BD240+BE250*BE240+BF250*BF240+BG250*BG240+BH250*BH240+BI250*BI240+BJ250*BJ240+BK250*BK240+BL250*BL240+BM250*BM240+BN250*BN240+BO250*BO240+BP250*BP240+BQ250*BQ240+BR250*BR240+BS250*BS240+BT250*BT240+BU250*BU240+BV250*BV240+BW250*BW240+BX250*BX240+BY250*BY240+BZ250*BZ240+CA250*CA240+CB250*CB240+CC250*CC240+CD250*CD240+CE250*CE240+CF250*CF240+CG250*CG240+CH250*CH240+CI250*CI240+CJ250*CJ240+CK250*CK240+CL250*CL240+CM250*CM240+CN250*CN240</f>
        <v>0</v>
      </c>
      <c r="CT240" s="2652">
        <f>E251*E240+F251*F240+G251*G240+H251*H240+I251*I240+J251*J240+K251*K240+L251*L240+M251*M240+N251*N240+O251*O240+P251*P240+Q251*Q240+R251*R240+S251*S240+T251*T240+U251*U240+V251*V240+W251*W240+X251*X240+Y251*Y240+Z251*Z240+AA251*AA240+AB251*AB240+AC251*AC240+AD251*AD240+AE251*AE240+AF251*AF240+AG251*AG240+AH251*AH240+AI251*AI240+AJ251*AJ240+AK251*AK240+AL251*AL240+AM251*AM240+AN251*AN240+AO251*AO240+AP251*AP240+AQ251*AQ240+AR251*AR240+AS251*AS240+AT251*AT240+AU251*AU240+AV251*AV240+AW251*AW240+AX251*AX240+AY251*AY240+AZ251*AZ240+BA251*BA240+BB251*BB240+BC251*BC240+BD251*BD240+BE251*BE240+BF251*BF240+BG251*BG240+BH251*BH240+BI251*BI240+BJ251*BJ240+BK251*BK240+BL251*BL240+BM251*BM240+BN251*BN240+BO251*BO240+BP251*BP240+BQ251*BQ240+BR251*BR240+BS251*BS240+BT251*BT240+BU251*BU240+BV251*BV240+BW251*BW240+BX251*BX240+BY251*BY240+BZ251*BZ240+CA251*CA240+CB251*CB240+CC251*CC240+CD251*CD240+CE251*CE240+CF251*CF240+CG251*CG240+CH251*CH240+CI251*CI240+CJ251*CJ240+CK251*CK240+CL251*CL240+CM251*CM240+CN251*CN240</f>
        <v>0</v>
      </c>
      <c r="CU240" s="2652">
        <f>E252*E240+F252*F240+G252*G240+H252*H240+I252*I240+J252*J240+K252*K240+L252*L240+M252*M240+N252*N240+O252*O240+P252*P240+Q252*Q240+R252*R240+S252*S240+T252*T240+U252*U240+V252*V240+W252*W240+X252*X240+Y252*Y240+Z252*Z240+AA252*AA240+AB252*AB240+AC252*AC240+AD252*AD240+AE252*AE240+AF252*AF240+AG252*AG240+AH252*AH240+AI252*AI240+AJ252*AJ240+AK252*AK240+AL252*AL240+AM252*AM240+AN252*AN240+AO252*AO240+AP252*AP240+AQ252*AQ240+AR252*AR240+AS252*AS240+AT252*AT240+AU252*AU240+AV252*AV240+AW252*AW240+AX252*AX240+AY252*AY240+AZ252*AZ240+BA252*BA240+BB252*BB240+BC252*BC240+BD252*BD240+BE252*BE240+BF252*BF240+BG252*BG240+BH252*BH240+BI252*BI240+BJ252*BJ240+BK252*BK240+BL252*BL240+BM252*BM240+BN252*BN240+BO252*BO240+BP252*BP240+BQ252*BQ240+BR252*BR240+BS252*BS240+BT252*BT240+BU252*BU240+BV252*BV240+BW252*BW240+BX252*BX240+BY252*BY240+BZ252*BZ240+CA252*CA240+CB252*CB240+CC252*CC240+CD252*CD240+CE252*CE240+CF252*CF240+CG252*CG240+CH252*CH240+CI252*CI240+CJ252*CJ240+CK252*CK240+CL252*CL240+CM252*CM240+CN252*CN240</f>
        <v>0</v>
      </c>
      <c r="CV240" s="2652">
        <f>E253*E240+F253*F240+G253*G240+H253*H240+I253*I240+J253*J240+K253*K240+L253*L240+M253*M240+N253*N240+O253*O240+P253*P240+Q253*Q240+R253*R240+S253*S240+T253*T240+U253*U240+V253*V240+W253*W240+X253*X240+Y253*Y240+Z253*Z240+AA253*AA240+AB253*AB240+AC253*AC240+AD253*AD240+AE253*AE240+AF253*AF240+AG253*AG240+AH253*AH240+AI253*AI240+AJ253*AJ240+AK253*AK240+AL253*AL240+AM253*AM240+AN253*AN240+AO253*AO240+AP253*AP240+AQ253*AQ240+AR253*AR240+AS253*AS240+AT253*AT240+AU253*AU240+AV253*AV240+AW253*AW240+AX253*AX240+AY253*AY240+AZ253*AZ240+BA253*BA240+BB253*BB240+BC253*BC240+BD253*BD240+BE253*BE240+BF253*BF240+BG253*BG240+BH253*BH240+BI253*BI240+BJ253*BJ240+BK253*BK240+BL253*BL240+BM253*BM240+BN253*BN240+BO253*BO240+BP253*BP240+BQ253*BQ240+BR253*BR240+BS253*BS240+BT253*BT240+BU253*BU240+BV253*BV240+BW253*BW240+BX253*BX240+BY253*BY240+BZ253*BZ240+CA253*CA240+CB253*CB240+CC253*CC240+CD253*CD240+CE253*CE240+CF253*CF240+CG253*CG240+CH253*CH240+CI253*CI240+CJ253*CJ240+CK253*CK240+CL253*CL240+CM253*CM240+CN253*CN240</f>
        <v>0</v>
      </c>
      <c r="CW240" s="2652">
        <f>E254*E240+F254*F240+G254*G240+H254*H240+I254*I240+J254*J240+K254*K240+L254*L240+M254*M240+N254*N240+O254*O240+P254*P240+Q254*Q240+R254*R240+S254*S240+T254*T240+U254*U240+V254*V240+W254*W240+X254*X240+Y254*Y240+Z254*Z240+AA254*AA240+AB254*AB240+AC254*AC240+AD254*AD240+AE254*AE240+AF254*AF240+AG254*AG240+AH254*AH240+AI254*AI240+AJ254*AJ240+AK254*AK240+AL254*AL240+AM254*AM240+AN254*AN240+AO254*AO240+AP254*AP240+AQ254*AQ240+AR254*AR240+AS254*AS240+AT254*AT240+AU254*AU240+AV254*AV240+AW254*AW240+AX254*AX240+AY254*AY240+AZ254*AZ240+BA254*BA240+BB254*BB240+BC254*BC240+BD254*BD240+BE254*BE240+BF254*BF240+BG254*BG240+BH254*BH240+BI254*BI240+BJ254*BJ240+BK254*BK240+BL254*BL240+BM254*BM240+BN254*BN240+BO254*BO240+BP254*BP240+BQ254*BQ240+BR254*BR240+BS254*BS240+BT254*BT240+BU254*BU240+BV254*BV240+BW254*BW240+BX254*BX240+BY254*BY240+BZ254*BZ240+CA254*CA240+CB254*CB240+CC254*CC240+CD254*CD240+CE254*CE240+CF254*CF240+CG254*CG240+CH254*CH240+CI254*CI240+CJ254*CJ240+CK254*CK240+CL254*CL240+CM254*CM240+CN254*CN240</f>
        <v>0</v>
      </c>
      <c r="CX240" s="2652">
        <f>E255*E240+F255*F240+G255*G240+H255*H240+I255*I240+J255*J240+K255*K240+L255*L240+M255*M240+N255*N240+O255*O240+P255*P240+Q255*Q240+R255*R240+S255*S240+T255*T240+U255*U240+V255*V240+W255*W240+X255*X240+Y255*Y240+Z255*Z240+AA255*AA240+AB255*AB240+AC255*AC240+AD255*AD240+AE255*AE240+AF255*AF240+AG255*AG240+AH255*AH240+AI255*AI240+AJ255*AJ240+AK255*AK240+AL255*AL240+AM255*AM240+AN255*AN240+AO255*AO240+AP255*AP240+AQ255*AQ240+AR255*AR240+AS255*AS240+AT255*AT240+AU255*AU240+AV255*AV240+AW255*AW240+AX255*AX240+AY255*AY240+AZ255*AZ240+BA255*BA240+BB255*BB240+BC255*BC240+BD255*BD240+BE255*BE240+BF255*BF240+BG255*BG240+BH255*BH240+BI255*BI240+BJ255*BJ240+BK255*BK240+BL255*BL240+BM255*BM240+BN255*BN240+BO255*BO240+BP255*BP240+BQ255*BQ240+BR255*BR240+BS255*BS240+BT255*BT240+BU255*BU240+BV255*BV240+BW255*BW240+BX255*BX240+BY255*BY240+BZ255*BZ240+CA255*CA240+CB255*CB240+CC255*CC240+CD255*CD240+CE255*CE240+CF255*CF240+CG255*CG240+CH255*CH240+CI255*CI240+CJ255*CJ240+CK255*CK240+CL255*CL240+CM255*CM240+CN255*CN240</f>
        <v>0</v>
      </c>
      <c r="CY240" s="2652">
        <f>E256*E240+F256*F240+G256*G240+H256*H240+I256*I240+J256*J240+K256*K240+L256*L240+M256*M240+N256*N240+O256*O240+P256*P240+Q256*Q240+R256*R240+S256*S240+T256*T240+U256*U240+V256*V240+W256*W240+X256*X240+Y256*Y240+Z256*Z240+AA256*AA240+AB256*AB240+AC256*AC240+AD256*AD240+AE256*AE240+AF256*AF240+AG256*AG240+AH256*AH240+AI256*AI240+AJ256*AJ240+AK256*AK240+AL256*AL240+AM256*AM240+AN256*AN240+AO256*AO240+AP256*AP240+AQ256*AQ240+AR256*AR240+AS256*AS240+AT256*AT240+AU256*AU240+AV256*AV240+AW256*AW240+AX256*AX240+AY256*AY240+AZ256*AZ240+BA256*BA240+BB256*BB240+BC256*BC240+BD256*BD240+BE256*BE240+BF256*BF240+BG256*BG240+BH256*BH240+BI256*BI240+BJ256*BJ240+BK256*BK240+BL256*BL240+BM256*BM240+BN256*BN240+BO256*BO240+BP256*BP240+BQ256*BQ240+BR256*BR240+BS256*BS240+BT256*BT240+BU256*BU240+BV256*BV240+BW256*BW240+BX256*BX240+BY256*BY240+BZ256*BZ240+CA256*CA240+CB256*CB240+CC256*CC240+CD256*CD240+CE256*CE240+CF256*CF240+CG256*CG240+CH256*CH240+CI256*CI240+CJ256*CJ240+CK256*CK240+CL256*CL240+CM256*CM240+CN256*CN240</f>
        <v>0</v>
      </c>
      <c r="CZ240" s="2652">
        <f>E257*E240+F257*F240+G257*G240+H257*H240+I257*I240+J257*J240+K257*K240+L257*L240+M257*M240+N257*N240+O257*O240+P257*P240+Q257*Q240+R257*R240+S257*S240+T257*T240+U257*U240+V257*V240+W257*W240+X257*X240+Y257*Y240+Z257*Z240+AA257*AA240+AB257*AB240+AC257*AC240+AD257*AD240+AE257*AE240+AF257*AF240+AG257*AG240+AH257*AH240+AI257*AI240+AJ257*AJ240+AK257*AK240+AL257*AL240+AM257*AM240+AN257*AN240+AO257*AO240+AP257*AP240+AQ257*AQ240+AR257*AR240+AS257*AS240+AT257*AT240+AU257*AU240+AV257*AV240+AW257*AW240+AX257*AX240+AY257*AY240+AZ257*AZ240+BA257*BA240+BB257*BB240+BC257*BC240+BD257*BD240+BE257*BE240+BF257*BF240+BG257*BG240+BH257*BH240+BI257*BI240+BJ257*BJ240+BK257*BK240+BL257*BL240+BM257*BM240+BN257*BN240+BO257*BO240+BP257*BP240+BQ257*BQ240+BR257*BR240+BS257*BS240+BT257*BT240+BU257*BU240+BV257*BV240+BW257*BW240+BX257*BX240+BY257*BY240+BZ257*BZ240+CA257*CA240+CB257*CB240+CC257*CC240+CD257*CD240+CE257*CE240+CF257*CF240+CG257*CG240+CH257*CH240+CI257*CI240+CJ257*CJ240+CK257*CK240+CL257*CL240+CM257*CM240+CN257*CN240</f>
        <v>0</v>
      </c>
      <c r="DA240" s="2652">
        <f>E258*E240+F258*F240+G258*G240+H258*H240+I258*I240+J258*J240+K258*K240+L258*L240+M258*M240+N258*N240+O258*O240+P258*P240+Q258*Q240+R258*R240+S258*S240+T258*T240+U258*U240+V258*V240+W258*W240+X258*X240+Y258*Y240+Z258*Z240+AA258*AA240+AB258*AB240+AC258*AC240+AD258*AD240+AE258*AE240+AF258*AF240+AG258*AG240+AH258*AH240+AI258*AI240+AJ258*AJ240+AK258*AK240+AL258*AL240+AM258*AM240+AN258*AN240+AO258*AO240+AP258*AP240+AQ258*AQ240+AR258*AR240+AS258*AS240+AT258*AT240+AU258*AU240+AV258*AV240+AW258*AW240+AX258*AX240+AY258*AY240+AZ258*AZ240+BA258*BA240+BB258*BB240+BC258*BC240+BD258*BD240+BE258*BE240+BF258*BF240+BG258*BG240+BH258*BH240+BI258*BI240+BJ258*BJ240+BK258*BK240+BL258*BL240+BM258*BM240+BN258*BN240+BO258*BO240+BP258*BP240+BQ258*BQ240+BR258*BR240+BS258*BS240+BT258*BT240+BU258*BU240+BV258*BV240+BW258*BW240+BX258*BX240+BY258*BY240+BZ258*BZ240+CA258*CA240+CB258*CB240+CC258*CC240+CD258*CD240+CE258*CE240+CF258*CF240+CG258*CG240+CH258*CH240+CI258*CI240+CJ258*CJ240+CK258*CK240+CL258*CL240+CM258*CM240+CN258*CN240</f>
        <v>0</v>
      </c>
    </row>
    <row r="241" spans="2:105" ht="18" x14ac:dyDescent="0.25">
      <c r="B241" s="2189">
        <v>108</v>
      </c>
      <c r="C241" s="2190" t="s">
        <v>4851</v>
      </c>
      <c r="D241" s="835" t="s">
        <v>3491</v>
      </c>
      <c r="E241" s="2689">
        <f>0</f>
        <v>0</v>
      </c>
      <c r="F241" s="2689">
        <f>0</f>
        <v>0</v>
      </c>
      <c r="G241" s="2689">
        <f>0</f>
        <v>0</v>
      </c>
      <c r="H241" s="2689">
        <f>0</f>
        <v>0</v>
      </c>
      <c r="I241" s="2689">
        <f>0</f>
        <v>0</v>
      </c>
      <c r="J241" s="2689">
        <f>0</f>
        <v>0</v>
      </c>
      <c r="K241" s="2725">
        <f>0</f>
        <v>0</v>
      </c>
      <c r="L241" s="2689">
        <f>0</f>
        <v>0</v>
      </c>
      <c r="M241" s="2689">
        <f>0</f>
        <v>0</v>
      </c>
      <c r="N241" s="2689">
        <f>0</f>
        <v>0</v>
      </c>
      <c r="O241" s="2689">
        <f>0</f>
        <v>0</v>
      </c>
      <c r="P241" s="2689">
        <f>0</f>
        <v>0</v>
      </c>
      <c r="Q241" s="2689">
        <f>0</f>
        <v>0</v>
      </c>
      <c r="R241" s="2689">
        <f>0</f>
        <v>0</v>
      </c>
      <c r="S241" s="2689">
        <f>0</f>
        <v>0</v>
      </c>
      <c r="T241" s="2735">
        <f>0</f>
        <v>0</v>
      </c>
      <c r="U241" s="2735">
        <f>0</f>
        <v>0</v>
      </c>
      <c r="V241" s="2689">
        <f>0</f>
        <v>0</v>
      </c>
      <c r="W241" s="2689">
        <f>0</f>
        <v>0</v>
      </c>
      <c r="X241" s="2689">
        <f>0</f>
        <v>0</v>
      </c>
      <c r="Y241" s="2689">
        <f>0</f>
        <v>0</v>
      </c>
      <c r="Z241" s="2689">
        <f>0</f>
        <v>0</v>
      </c>
      <c r="AA241" s="2689">
        <f>0</f>
        <v>0</v>
      </c>
      <c r="AB241" s="2689">
        <f>0</f>
        <v>0</v>
      </c>
      <c r="AC241" s="2725">
        <f>0</f>
        <v>0</v>
      </c>
      <c r="AD241" s="2689">
        <f>0</f>
        <v>0</v>
      </c>
      <c r="AE241" s="2689">
        <f>0</f>
        <v>0</v>
      </c>
      <c r="AF241" s="2689">
        <f>0</f>
        <v>0</v>
      </c>
      <c r="AG241" s="2689">
        <f>0</f>
        <v>0</v>
      </c>
      <c r="AH241" s="2689">
        <f>0</f>
        <v>0</v>
      </c>
      <c r="AI241" s="2689">
        <f>0</f>
        <v>0</v>
      </c>
      <c r="AJ241" s="2725">
        <f>0</f>
        <v>0</v>
      </c>
      <c r="AK241" s="2689">
        <f>0</f>
        <v>0</v>
      </c>
      <c r="AL241" s="2689">
        <f>0</f>
        <v>0</v>
      </c>
      <c r="AM241" s="2689">
        <f>0</f>
        <v>0</v>
      </c>
      <c r="AN241" s="2689">
        <f>0</f>
        <v>0</v>
      </c>
      <c r="AO241" s="2689">
        <f>0</f>
        <v>0</v>
      </c>
      <c r="AP241" s="2725">
        <f>0</f>
        <v>0</v>
      </c>
      <c r="AQ241" s="2689">
        <f>0</f>
        <v>0</v>
      </c>
      <c r="AR241" s="2689">
        <f>0</f>
        <v>0</v>
      </c>
      <c r="AS241" s="2689">
        <f>0</f>
        <v>0</v>
      </c>
      <c r="AT241" s="2689">
        <f>1</f>
        <v>1</v>
      </c>
      <c r="AU241" s="2689">
        <f>0</f>
        <v>0</v>
      </c>
      <c r="AV241" s="2689">
        <f>0</f>
        <v>0</v>
      </c>
      <c r="AW241" s="2689">
        <f>0</f>
        <v>0</v>
      </c>
      <c r="AX241" s="2689">
        <f>0</f>
        <v>0</v>
      </c>
      <c r="AY241" s="2689">
        <f>0</f>
        <v>0</v>
      </c>
      <c r="AZ241" s="2689">
        <f>0</f>
        <v>0</v>
      </c>
      <c r="BA241" s="2689">
        <f>0</f>
        <v>0</v>
      </c>
      <c r="BB241" s="2735">
        <f>0</f>
        <v>0</v>
      </c>
      <c r="BC241" s="2735">
        <f>0</f>
        <v>0</v>
      </c>
      <c r="BD241" s="2735">
        <f>0</f>
        <v>0</v>
      </c>
      <c r="BE241" s="2735">
        <f>0</f>
        <v>0</v>
      </c>
      <c r="BF241" s="2735">
        <f>0</f>
        <v>0</v>
      </c>
      <c r="BG241" s="2735">
        <f>0</f>
        <v>0</v>
      </c>
      <c r="BH241" s="2735">
        <f>0</f>
        <v>0</v>
      </c>
      <c r="BI241" s="2735">
        <f>0</f>
        <v>0</v>
      </c>
      <c r="BJ241" s="2774">
        <f>0</f>
        <v>0</v>
      </c>
      <c r="BK241" s="2774">
        <f>0</f>
        <v>0</v>
      </c>
      <c r="BL241" s="2774">
        <f>0</f>
        <v>0</v>
      </c>
      <c r="BM241" s="2774">
        <f>0</f>
        <v>0</v>
      </c>
      <c r="BN241" s="2774">
        <f>0</f>
        <v>0</v>
      </c>
      <c r="BO241" s="2774">
        <f>0</f>
        <v>0</v>
      </c>
      <c r="BP241" s="2774">
        <f>0</f>
        <v>0</v>
      </c>
      <c r="BQ241" s="2735">
        <f>0</f>
        <v>0</v>
      </c>
      <c r="BR241" s="2735">
        <f>0</f>
        <v>0</v>
      </c>
      <c r="BS241" s="2774">
        <f>0</f>
        <v>0</v>
      </c>
      <c r="BT241" s="2735">
        <f>0</f>
        <v>0</v>
      </c>
      <c r="BU241" s="2735">
        <f>0</f>
        <v>0</v>
      </c>
      <c r="BV241" s="2789">
        <f>0</f>
        <v>0</v>
      </c>
      <c r="BW241" s="2789">
        <f>0</f>
        <v>0</v>
      </c>
      <c r="BX241" s="2789">
        <f>0</f>
        <v>0</v>
      </c>
      <c r="BY241" s="2789">
        <f>0</f>
        <v>0</v>
      </c>
      <c r="BZ241" s="2735">
        <f>0</f>
        <v>0</v>
      </c>
      <c r="CA241" s="2735">
        <f>0</f>
        <v>0</v>
      </c>
      <c r="CB241" s="2805">
        <f>0</f>
        <v>0</v>
      </c>
      <c r="CC241" s="2735">
        <f>0</f>
        <v>0</v>
      </c>
      <c r="CD241" s="2735">
        <f>0</f>
        <v>0</v>
      </c>
      <c r="CE241" s="2735">
        <f>0</f>
        <v>0</v>
      </c>
      <c r="CF241" s="2735">
        <f>0</f>
        <v>0</v>
      </c>
      <c r="CG241" s="2735">
        <f>0</f>
        <v>0</v>
      </c>
      <c r="CH241" s="2735">
        <f>0</f>
        <v>0</v>
      </c>
      <c r="CI241" s="2735">
        <f>0</f>
        <v>0</v>
      </c>
      <c r="CJ241" s="2735">
        <f>0</f>
        <v>0</v>
      </c>
      <c r="CK241" s="2735">
        <f>-Δ_atm</f>
        <v>-1</v>
      </c>
      <c r="CL241" s="2735">
        <f>0</f>
        <v>0</v>
      </c>
      <c r="CM241" s="2735">
        <f>0</f>
        <v>0</v>
      </c>
      <c r="CN241" s="2735">
        <f>0</f>
        <v>0</v>
      </c>
      <c r="CO241" s="2834">
        <f>k_LaGH2_sur*(S_GH2_sur_sat-S_H2)</f>
        <v>-4.4020000000000004E-2</v>
      </c>
      <c r="CQ241" s="2650">
        <f>E248*E241+F248*F241+G248*G241+H248*H241+I248*I241+J248*J241+K248*K241+L248*L241+M248*M241+N248*N241+O248*O241+P248*P241+Q248*Q241+R248*R241+S248*S241+T248*T241+U248*U241+V248*V241+W248*W241+X248*X241+Y248*Y241+Z248*Z241+AA248*AA241+AB248*AB241+AC248*AC241+AD248*AD241+AE248*AE241+AF248*AF241+AG248*AG241+AH248*AH241+AI248*AI241+AJ248*AJ241+AK248*AK241+AL248*AL241+AM248*AM241+AN248*AN241+AO248*AO241+AP248*AP241+AQ248*AQ241+AR248*AR241+AS248*AS241+AT248*AT241+AU248*AU241+AV248*AV241+AW248*AW241+AX248*AX241+AY248*AY241+AZ248*AZ241+BA248*BA241+BB248*BB241+BC248*BC241+BD248*BD241+BE248*BE241+BF248*BF241+BG248*BG241+BH248*BH241+BI248*BI241+BJ248*BJ241+BK248*BK241+BL248*BL241+BM248*BM241+BN248*BN241+BO248*BO241+BP248*BP241+BQ248*BQ241+BR248*BR241+BS248*BS241+BT248*BT241+BU248*BU241+BV248*BV241+BW248*BW241+BX248*BX241+BY248*BY241+BZ248*BZ241+CA248*CA241+CB248*CB241+CC248*CC241+CD248*CD241+CE248*CE241+CF248*CF241+CG248*CG241+CH248*CH241+CI248*CI241+CJ248*CJ241+CK248*CK241+CL248*CL241+CM248*CM241+CN248*CN241</f>
        <v>0</v>
      </c>
      <c r="CR241" s="2650">
        <f>E249*E241+F249*F241+G249*G241+H249*H241+I249*I241+J249*J241+K249*K241+L249*L241+M249*M241+N249*N241+O249*O241+P249*P241+Q249*Q241+R249*R241+S249*S241+T249*T241+U249*U241+V249*V241+W249*W241+X249*X241+Y249*Y241+Z249*Z241+AA249*AA241+AB249*AB241+AC249*AC241+AD249*AD241+AE249*AE241+AF249*AF241+AG249*AG241+AH249*AH241+AI249*AI241+AJ249*AJ241+AK249*AK241+AL249*AL241+AM249*AM241+AN249*AN241+AO249*AO241+AP249*AP241+AQ249*AQ241+AR249*AR241+AS249*AS241+AT249*AT241+AU249*AU241+AV249*AV241+AW249*AW241+AX249*AX241+AY249*AY241+AZ249*AZ241+BA249*BA241+BB249*BB241+BC249*BC241+BD249*BD241+BE249*BE241+BF249*BF241+BG249*BG241+BH249*BH241+BI249*BI241+BJ249*BJ241+BK249*BK241+BL249*BL241+BM249*BM241+BN249*BN241+BO249*BO241+BP249*BP241+BQ249*BQ241+BR249*BR241+BS249*BS241+BT249*BT241+BU249*BU241+BV249*BV241+BW249*BW241+BX249*BX241+BY249*BY241+BZ249*BZ241+CA249*CA241+CB249*CB241+CC249*CC241+CD249*CD241+CE249*CE241+CF249*CF241+CG249*CG241+CH249*CH241+CI249*CI241+CJ249*CJ241+CK249*CK241+CL249*CL241+CM249*CM241+CN249*CN241</f>
        <v>0</v>
      </c>
      <c r="CS241" s="2651">
        <f>E250*E241+F250*F241+G250*G241+H250*H241+I250*I241+J250*J241+K250*K241+L250*L241+M250*M241+N250*N241+O250*O241+P250*P241+Q250*Q241+R250*R241+S250*S241+T250*T241+U250*U241+V250*V241+W250*W241+X250*X241+Y250*Y241+Z250*Z241+AA250*AA241+AB250*AB241+AC250*AC241+AD250*AD241+AE250*AE241+AF250*AF241+AG250*AG241+AH250*AH241+AI250*AI241+AJ250*AJ241+AK250*AK241+AL250*AL241+AM250*AM241+AN250*AN241+AO250*AO241+AP250*AP241+AQ250*AQ241+AR250*AR241+AS250*AS241+AT250*AT241+AU250*AU241+AV250*AV241+AW250*AW241+AX250*AX241+AY250*AY241+AZ250*AZ241+BA250*BA241+BB250*BB241+BC250*BC241+BD250*BD241+BE250*BE241+BF250*BF241+BG250*BG241+BH250*BH241+BI250*BI241+BJ250*BJ241+BK250*BK241+BL250*BL241+BM250*BM241+BN250*BN241+BO250*BO241+BP250*BP241+BQ250*BQ241+BR250*BR241+BS250*BS241+BT250*BT241+BU250*BU241+BV250*BV241+BW250*BW241+BX250*BX241+BY250*BY241+BZ250*BZ241+CA250*CA241+CB250*CB241+CC250*CC241+CD250*CD241+CE250*CE241+CF250*CF241+CG250*CG241+CH250*CH241+CI250*CI241+CJ250*CJ241+CK250*CK241+CL250*CL241+CM250*CM241+CN250*CN241</f>
        <v>0</v>
      </c>
      <c r="CT241" s="2652">
        <f>E251*E241+F251*F241+G251*G241+H251*H241+I251*I241+J251*J241+K251*K241+L251*L241+M251*M241+N251*N241+O251*O241+P251*P241+Q251*Q241+R251*R241+S251*S241+T251*T241+U251*U241+V251*V241+W251*W241+X251*X241+Y251*Y241+Z251*Z241+AA251*AA241+AB251*AB241+AC251*AC241+AD251*AD241+AE251*AE241+AF251*AF241+AG251*AG241+AH251*AH241+AI251*AI241+AJ251*AJ241+AK251*AK241+AL251*AL241+AM251*AM241+AN251*AN241+AO251*AO241+AP251*AP241+AQ251*AQ241+AR251*AR241+AS251*AS241+AT251*AT241+AU251*AU241+AV251*AV241+AW251*AW241+AX251*AX241+AY251*AY241+AZ251*AZ241+BA251*BA241+BB251*BB241+BC251*BC241+BD251*BD241+BE251*BE241+BF251*BF241+BG251*BG241+BH251*BH241+BI251*BI241+BJ251*BJ241+BK251*BK241+BL251*BL241+BM251*BM241+BN251*BN241+BO251*BO241+BP251*BP241+BQ251*BQ241+BR251*BR241+BS251*BS241+BT251*BT241+BU251*BU241+BV251*BV241+BW251*BW241+BX251*BX241+BY251*BY241+BZ251*BZ241+CA251*CA241+CB251*CB241+CC251*CC241+CD251*CD241+CE251*CE241+CF251*CF241+CG251*CG241+CH251*CH241+CI251*CI241+CJ251*CJ241+CK251*CK241+CL251*CL241+CM251*CM241+CN251*CN241</f>
        <v>0</v>
      </c>
      <c r="CU241" s="2652">
        <f>E252*E241+F252*F241+G252*G241+H252*H241+I252*I241+J252*J241+K252*K241+L252*L241+M252*M241+N252*N241+O252*O241+P252*P241+Q252*Q241+R252*R241+S252*S241+T252*T241+U252*U241+V252*V241+W252*W241+X252*X241+Y252*Y241+Z252*Z241+AA252*AA241+AB252*AB241+AC252*AC241+AD252*AD241+AE252*AE241+AF252*AF241+AG252*AG241+AH252*AH241+AI252*AI241+AJ252*AJ241+AK252*AK241+AL252*AL241+AM252*AM241+AN252*AN241+AO252*AO241+AP252*AP241+AQ252*AQ241+AR252*AR241+AS252*AS241+AT252*AT241+AU252*AU241+AV252*AV241+AW252*AW241+AX252*AX241+AY252*AY241+AZ252*AZ241+BA252*BA241+BB252*BB241+BC252*BC241+BD252*BD241+BE252*BE241+BF252*BF241+BG252*BG241+BH252*BH241+BI252*BI241+BJ252*BJ241+BK252*BK241+BL252*BL241+BM252*BM241+BN252*BN241+BO252*BO241+BP252*BP241+BQ252*BQ241+BR252*BR241+BS252*BS241+BT252*BT241+BU252*BU241+BV252*BV241+BW252*BW241+BX252*BX241+BY252*BY241+BZ252*BZ241+CA252*CA241+CB252*CB241+CC252*CC241+CD252*CD241+CE252*CE241+CF252*CF241+CG252*CG241+CH252*CH241+CI252*CI241+CJ252*CJ241+CK252*CK241+CL252*CL241+CM252*CM241+CN252*CN241</f>
        <v>0</v>
      </c>
      <c r="CV241" s="2652">
        <f>E253*E241+F253*F241+G253*G241+H253*H241+I253*I241+J253*J241+K253*K241+L253*L241+M253*M241+N253*N241+O253*O241+P253*P241+Q253*Q241+R253*R241+S253*S241+T253*T241+U253*U241+V253*V241+W253*W241+X253*X241+Y253*Y241+Z253*Z241+AA253*AA241+AB253*AB241+AC253*AC241+AD253*AD241+AE253*AE241+AF253*AF241+AG253*AG241+AH253*AH241+AI253*AI241+AJ253*AJ241+AK253*AK241+AL253*AL241+AM253*AM241+AN253*AN241+AO253*AO241+AP253*AP241+AQ253*AQ241+AR253*AR241+AS253*AS241+AT253*AT241+AU253*AU241+AV253*AV241+AW253*AW241+AX253*AX241+AY253*AY241+AZ253*AZ241+BA253*BA241+BB253*BB241+BC253*BC241+BD253*BD241+BE253*BE241+BF253*BF241+BG253*BG241+BH253*BH241+BI253*BI241+BJ253*BJ241+BK253*BK241+BL253*BL241+BM253*BM241+BN253*BN241+BO253*BO241+BP253*BP241+BQ253*BQ241+BR253*BR241+BS253*BS241+BT253*BT241+BU253*BU241+BV253*BV241+BW253*BW241+BX253*BX241+BY253*BY241+BZ253*BZ241+CA253*CA241+CB253*CB241+CC253*CC241+CD253*CD241+CE253*CE241+CF253*CF241+CG253*CG241+CH253*CH241+CI253*CI241+CJ253*CJ241+CK253*CK241+CL253*CL241+CM253*CM241+CN253*CN241</f>
        <v>0</v>
      </c>
      <c r="CW241" s="2652">
        <f>E254*E241+F254*F241+G254*G241+H254*H241+I254*I241+J254*J241+K254*K241+L254*L241+M254*M241+N254*N241+O254*O241+P254*P241+Q254*Q241+R254*R241+S254*S241+T254*T241+U254*U241+V254*V241+W254*W241+X254*X241+Y254*Y241+Z254*Z241+AA254*AA241+AB254*AB241+AC254*AC241+AD254*AD241+AE254*AE241+AF254*AF241+AG254*AG241+AH254*AH241+AI254*AI241+AJ254*AJ241+AK254*AK241+AL254*AL241+AM254*AM241+AN254*AN241+AO254*AO241+AP254*AP241+AQ254*AQ241+AR254*AR241+AS254*AS241+AT254*AT241+AU254*AU241+AV254*AV241+AW254*AW241+AX254*AX241+AY254*AY241+AZ254*AZ241+BA254*BA241+BB254*BB241+BC254*BC241+BD254*BD241+BE254*BE241+BF254*BF241+BG254*BG241+BH254*BH241+BI254*BI241+BJ254*BJ241+BK254*BK241+BL254*BL241+BM254*BM241+BN254*BN241+BO254*BO241+BP254*BP241+BQ254*BQ241+BR254*BR241+BS254*BS241+BT254*BT241+BU254*BU241+BV254*BV241+BW254*BW241+BX254*BX241+BY254*BY241+BZ254*BZ241+CA254*CA241+CB254*CB241+CC254*CC241+CD254*CD241+CE254*CE241+CF254*CF241+CG254*CG241+CH254*CH241+CI254*CI241+CJ254*CJ241+CK254*CK241+CL254*CL241+CM254*CM241+CN254*CN241</f>
        <v>0</v>
      </c>
      <c r="CX241" s="2652">
        <f>E255*E241+F255*F241+G255*G241+H255*H241+I255*I241+J255*J241+K255*K241+L255*L241+M255*M241+N255*N241+O255*O241+P255*P241+Q255*Q241+R255*R241+S255*S241+T255*T241+U255*U241+V255*V241+W255*W241+X255*X241+Y255*Y241+Z255*Z241+AA255*AA241+AB255*AB241+AC255*AC241+AD255*AD241+AE255*AE241+AF255*AF241+AG255*AG241+AH255*AH241+AI255*AI241+AJ255*AJ241+AK255*AK241+AL255*AL241+AM255*AM241+AN255*AN241+AO255*AO241+AP255*AP241+AQ255*AQ241+AR255*AR241+AS255*AS241+AT255*AT241+AU255*AU241+AV255*AV241+AW255*AW241+AX255*AX241+AY255*AY241+AZ255*AZ241+BA255*BA241+BB255*BB241+BC255*BC241+BD255*BD241+BE255*BE241+BF255*BF241+BG255*BG241+BH255*BH241+BI255*BI241+BJ255*BJ241+BK255*BK241+BL255*BL241+BM255*BM241+BN255*BN241+BO255*BO241+BP255*BP241+BQ255*BQ241+BR255*BR241+BS255*BS241+BT255*BT241+BU255*BU241+BV255*BV241+BW255*BW241+BX255*BX241+BY255*BY241+BZ255*BZ241+CA255*CA241+CB255*CB241+CC255*CC241+CD255*CD241+CE255*CE241+CF255*CF241+CG255*CG241+CH255*CH241+CI255*CI241+CJ255*CJ241+CK255*CK241+CL255*CL241+CM255*CM241+CN255*CN241</f>
        <v>0</v>
      </c>
      <c r="CY241" s="2652">
        <f>E256*E241+F256*F241+G256*G241+H256*H241+I256*I241+J256*J241+K256*K241+L256*L241+M256*M241+N256*N241+O256*O241+P256*P241+Q256*Q241+R256*R241+S256*S241+T256*T241+U256*U241+V256*V241+W256*W241+X256*X241+Y256*Y241+Z256*Z241+AA256*AA241+AB256*AB241+AC256*AC241+AD256*AD241+AE256*AE241+AF256*AF241+AG256*AG241+AH256*AH241+AI256*AI241+AJ256*AJ241+AK256*AK241+AL256*AL241+AM256*AM241+AN256*AN241+AO256*AO241+AP256*AP241+AQ256*AQ241+AR256*AR241+AS256*AS241+AT256*AT241+AU256*AU241+AV256*AV241+AW256*AW241+AX256*AX241+AY256*AY241+AZ256*AZ241+BA256*BA241+BB256*BB241+BC256*BC241+BD256*BD241+BE256*BE241+BF256*BF241+BG256*BG241+BH256*BH241+BI256*BI241+BJ256*BJ241+BK256*BK241+BL256*BL241+BM256*BM241+BN256*BN241+BO256*BO241+BP256*BP241+BQ256*BQ241+BR256*BR241+BS256*BS241+BT256*BT241+BU256*BU241+BV256*BV241+BW256*BW241+BX256*BX241+BY256*BY241+BZ256*BZ241+CA256*CA241+CB256*CB241+CC256*CC241+CD256*CD241+CE256*CE241+CF256*CF241+CG256*CG241+CH256*CH241+CI256*CI241+CJ256*CJ241+CK256*CK241+CL256*CL241+CM256*CM241+CN256*CN241</f>
        <v>0</v>
      </c>
      <c r="CZ241" s="2652">
        <f>E257*E241+F257*F241+G257*G241+H257*H241+I257*I241+J257*J241+K257*K241+L257*L241+M257*M241+N257*N241+O257*O241+P257*P241+Q257*Q241+R257*R241+S257*S241+T257*T241+U257*U241+V257*V241+W257*W241+X257*X241+Y257*Y241+Z257*Z241+AA257*AA241+AB257*AB241+AC257*AC241+AD257*AD241+AE257*AE241+AF257*AF241+AG257*AG241+AH257*AH241+AI257*AI241+AJ257*AJ241+AK257*AK241+AL257*AL241+AM257*AM241+AN257*AN241+AO257*AO241+AP257*AP241+AQ257*AQ241+AR257*AR241+AS257*AS241+AT257*AT241+AU257*AU241+AV257*AV241+AW257*AW241+AX257*AX241+AY257*AY241+AZ257*AZ241+BA257*BA241+BB257*BB241+BC257*BC241+BD257*BD241+BE257*BE241+BF257*BF241+BG257*BG241+BH257*BH241+BI257*BI241+BJ257*BJ241+BK257*BK241+BL257*BL241+BM257*BM241+BN257*BN241+BO257*BO241+BP257*BP241+BQ257*BQ241+BR257*BR241+BS257*BS241+BT257*BT241+BU257*BU241+BV257*BV241+BW257*BW241+BX257*BX241+BY257*BY241+BZ257*BZ241+CA257*CA241+CB257*CB241+CC257*CC241+CD257*CD241+CE257*CE241+CF257*CF241+CG257*CG241+CH257*CH241+CI257*CI241+CJ257*CJ241+CK257*CK241+CL257*CL241+CM257*CM241+CN257*CN241</f>
        <v>0</v>
      </c>
      <c r="DA241" s="2652">
        <f>E258*E241+F258*F241+G258*G241+H258*H241+I258*I241+J258*J241+K258*K241+L258*L241+M258*M241+N258*N241+O258*O241+P258*P241+Q258*Q241+R258*R241+S258*S241+T258*T241+U258*U241+V258*V241+W258*W241+X258*X241+Y258*Y241+Z258*Z241+AA258*AA241+AB258*AB241+AC258*AC241+AD258*AD241+AE258*AE241+AF258*AF241+AG258*AG241+AH258*AH241+AI258*AI241+AJ258*AJ241+AK258*AK241+AL258*AL241+AM258*AM241+AN258*AN241+AO258*AO241+AP258*AP241+AQ258*AQ241+AR258*AR241+AS258*AS241+AT258*AT241+AU258*AU241+AV258*AV241+AW258*AW241+AX258*AX241+AY258*AY241+AZ258*AZ241+BA258*BA241+BB258*BB241+BC258*BC241+BD258*BD241+BE258*BE241+BF258*BF241+BG258*BG241+BH258*BH241+BI258*BI241+BJ258*BJ241+BK258*BK241+BL258*BL241+BM258*BM241+BN258*BN241+BO258*BO241+BP258*BP241+BQ258*BQ241+BR258*BR241+BS258*BS241+BT258*BT241+BU258*BU241+BV258*BV241+BW258*BW241+BX258*BX241+BY258*BY241+BZ258*BZ241+CA258*CA241+CB258*CB241+CC258*CC241+CD258*CD241+CE258*CE241+CF258*CF241+CG258*CG241+CH258*CH241+CI258*CI241+CJ258*CJ241+CK258*CK241+CL258*CL241+CM258*CM241+CN258*CN241</f>
        <v>0</v>
      </c>
    </row>
    <row r="242" spans="2:105" ht="18" x14ac:dyDescent="0.25">
      <c r="B242" s="2189">
        <v>109</v>
      </c>
      <c r="C242" s="2190" t="s">
        <v>5109</v>
      </c>
      <c r="D242" s="835" t="s">
        <v>3492</v>
      </c>
      <c r="E242" s="2689">
        <f>0</f>
        <v>0</v>
      </c>
      <c r="F242" s="2689">
        <f>0</f>
        <v>0</v>
      </c>
      <c r="G242" s="2689">
        <f>0</f>
        <v>0</v>
      </c>
      <c r="H242" s="2689">
        <f>0</f>
        <v>0</v>
      </c>
      <c r="I242" s="2689">
        <f>0</f>
        <v>0</v>
      </c>
      <c r="J242" s="2689">
        <f>0</f>
        <v>0</v>
      </c>
      <c r="K242" s="2725">
        <f>0</f>
        <v>0</v>
      </c>
      <c r="L242" s="2689">
        <f>0</f>
        <v>0</v>
      </c>
      <c r="M242" s="2689">
        <f>0</f>
        <v>0</v>
      </c>
      <c r="N242" s="2689">
        <f>0</f>
        <v>0</v>
      </c>
      <c r="O242" s="2689">
        <f>0</f>
        <v>0</v>
      </c>
      <c r="P242" s="2689">
        <f>0</f>
        <v>0</v>
      </c>
      <c r="Q242" s="2689">
        <f>0</f>
        <v>0</v>
      </c>
      <c r="R242" s="2689">
        <f>0</f>
        <v>0</v>
      </c>
      <c r="S242" s="2689">
        <f>0</f>
        <v>0</v>
      </c>
      <c r="T242" s="2735">
        <f>0</f>
        <v>0</v>
      </c>
      <c r="U242" s="2735">
        <f>0</f>
        <v>0</v>
      </c>
      <c r="V242" s="2689">
        <f>0</f>
        <v>0</v>
      </c>
      <c r="W242" s="2689">
        <f>0</f>
        <v>0</v>
      </c>
      <c r="X242" s="2689">
        <f>0</f>
        <v>0</v>
      </c>
      <c r="Y242" s="2689">
        <f>0</f>
        <v>0</v>
      </c>
      <c r="Z242" s="2689">
        <f>0</f>
        <v>0</v>
      </c>
      <c r="AA242" s="2689">
        <f>0</f>
        <v>0</v>
      </c>
      <c r="AB242" s="2689">
        <f>0</f>
        <v>0</v>
      </c>
      <c r="AC242" s="2725">
        <f>0</f>
        <v>0</v>
      </c>
      <c r="AD242" s="2689">
        <f>0</f>
        <v>0</v>
      </c>
      <c r="AE242" s="2689">
        <f>0</f>
        <v>0</v>
      </c>
      <c r="AF242" s="2689">
        <f>0</f>
        <v>0</v>
      </c>
      <c r="AG242" s="2689">
        <f>0</f>
        <v>0</v>
      </c>
      <c r="AH242" s="2689">
        <f>0</f>
        <v>0</v>
      </c>
      <c r="AI242" s="2689">
        <f>0</f>
        <v>0</v>
      </c>
      <c r="AJ242" s="2725">
        <f>0</f>
        <v>0</v>
      </c>
      <c r="AK242" s="2689">
        <f>0</f>
        <v>0</v>
      </c>
      <c r="AL242" s="2689">
        <f>0</f>
        <v>0</v>
      </c>
      <c r="AM242" s="2689">
        <f>0</f>
        <v>0</v>
      </c>
      <c r="AN242" s="2689">
        <f>0</f>
        <v>0</v>
      </c>
      <c r="AO242" s="2689">
        <f>0</f>
        <v>0</v>
      </c>
      <c r="AP242" s="2725">
        <f>0</f>
        <v>0</v>
      </c>
      <c r="AQ242" s="2689">
        <f>0</f>
        <v>0</v>
      </c>
      <c r="AR242" s="2689">
        <f>1</f>
        <v>1</v>
      </c>
      <c r="AS242" s="2689">
        <f>0</f>
        <v>0</v>
      </c>
      <c r="AT242" s="2689">
        <f>0</f>
        <v>0</v>
      </c>
      <c r="AU242" s="2689">
        <f>0</f>
        <v>0</v>
      </c>
      <c r="AV242" s="2689">
        <f>0</f>
        <v>0</v>
      </c>
      <c r="AW242" s="2689">
        <f>0</f>
        <v>0</v>
      </c>
      <c r="AX242" s="2689">
        <f>0</f>
        <v>0</v>
      </c>
      <c r="AY242" s="2689">
        <f>0</f>
        <v>0</v>
      </c>
      <c r="AZ242" s="2689">
        <f>0</f>
        <v>0</v>
      </c>
      <c r="BA242" s="2689">
        <f>0</f>
        <v>0</v>
      </c>
      <c r="BB242" s="2735">
        <f>0</f>
        <v>0</v>
      </c>
      <c r="BC242" s="2735">
        <f>0</f>
        <v>0</v>
      </c>
      <c r="BD242" s="2735">
        <f>0</f>
        <v>0</v>
      </c>
      <c r="BE242" s="2735">
        <f>0</f>
        <v>0</v>
      </c>
      <c r="BF242" s="2735">
        <f>0</f>
        <v>0</v>
      </c>
      <c r="BG242" s="2735">
        <f>0</f>
        <v>0</v>
      </c>
      <c r="BH242" s="2735">
        <f>0</f>
        <v>0</v>
      </c>
      <c r="BI242" s="2735">
        <f>0</f>
        <v>0</v>
      </c>
      <c r="BJ242" s="2774">
        <f>0</f>
        <v>0</v>
      </c>
      <c r="BK242" s="2774">
        <f>0</f>
        <v>0</v>
      </c>
      <c r="BL242" s="2774">
        <f>0</f>
        <v>0</v>
      </c>
      <c r="BM242" s="2774">
        <f>0</f>
        <v>0</v>
      </c>
      <c r="BN242" s="2774">
        <f>0</f>
        <v>0</v>
      </c>
      <c r="BO242" s="2774">
        <f>0</f>
        <v>0</v>
      </c>
      <c r="BP242" s="2774">
        <f>0</f>
        <v>0</v>
      </c>
      <c r="BQ242" s="2735">
        <f>0</f>
        <v>0</v>
      </c>
      <c r="BR242" s="2735">
        <f>0</f>
        <v>0</v>
      </c>
      <c r="BS242" s="2774">
        <f>0</f>
        <v>0</v>
      </c>
      <c r="BT242" s="2735">
        <f>0</f>
        <v>0</v>
      </c>
      <c r="BU242" s="2735">
        <f>0</f>
        <v>0</v>
      </c>
      <c r="BV242" s="2789">
        <f>0</f>
        <v>0</v>
      </c>
      <c r="BW242" s="2789">
        <f>0</f>
        <v>0</v>
      </c>
      <c r="BX242" s="2789">
        <f>0</f>
        <v>0</v>
      </c>
      <c r="BY242" s="2789">
        <f>0</f>
        <v>0</v>
      </c>
      <c r="BZ242" s="2735">
        <f>0</f>
        <v>0</v>
      </c>
      <c r="CA242" s="2735">
        <f>0</f>
        <v>0</v>
      </c>
      <c r="CB242" s="2805">
        <f>0</f>
        <v>0</v>
      </c>
      <c r="CC242" s="2735">
        <f>0</f>
        <v>0</v>
      </c>
      <c r="CD242" s="2735">
        <f>0</f>
        <v>0</v>
      </c>
      <c r="CE242" s="2735">
        <f>0</f>
        <v>0</v>
      </c>
      <c r="CF242" s="2735">
        <f>0</f>
        <v>0</v>
      </c>
      <c r="CG242" s="2735">
        <f>0</f>
        <v>0</v>
      </c>
      <c r="CH242" s="2735">
        <f>0</f>
        <v>0</v>
      </c>
      <c r="CI242" s="2735">
        <f>0</f>
        <v>0</v>
      </c>
      <c r="CJ242" s="2735">
        <f>0</f>
        <v>0</v>
      </c>
      <c r="CK242" s="2735">
        <f>0</f>
        <v>0</v>
      </c>
      <c r="CL242" s="2735">
        <f>-Δ_atm</f>
        <v>-1</v>
      </c>
      <c r="CM242" s="2735">
        <f>0</f>
        <v>0</v>
      </c>
      <c r="CN242" s="2735">
        <f>0</f>
        <v>0</v>
      </c>
      <c r="CO242" s="2834">
        <f>k_LaGO2_sur*(S_GO2_sur_sat-S_O2)</f>
        <v>24</v>
      </c>
      <c r="CQ242" s="2650">
        <f>E248*E242+F248*F242+G248*G242+H248*H242+I248*I242+J248*J242+K248*K242+L248*L242+M248*M242+N248*N242+O248*O242+P248*P242+Q248*Q242+R248*R242+S248*S242+T248*T242+U248*U242+V248*V242+W248*W242+X248*X242+Y248*Y242+Z248*Z242+AA248*AA242+AB248*AB242+AC248*AC242+AD248*AD242+AE248*AE242+AF248*AF242+AG248*AG242+AH248*AH242+AI248*AI242+AJ248*AJ242+AK248*AK242+AL248*AL242+AM248*AM242+AN248*AN242+AO248*AO242+AP248*AP242+AQ248*AQ242+AR248*AR242+AS248*AS242+AT248*AT242+AU248*AU242+AV248*AV242+AW248*AW242+AX248*AX242+AY248*AY242+AZ248*AZ242+BA248*BA242+BB248*BB242+BC248*BC242+BD248*BD242+BE248*BE242+BF248*BF242+BG248*BG242+BH248*BH242+BI248*BI242+BJ248*BJ242+BK248*BK242+BL248*BL242+BM248*BM242+BN248*BN242+BO248*BO242+BP248*BP242+BQ248*BQ242+BR248*BR242+BS248*BS242+BT248*BT242+BU248*BU242+BV248*BV242+BW248*BW242+BX248*BX242+BY248*BY242+BZ248*BZ242+CA248*CA242+CB248*CB242+CC248*CC242+CD248*CD242+CE248*CE242+CF248*CF242+CG248*CG242+CH248*CH242+CI248*CI242+CJ248*CJ242+CK248*CK242+CL248*CL242+CM248*CM242+CN248*CN242</f>
        <v>0</v>
      </c>
      <c r="CR242" s="2650">
        <f>E249*E242+F249*F242+G249*G242+H249*H242+I249*I242+J249*J242+K249*K242+L249*L242+M249*M242+N249*N242+O249*O242+P249*P242+Q249*Q242+R249*R242+S249*S242+T249*T242+U249*U242+V249*V242+W249*W242+X249*X242+Y249*Y242+Z249*Z242+AA249*AA242+AB249*AB242+AC249*AC242+AD249*AD242+AE249*AE242+AF249*AF242+AG249*AG242+AH249*AH242+AI249*AI242+AJ249*AJ242+AK249*AK242+AL249*AL242+AM249*AM242+AN249*AN242+AO249*AO242+AP249*AP242+AQ249*AQ242+AR249*AR242+AS249*AS242+AT249*AT242+AU249*AU242+AV249*AV242+AW249*AW242+AX249*AX242+AY249*AY242+AZ249*AZ242+BA249*BA242+BB249*BB242+BC249*BC242+BD249*BD242+BE249*BE242+BF249*BF242+BG249*BG242+BH249*BH242+BI249*BI242+BJ249*BJ242+BK249*BK242+BL249*BL242+BM249*BM242+BN249*BN242+BO249*BO242+BP249*BP242+BQ249*BQ242+BR249*BR242+BS249*BS242+BT249*BT242+BU249*BU242+BV249*BV242+BW249*BW242+BX249*BX242+BY249*BY242+BZ249*BZ242+CA249*CA242+CB249*CB242+CC249*CC242+CD249*CD242+CE249*CE242+CF249*CF242+CG249*CG242+CH249*CH242+CI249*CI242+CJ249*CJ242+CK249*CK242+CL249*CL242+CM249*CM242+CN249*CN242</f>
        <v>0</v>
      </c>
      <c r="CS242" s="2651">
        <f>E250*E242+F250*F242+G250*G242+H250*H242+I250*I242+J250*J242+K250*K242+L250*L242+M250*M242+N250*N242+O250*O242+P250*P242+Q250*Q242+R250*R242+S250*S242+T250*T242+U250*U242+V250*V242+W250*W242+X250*X242+Y250*Y242+Z250*Z242+AA250*AA242+AB250*AB242+AC250*AC242+AD250*AD242+AE250*AE242+AF250*AF242+AG250*AG242+AH250*AH242+AI250*AI242+AJ250*AJ242+AK250*AK242+AL250*AL242+AM250*AM242+AN250*AN242+AO250*AO242+AP250*AP242+AQ250*AQ242+AR250*AR242+AS250*AS242+AT250*AT242+AU250*AU242+AV250*AV242+AW250*AW242+AX250*AX242+AY250*AY242+AZ250*AZ242+BA250*BA242+BB250*BB242+BC250*BC242+BD250*BD242+BE250*BE242+BF250*BF242+BG250*BG242+BH250*BH242+BI250*BI242+BJ250*BJ242+BK250*BK242+BL250*BL242+BM250*BM242+BN250*BN242+BO250*BO242+BP250*BP242+BQ250*BQ242+BR250*BR242+BS250*BS242+BT250*BT242+BU250*BU242+BV250*BV242+BW250*BW242+BX250*BX242+BY250*BY242+BZ250*BZ242+CA250*CA242+CB250*CB242+CC250*CC242+CD250*CD242+CE250*CE242+CF250*CF242+CG250*CG242+CH250*CH242+CI250*CI242+CJ250*CJ242+CK250*CK242+CL250*CL242+CM250*CM242+CN250*CN242</f>
        <v>0</v>
      </c>
      <c r="CT242" s="2652">
        <f>E251*E242+F251*F242+G251*G242+H251*H242+I251*I242+J251*J242+K251*K242+L251*L242+M251*M242+N251*N242+O251*O242+P251*P242+Q251*Q242+R251*R242+S251*S242+T251*T242+U251*U242+V251*V242+W251*W242+X251*X242+Y251*Y242+Z251*Z242+AA251*AA242+AB251*AB242+AC251*AC242+AD251*AD242+AE251*AE242+AF251*AF242+AG251*AG242+AH251*AH242+AI251*AI242+AJ251*AJ242+AK251*AK242+AL251*AL242+AM251*AM242+AN251*AN242+AO251*AO242+AP251*AP242+AQ251*AQ242+AR251*AR242+AS251*AS242+AT251*AT242+AU251*AU242+AV251*AV242+AW251*AW242+AX251*AX242+AY251*AY242+AZ251*AZ242+BA251*BA242+BB251*BB242+BC251*BC242+BD251*BD242+BE251*BE242+BF251*BF242+BG251*BG242+BH251*BH242+BI251*BI242+BJ251*BJ242+BK251*BK242+BL251*BL242+BM251*BM242+BN251*BN242+BO251*BO242+BP251*BP242+BQ251*BQ242+BR251*BR242+BS251*BS242+BT251*BT242+BU251*BU242+BV251*BV242+BW251*BW242+BX251*BX242+BY251*BY242+BZ251*BZ242+CA251*CA242+CB251*CB242+CC251*CC242+CD251*CD242+CE251*CE242+CF251*CF242+CG251*CG242+CH251*CH242+CI251*CI242+CJ251*CJ242+CK251*CK242+CL251*CL242+CM251*CM242+CN251*CN242</f>
        <v>0</v>
      </c>
      <c r="CU242" s="2652">
        <f>E252*E242+F252*F242+G252*G242+H252*H242+I252*I242+J252*J242+K252*K242+L252*L242+M252*M242+N252*N242+O252*O242+P252*P242+Q252*Q242+R252*R242+S252*S242+T252*T242+U252*U242+V252*V242+W252*W242+X252*X242+Y252*Y242+Z252*Z242+AA252*AA242+AB252*AB242+AC252*AC242+AD252*AD242+AE252*AE242+AF252*AF242+AG252*AG242+AH252*AH242+AI252*AI242+AJ252*AJ242+AK252*AK242+AL252*AL242+AM252*AM242+AN252*AN242+AO252*AO242+AP252*AP242+AQ252*AQ242+AR252*AR242+AS252*AS242+AT252*AT242+AU252*AU242+AV252*AV242+AW252*AW242+AX252*AX242+AY252*AY242+AZ252*AZ242+BA252*BA242+BB252*BB242+BC252*BC242+BD252*BD242+BE252*BE242+BF252*BF242+BG252*BG242+BH252*BH242+BI252*BI242+BJ252*BJ242+BK252*BK242+BL252*BL242+BM252*BM242+BN252*BN242+BO252*BO242+BP252*BP242+BQ252*BQ242+BR252*BR242+BS252*BS242+BT252*BT242+BU252*BU242+BV252*BV242+BW252*BW242+BX252*BX242+BY252*BY242+BZ252*BZ242+CA252*CA242+CB252*CB242+CC252*CC242+CD252*CD242+CE252*CE242+CF252*CF242+CG252*CG242+CH252*CH242+CI252*CI242+CJ252*CJ242+CK252*CK242+CL252*CL242+CM252*CM242+CN252*CN242</f>
        <v>0</v>
      </c>
      <c r="CV242" s="2652">
        <f>E253*E242+F253*F242+G253*G242+H253*H242+I253*I242+J253*J242+K253*K242+L253*L242+M253*M242+N253*N242+O253*O242+P253*P242+Q253*Q242+R253*R242+S253*S242+T253*T242+U253*U242+V253*V242+W253*W242+X253*X242+Y253*Y242+Z253*Z242+AA253*AA242+AB253*AB242+AC253*AC242+AD253*AD242+AE253*AE242+AF253*AF242+AG253*AG242+AH253*AH242+AI253*AI242+AJ253*AJ242+AK253*AK242+AL253*AL242+AM253*AM242+AN253*AN242+AO253*AO242+AP253*AP242+AQ253*AQ242+AR253*AR242+AS253*AS242+AT253*AT242+AU253*AU242+AV253*AV242+AW253*AW242+AX253*AX242+AY253*AY242+AZ253*AZ242+BA253*BA242+BB253*BB242+BC253*BC242+BD253*BD242+BE253*BE242+BF253*BF242+BG253*BG242+BH253*BH242+BI253*BI242+BJ253*BJ242+BK253*BK242+BL253*BL242+BM253*BM242+BN253*BN242+BO253*BO242+BP253*BP242+BQ253*BQ242+BR253*BR242+BS253*BS242+BT253*BT242+BU253*BU242+BV253*BV242+BW253*BW242+BX253*BX242+BY253*BY242+BZ253*BZ242+CA253*CA242+CB253*CB242+CC253*CC242+CD253*CD242+CE253*CE242+CF253*CF242+CG253*CG242+CH253*CH242+CI253*CI242+CJ253*CJ242+CK253*CK242+CL253*CL242+CM253*CM242+CN253*CN242</f>
        <v>0</v>
      </c>
      <c r="CW242" s="2652">
        <f>E254*E242+F254*F242+G254*G242+H254*H242+I254*I242+J254*J242+K254*K242+L254*L242+M254*M242+N254*N242+O254*O242+P254*P242+Q254*Q242+R254*R242+S254*S242+T254*T242+U254*U242+V254*V242+W254*W242+X254*X242+Y254*Y242+Z254*Z242+AA254*AA242+AB254*AB242+AC254*AC242+AD254*AD242+AE254*AE242+AF254*AF242+AG254*AG242+AH254*AH242+AI254*AI242+AJ254*AJ242+AK254*AK242+AL254*AL242+AM254*AM242+AN254*AN242+AO254*AO242+AP254*AP242+AQ254*AQ242+AR254*AR242+AS254*AS242+AT254*AT242+AU254*AU242+AV254*AV242+AW254*AW242+AX254*AX242+AY254*AY242+AZ254*AZ242+BA254*BA242+BB254*BB242+BC254*BC242+BD254*BD242+BE254*BE242+BF254*BF242+BG254*BG242+BH254*BH242+BI254*BI242+BJ254*BJ242+BK254*BK242+BL254*BL242+BM254*BM242+BN254*BN242+BO254*BO242+BP254*BP242+BQ254*BQ242+BR254*BR242+BS254*BS242+BT254*BT242+BU254*BU242+BV254*BV242+BW254*BW242+BX254*BX242+BY254*BY242+BZ254*BZ242+CA254*CA242+CB254*CB242+CC254*CC242+CD254*CD242+CE254*CE242+CF254*CF242+CG254*CG242+CH254*CH242+CI254*CI242+CJ254*CJ242+CK254*CK242+CL254*CL242+CM254*CM242+CN254*CN242</f>
        <v>0</v>
      </c>
      <c r="CX242" s="2652">
        <f>E255*E242+F255*F242+G255*G242+H255*H242+I255*I242+J255*J242+K255*K242+L255*L242+M255*M242+N255*N242+O255*O242+P255*P242+Q255*Q242+R255*R242+S255*S242+T255*T242+U255*U242+V255*V242+W255*W242+X255*X242+Y255*Y242+Z255*Z242+AA255*AA242+AB255*AB242+AC255*AC242+AD255*AD242+AE255*AE242+AF255*AF242+AG255*AG242+AH255*AH242+AI255*AI242+AJ255*AJ242+AK255*AK242+AL255*AL242+AM255*AM242+AN255*AN242+AO255*AO242+AP255*AP242+AQ255*AQ242+AR255*AR242+AS255*AS242+AT255*AT242+AU255*AU242+AV255*AV242+AW255*AW242+AX255*AX242+AY255*AY242+AZ255*AZ242+BA255*BA242+BB255*BB242+BC255*BC242+BD255*BD242+BE255*BE242+BF255*BF242+BG255*BG242+BH255*BH242+BI255*BI242+BJ255*BJ242+BK255*BK242+BL255*BL242+BM255*BM242+BN255*BN242+BO255*BO242+BP255*BP242+BQ255*BQ242+BR255*BR242+BS255*BS242+BT255*BT242+BU255*BU242+BV255*BV242+BW255*BW242+BX255*BX242+BY255*BY242+BZ255*BZ242+CA255*CA242+CB255*CB242+CC255*CC242+CD255*CD242+CE255*CE242+CF255*CF242+CG255*CG242+CH255*CH242+CI255*CI242+CJ255*CJ242+CK255*CK242+CL255*CL242+CM255*CM242+CN255*CN242</f>
        <v>0</v>
      </c>
      <c r="CY242" s="2652">
        <f>E256*E242+F256*F242+G256*G242+H256*H242+I256*I242+J256*J242+K256*K242+L256*L242+M256*M242+N256*N242+O256*O242+P256*P242+Q256*Q242+R256*R242+S256*S242+T256*T242+U256*U242+V256*V242+W256*W242+X256*X242+Y256*Y242+Z256*Z242+AA256*AA242+AB256*AB242+AC256*AC242+AD256*AD242+AE256*AE242+AF256*AF242+AG256*AG242+AH256*AH242+AI256*AI242+AJ256*AJ242+AK256*AK242+AL256*AL242+AM256*AM242+AN256*AN242+AO256*AO242+AP256*AP242+AQ256*AQ242+AR256*AR242+AS256*AS242+AT256*AT242+AU256*AU242+AV256*AV242+AW256*AW242+AX256*AX242+AY256*AY242+AZ256*AZ242+BA256*BA242+BB256*BB242+BC256*BC242+BD256*BD242+BE256*BE242+BF256*BF242+BG256*BG242+BH256*BH242+BI256*BI242+BJ256*BJ242+BK256*BK242+BL256*BL242+BM256*BM242+BN256*BN242+BO256*BO242+BP256*BP242+BQ256*BQ242+BR256*BR242+BS256*BS242+BT256*BT242+BU256*BU242+BV256*BV242+BW256*BW242+BX256*BX242+BY256*BY242+BZ256*BZ242+CA256*CA242+CB256*CB242+CC256*CC242+CD256*CD242+CE256*CE242+CF256*CF242+CG256*CG242+CH256*CH242+CI256*CI242+CJ256*CJ242+CK256*CK242+CL256*CL242+CM256*CM242+CN256*CN242</f>
        <v>0</v>
      </c>
      <c r="CZ242" s="2652">
        <f>E257*E242+F257*F242+G257*G242+H257*H242+I257*I242+J257*J242+K257*K242+L257*L242+M257*M242+N257*N242+O257*O242+P257*P242+Q257*Q242+R257*R242+S257*S242+T257*T242+U257*U242+V257*V242+W257*W242+X257*X242+Y257*Y242+Z257*Z242+AA257*AA242+AB257*AB242+AC257*AC242+AD257*AD242+AE257*AE242+AF257*AF242+AG257*AG242+AH257*AH242+AI257*AI242+AJ257*AJ242+AK257*AK242+AL257*AL242+AM257*AM242+AN257*AN242+AO257*AO242+AP257*AP242+AQ257*AQ242+AR257*AR242+AS257*AS242+AT257*AT242+AU257*AU242+AV257*AV242+AW257*AW242+AX257*AX242+AY257*AY242+AZ257*AZ242+BA257*BA242+BB257*BB242+BC257*BC242+BD257*BD242+BE257*BE242+BF257*BF242+BG257*BG242+BH257*BH242+BI257*BI242+BJ257*BJ242+BK257*BK242+BL257*BL242+BM257*BM242+BN257*BN242+BO257*BO242+BP257*BP242+BQ257*BQ242+BR257*BR242+BS257*BS242+BT257*BT242+BU257*BU242+BV257*BV242+BW257*BW242+BX257*BX242+BY257*BY242+BZ257*BZ242+CA257*CA242+CB257*CB242+CC257*CC242+CD257*CD242+CE257*CE242+CF257*CF242+CG257*CG242+CH257*CH242+CI257*CI242+CJ257*CJ242+CK257*CK242+CL257*CL242+CM257*CM242+CN257*CN242</f>
        <v>0</v>
      </c>
      <c r="DA242" s="2652">
        <f>E258*E242+F258*F242+G258*G242+H258*H242+I258*I242+J258*J242+K258*K242+L258*L242+M258*M242+N258*N242+O258*O242+P258*P242+Q258*Q242+R258*R242+S258*S242+T258*T242+U258*U242+V258*V242+W258*W242+X258*X242+Y258*Y242+Z258*Z242+AA258*AA242+AB258*AB242+AC258*AC242+AD258*AD242+AE258*AE242+AF258*AF242+AG258*AG242+AH258*AH242+AI258*AI242+AJ258*AJ242+AK258*AK242+AL258*AL242+AM258*AM242+AN258*AN242+AO258*AO242+AP258*AP242+AQ258*AQ242+AR258*AR242+AS258*AS242+AT258*AT242+AU258*AU242+AV258*AV242+AW258*AW242+AX258*AX242+AY258*AY242+AZ258*AZ242+BA258*BA242+BB258*BB242+BC258*BC242+BD258*BD242+BE258*BE242+BF258*BF242+BG258*BG242+BH258*BH242+BI258*BI242+BJ258*BJ242+BK258*BK242+BL258*BL242+BM258*BM242+BN258*BN242+BO258*BO242+BP258*BP242+BQ258*BQ242+BR258*BR242+BS258*BS242+BT258*BT242+BU258*BU242+BV258*BV242+BW258*BW242+BX258*BX242+BY258*BY242+BZ258*BZ242+CA258*CA242+CB258*CB242+CC258*CC242+CD258*CD242+CE258*CE242+CF258*CF242+CG258*CG242+CH258*CH242+CI258*CI242+CJ258*CJ242+CK258*CK242+CL258*CL242+CM258*CM242+CN258*CN242</f>
        <v>0</v>
      </c>
    </row>
    <row r="243" spans="2:105" ht="18" x14ac:dyDescent="0.25">
      <c r="B243" s="2189">
        <v>110</v>
      </c>
      <c r="C243" s="2190" t="s">
        <v>5110</v>
      </c>
      <c r="D243" s="835" t="s">
        <v>3493</v>
      </c>
      <c r="E243" s="2689">
        <f>0</f>
        <v>0</v>
      </c>
      <c r="F243" s="2689">
        <f>0</f>
        <v>0</v>
      </c>
      <c r="G243" s="2689">
        <f>0</f>
        <v>0</v>
      </c>
      <c r="H243" s="2689">
        <f>0</f>
        <v>0</v>
      </c>
      <c r="I243" s="2689">
        <f>0</f>
        <v>0</v>
      </c>
      <c r="J243" s="2689">
        <f>0</f>
        <v>0</v>
      </c>
      <c r="K243" s="2725">
        <f>0</f>
        <v>0</v>
      </c>
      <c r="L243" s="2689">
        <f>0</f>
        <v>0</v>
      </c>
      <c r="M243" s="2689">
        <f>0</f>
        <v>0</v>
      </c>
      <c r="N243" s="2689">
        <f>0</f>
        <v>0</v>
      </c>
      <c r="O243" s="2689">
        <f>0</f>
        <v>0</v>
      </c>
      <c r="P243" s="2689">
        <f>0</f>
        <v>0</v>
      </c>
      <c r="Q243" s="2689">
        <f>0</f>
        <v>0</v>
      </c>
      <c r="R243" s="2689">
        <f>0</f>
        <v>0</v>
      </c>
      <c r="S243" s="2689">
        <f>0</f>
        <v>0</v>
      </c>
      <c r="T243" s="2735">
        <f>0</f>
        <v>0</v>
      </c>
      <c r="U243" s="2735">
        <f>0</f>
        <v>0</v>
      </c>
      <c r="V243" s="2689">
        <f>0</f>
        <v>0</v>
      </c>
      <c r="W243" s="2689">
        <f>0</f>
        <v>0</v>
      </c>
      <c r="X243" s="2689">
        <f>0</f>
        <v>0</v>
      </c>
      <c r="Y243" s="2689">
        <f>0</f>
        <v>0</v>
      </c>
      <c r="Z243" s="2689">
        <f>0</f>
        <v>0</v>
      </c>
      <c r="AA243" s="2689">
        <f>0</f>
        <v>0</v>
      </c>
      <c r="AB243" s="2689">
        <f>0</f>
        <v>0</v>
      </c>
      <c r="AC243" s="2725">
        <f>0</f>
        <v>0</v>
      </c>
      <c r="AD243" s="2689">
        <f>1</f>
        <v>1</v>
      </c>
      <c r="AE243" s="2689">
        <f>0</f>
        <v>0</v>
      </c>
      <c r="AF243" s="2689">
        <f>0</f>
        <v>0</v>
      </c>
      <c r="AG243" s="2689">
        <f>0</f>
        <v>0</v>
      </c>
      <c r="AH243" s="2689">
        <f>0</f>
        <v>0</v>
      </c>
      <c r="AI243" s="2689">
        <f>0</f>
        <v>0</v>
      </c>
      <c r="AJ243" s="2725">
        <f>0</f>
        <v>0</v>
      </c>
      <c r="AK243" s="2689">
        <f>0</f>
        <v>0</v>
      </c>
      <c r="AL243" s="2689">
        <f>0</f>
        <v>0</v>
      </c>
      <c r="AM243" s="2689">
        <f>0</f>
        <v>0</v>
      </c>
      <c r="AN243" s="2689">
        <f>0</f>
        <v>0</v>
      </c>
      <c r="AO243" s="2689">
        <f>0</f>
        <v>0</v>
      </c>
      <c r="AP243" s="2725">
        <f>0</f>
        <v>0</v>
      </c>
      <c r="AQ243" s="2689">
        <f>0</f>
        <v>0</v>
      </c>
      <c r="AR243" s="2689">
        <f>0</f>
        <v>0</v>
      </c>
      <c r="AS243" s="2689">
        <f>0</f>
        <v>0</v>
      </c>
      <c r="AT243" s="2689">
        <f>0</f>
        <v>0</v>
      </c>
      <c r="AU243" s="2689">
        <f>0</f>
        <v>0</v>
      </c>
      <c r="AV243" s="2689">
        <f>0</f>
        <v>0</v>
      </c>
      <c r="AW243" s="2689">
        <f>0</f>
        <v>0</v>
      </c>
      <c r="AX243" s="2689">
        <f>0</f>
        <v>0</v>
      </c>
      <c r="AY243" s="2689">
        <f>0</f>
        <v>0</v>
      </c>
      <c r="AZ243" s="2689">
        <f>0</f>
        <v>0</v>
      </c>
      <c r="BA243" s="2689">
        <f>0</f>
        <v>0</v>
      </c>
      <c r="BB243" s="2735">
        <f>0</f>
        <v>0</v>
      </c>
      <c r="BC243" s="2735">
        <f>0</f>
        <v>0</v>
      </c>
      <c r="BD243" s="2735">
        <f>0</f>
        <v>0</v>
      </c>
      <c r="BE243" s="2735">
        <f>0</f>
        <v>0</v>
      </c>
      <c r="BF243" s="2735">
        <f>0</f>
        <v>0</v>
      </c>
      <c r="BG243" s="2735">
        <f>0</f>
        <v>0</v>
      </c>
      <c r="BH243" s="2735">
        <f>0</f>
        <v>0</v>
      </c>
      <c r="BI243" s="2735">
        <f>0</f>
        <v>0</v>
      </c>
      <c r="BJ243" s="2774">
        <f>0</f>
        <v>0</v>
      </c>
      <c r="BK243" s="2774">
        <f>0</f>
        <v>0</v>
      </c>
      <c r="BL243" s="2774">
        <f>0</f>
        <v>0</v>
      </c>
      <c r="BM243" s="2774">
        <f>0</f>
        <v>0</v>
      </c>
      <c r="BN243" s="2774">
        <f>0</f>
        <v>0</v>
      </c>
      <c r="BO243" s="2774">
        <f>0</f>
        <v>0</v>
      </c>
      <c r="BP243" s="2774">
        <f>0</f>
        <v>0</v>
      </c>
      <c r="BQ243" s="2735">
        <f>0</f>
        <v>0</v>
      </c>
      <c r="BR243" s="2735">
        <f>0</f>
        <v>0</v>
      </c>
      <c r="BS243" s="2774">
        <f>0</f>
        <v>0</v>
      </c>
      <c r="BT243" s="2735">
        <f>0</f>
        <v>0</v>
      </c>
      <c r="BU243" s="2735">
        <f>0</f>
        <v>0</v>
      </c>
      <c r="BV243" s="2789">
        <f>0</f>
        <v>0</v>
      </c>
      <c r="BW243" s="2789">
        <f>0</f>
        <v>0</v>
      </c>
      <c r="BX243" s="2789">
        <f>0</f>
        <v>0</v>
      </c>
      <c r="BY243" s="2789">
        <f>0</f>
        <v>0</v>
      </c>
      <c r="BZ243" s="2735">
        <f>0</f>
        <v>0</v>
      </c>
      <c r="CA243" s="2735">
        <f>0</f>
        <v>0</v>
      </c>
      <c r="CB243" s="2805">
        <f>0</f>
        <v>0</v>
      </c>
      <c r="CC243" s="2735">
        <f>0</f>
        <v>0</v>
      </c>
      <c r="CD243" s="2735">
        <f>0</f>
        <v>0</v>
      </c>
      <c r="CE243" s="2735">
        <f>0</f>
        <v>0</v>
      </c>
      <c r="CF243" s="2735">
        <f>0</f>
        <v>0</v>
      </c>
      <c r="CG243" s="2735">
        <f>0</f>
        <v>0</v>
      </c>
      <c r="CH243" s="2735">
        <f>0</f>
        <v>0</v>
      </c>
      <c r="CI243" s="2735">
        <f>0</f>
        <v>0</v>
      </c>
      <c r="CJ243" s="2735">
        <f>0</f>
        <v>0</v>
      </c>
      <c r="CK243" s="2735">
        <f>0</f>
        <v>0</v>
      </c>
      <c r="CL243" s="2735">
        <f>0</f>
        <v>0</v>
      </c>
      <c r="CM243" s="2735">
        <f>-Δ_atm</f>
        <v>-1</v>
      </c>
      <c r="CN243" s="2735">
        <f>0</f>
        <v>0</v>
      </c>
      <c r="CO243" s="2834">
        <f>k_transfer_GNH3_sur</f>
        <v>0</v>
      </c>
      <c r="CQ243" s="2650">
        <f>E248*E243+F248*F243+G248*G243+H248*H243+I248*I243+J248*J243+K248*K243+L248*L243+M248*M243+N248*N243+O248*O243+P248*P243+Q248*Q243+R248*R243+S248*S243+T248*T243+U248*U243+V248*V243+W248*W243+X248*X243+Y248*Y243+Z248*Z243+AA248*AA243+AB248*AB243+AC248*AC243+AD248*AD243+AE248*AE243+AF248*AF243+AG248*AG243+AH248*AH243+AI248*AI243+AJ248*AJ243+AK248*AK243+AL248*AL243+AM248*AM243+AN248*AN243+AO248*AO243+AP248*AP243+AQ248*AQ243+AR248*AR243+AS248*AS243+AT248*AT243+AU248*AU243+AV248*AV243+AW248*AW243+AX248*AX243+AY248*AY243+AZ248*AZ243+BA248*BA243+BB248*BB243+BC248*BC243+BD248*BD243+BE248*BE243+BF248*BF243+BG248*BG243+BH248*BH243+BI248*BI243+BJ248*BJ243+BK248*BK243+BL248*BL243+BM248*BM243+BN248*BN243+BO248*BO243+BP248*BP243+BQ248*BQ243+BR248*BR243+BS248*BS243+BT248*BT243+BU248*BU243+BV248*BV243+BW248*BW243+BX248*BX243+BY248*BY243+BZ248*BZ243+CA248*CA243+CB248*CB243+CC248*CC243+CD248*CD243+CE248*CE243+CF248*CF243+CG248*CG243+CH248*CH243+CI248*CI243+CJ248*CJ243+CK248*CK243+CL248*CL243+CM248*CM243+CN248*CN243</f>
        <v>0</v>
      </c>
      <c r="CR243" s="2650">
        <f>E249*E243+F249*F243+G249*G243+H249*H243+I249*I243+J249*J243+K249*K243+L249*L243+M249*M243+N249*N243+O249*O243+P249*P243+Q249*Q243+R249*R243+S249*S243+T249*T243+U249*U243+V249*V243+W249*W243+X249*X243+Y249*Y243+Z249*Z243+AA249*AA243+AB249*AB243+AC249*AC243+AD249*AD243+AE249*AE243+AF249*AF243+AG249*AG243+AH249*AH243+AI249*AI243+AJ249*AJ243+AK249*AK243+AL249*AL243+AM249*AM243+AN249*AN243+AO249*AO243+AP249*AP243+AQ249*AQ243+AR249*AR243+AS249*AS243+AT249*AT243+AU249*AU243+AV249*AV243+AW249*AW243+AX249*AX243+AY249*AY243+AZ249*AZ243+BA249*BA243+BB249*BB243+BC249*BC243+BD249*BD243+BE249*BE243+BF249*BF243+BG249*BG243+BH249*BH243+BI249*BI243+BJ249*BJ243+BK249*BK243+BL249*BL243+BM249*BM243+BN249*BN243+BO249*BO243+BP249*BP243+BQ249*BQ243+BR249*BR243+BS249*BS243+BT249*BT243+BU249*BU243+BV249*BV243+BW249*BW243+BX249*BX243+BY249*BY243+BZ249*BZ243+CA249*CA243+CB249*CB243+CC249*CC243+CD249*CD243+CE249*CE243+CF249*CF243+CG249*CG243+CH249*CH243+CI249*CI243+CJ249*CJ243+CK249*CK243+CL249*CL243+CM249*CM243+CN249*CN243</f>
        <v>0</v>
      </c>
      <c r="CS243" s="2651">
        <f>E250*E243+F250*F243+G250*G243+H250*H243+I250*I243+J250*J243+K250*K243+L250*L243+M250*M243+N250*N243+O250*O243+P250*P243+Q250*Q243+R250*R243+S250*S243+T250*T243+U250*U243+V250*V243+W250*W243+X250*X243+Y250*Y243+Z250*Z243+AA250*AA243+AB250*AB243+AC250*AC243+AD250*AD243+AE250*AE243+AF250*AF243+AG250*AG243+AH250*AH243+AI250*AI243+AJ250*AJ243+AK250*AK243+AL250*AL243+AM250*AM243+AN250*AN243+AO250*AO243+AP250*AP243+AQ250*AQ243+AR250*AR243+AS250*AS243+AT250*AT243+AU250*AU243+AV250*AV243+AW250*AW243+AX250*AX243+AY250*AY243+AZ250*AZ243+BA250*BA243+BB250*BB243+BC250*BC243+BD250*BD243+BE250*BE243+BF250*BF243+BG250*BG243+BH250*BH243+BI250*BI243+BJ250*BJ243+BK250*BK243+BL250*BL243+BM250*BM243+BN250*BN243+BO250*BO243+BP250*BP243+BQ250*BQ243+BR250*BR243+BS250*BS243+BT250*BT243+BU250*BU243+BV250*BV243+BW250*BW243+BX250*BX243+BY250*BY243+BZ250*BZ243+CA250*CA243+CB250*CB243+CC250*CC243+CD250*CD243+CE250*CE243+CF250*CF243+CG250*CG243+CH250*CH243+CI250*CI243+CJ250*CJ243+CK250*CK243+CL250*CL243+CM250*CM243+CN250*CN243</f>
        <v>0</v>
      </c>
      <c r="CT243" s="2652">
        <f>E251*E243+F251*F243+G251*G243+H251*H243+I251*I243+J251*J243+K251*K243+L251*L243+M251*M243+N251*N243+O251*O243+P251*P243+Q251*Q243+R251*R243+S251*S243+T251*T243+U251*U243+V251*V243+W251*W243+X251*X243+Y251*Y243+Z251*Z243+AA251*AA243+AB251*AB243+AC251*AC243+AD251*AD243+AE251*AE243+AF251*AF243+AG251*AG243+AH251*AH243+AI251*AI243+AJ251*AJ243+AK251*AK243+AL251*AL243+AM251*AM243+AN251*AN243+AO251*AO243+AP251*AP243+AQ251*AQ243+AR251*AR243+AS251*AS243+AT251*AT243+AU251*AU243+AV251*AV243+AW251*AW243+AX251*AX243+AY251*AY243+AZ251*AZ243+BA251*BA243+BB251*BB243+BC251*BC243+BD251*BD243+BE251*BE243+BF251*BF243+BG251*BG243+BH251*BH243+BI251*BI243+BJ251*BJ243+BK251*BK243+BL251*BL243+BM251*BM243+BN251*BN243+BO251*BO243+BP251*BP243+BQ251*BQ243+BR251*BR243+BS251*BS243+BT251*BT243+BU251*BU243+BV251*BV243+BW251*BW243+BX251*BX243+BY251*BY243+BZ251*BZ243+CA251*CA243+CB251*CB243+CC251*CC243+CD251*CD243+CE251*CE243+CF251*CF243+CG251*CG243+CH251*CH243+CI251*CI243+CJ251*CJ243+CK251*CK243+CL251*CL243+CM251*CM243+CN251*CN243</f>
        <v>0</v>
      </c>
      <c r="CU243" s="2652">
        <f>E252*E243+F252*F243+G252*G243+H252*H243+I252*I243+J252*J243+K252*K243+L252*L243+M252*M243+N252*N243+O252*O243+P252*P243+Q252*Q243+R252*R243+S252*S243+T252*T243+U252*U243+V252*V243+W252*W243+X252*X243+Y252*Y243+Z252*Z243+AA252*AA243+AB252*AB243+AC252*AC243+AD252*AD243+AE252*AE243+AF252*AF243+AG252*AG243+AH252*AH243+AI252*AI243+AJ252*AJ243+AK252*AK243+AL252*AL243+AM252*AM243+AN252*AN243+AO252*AO243+AP252*AP243+AQ252*AQ243+AR252*AR243+AS252*AS243+AT252*AT243+AU252*AU243+AV252*AV243+AW252*AW243+AX252*AX243+AY252*AY243+AZ252*AZ243+BA252*BA243+BB252*BB243+BC252*BC243+BD252*BD243+BE252*BE243+BF252*BF243+BG252*BG243+BH252*BH243+BI252*BI243+BJ252*BJ243+BK252*BK243+BL252*BL243+BM252*BM243+BN252*BN243+BO252*BO243+BP252*BP243+BQ252*BQ243+BR252*BR243+BS252*BS243+BT252*BT243+BU252*BU243+BV252*BV243+BW252*BW243+BX252*BX243+BY252*BY243+BZ252*BZ243+CA252*CA243+CB252*CB243+CC252*CC243+CD252*CD243+CE252*CE243+CF252*CF243+CG252*CG243+CH252*CH243+CI252*CI243+CJ252*CJ243+CK252*CK243+CL252*CL243+CM252*CM243+CN252*CN243</f>
        <v>0</v>
      </c>
      <c r="CV243" s="2652">
        <f>E253*E243+F253*F243+G253*G243+H253*H243+I253*I243+J253*J243+K253*K243+L253*L243+M253*M243+N253*N243+O253*O243+P253*P243+Q253*Q243+R253*R243+S253*S243+T253*T243+U253*U243+V253*V243+W253*W243+X253*X243+Y253*Y243+Z253*Z243+AA253*AA243+AB253*AB243+AC253*AC243+AD253*AD243+AE253*AE243+AF253*AF243+AG253*AG243+AH253*AH243+AI253*AI243+AJ253*AJ243+AK253*AK243+AL253*AL243+AM253*AM243+AN253*AN243+AO253*AO243+AP253*AP243+AQ253*AQ243+AR253*AR243+AS253*AS243+AT253*AT243+AU253*AU243+AV253*AV243+AW253*AW243+AX253*AX243+AY253*AY243+AZ253*AZ243+BA253*BA243+BB253*BB243+BC253*BC243+BD253*BD243+BE253*BE243+BF253*BF243+BG253*BG243+BH253*BH243+BI253*BI243+BJ253*BJ243+BK253*BK243+BL253*BL243+BM253*BM243+BN253*BN243+BO253*BO243+BP253*BP243+BQ253*BQ243+BR253*BR243+BS253*BS243+BT253*BT243+BU253*BU243+BV253*BV243+BW253*BW243+BX253*BX243+BY253*BY243+BZ253*BZ243+CA253*CA243+CB253*CB243+CC253*CC243+CD253*CD243+CE253*CE243+CF253*CF243+CG253*CG243+CH253*CH243+CI253*CI243+CJ253*CJ243+CK253*CK243+CL253*CL243+CM253*CM243+CN253*CN243</f>
        <v>0</v>
      </c>
      <c r="CW243" s="2652">
        <f>E254*E243+F254*F243+G254*G243+H254*H243+I254*I243+J254*J243+K254*K243+L254*L243+M254*M243+N254*N243+O254*O243+P254*P243+Q254*Q243+R254*R243+S254*S243+T254*T243+U254*U243+V254*V243+W254*W243+X254*X243+Y254*Y243+Z254*Z243+AA254*AA243+AB254*AB243+AC254*AC243+AD254*AD243+AE254*AE243+AF254*AF243+AG254*AG243+AH254*AH243+AI254*AI243+AJ254*AJ243+AK254*AK243+AL254*AL243+AM254*AM243+AN254*AN243+AO254*AO243+AP254*AP243+AQ254*AQ243+AR254*AR243+AS254*AS243+AT254*AT243+AU254*AU243+AV254*AV243+AW254*AW243+AX254*AX243+AY254*AY243+AZ254*AZ243+BA254*BA243+BB254*BB243+BC254*BC243+BD254*BD243+BE254*BE243+BF254*BF243+BG254*BG243+BH254*BH243+BI254*BI243+BJ254*BJ243+BK254*BK243+BL254*BL243+BM254*BM243+BN254*BN243+BO254*BO243+BP254*BP243+BQ254*BQ243+BR254*BR243+BS254*BS243+BT254*BT243+BU254*BU243+BV254*BV243+BW254*BW243+BX254*BX243+BY254*BY243+BZ254*BZ243+CA254*CA243+CB254*CB243+CC254*CC243+CD254*CD243+CE254*CE243+CF254*CF243+CG254*CG243+CH254*CH243+CI254*CI243+CJ254*CJ243+CK254*CK243+CL254*CL243+CM254*CM243+CN254*CN243</f>
        <v>0</v>
      </c>
      <c r="CX243" s="2652">
        <f>E255*E243+F255*F243+G255*G243+H255*H243+I255*I243+J255*J243+K255*K243+L255*L243+M255*M243+N255*N243+O255*O243+P255*P243+Q255*Q243+R255*R243+S255*S243+T255*T243+U255*U243+V255*V243+W255*W243+X255*X243+Y255*Y243+Z255*Z243+AA255*AA243+AB255*AB243+AC255*AC243+AD255*AD243+AE255*AE243+AF255*AF243+AG255*AG243+AH255*AH243+AI255*AI243+AJ255*AJ243+AK255*AK243+AL255*AL243+AM255*AM243+AN255*AN243+AO255*AO243+AP255*AP243+AQ255*AQ243+AR255*AR243+AS255*AS243+AT255*AT243+AU255*AU243+AV255*AV243+AW255*AW243+AX255*AX243+AY255*AY243+AZ255*AZ243+BA255*BA243+BB255*BB243+BC255*BC243+BD255*BD243+BE255*BE243+BF255*BF243+BG255*BG243+BH255*BH243+BI255*BI243+BJ255*BJ243+BK255*BK243+BL255*BL243+BM255*BM243+BN255*BN243+BO255*BO243+BP255*BP243+BQ255*BQ243+BR255*BR243+BS255*BS243+BT255*BT243+BU255*BU243+BV255*BV243+BW255*BW243+BX255*BX243+BY255*BY243+BZ255*BZ243+CA255*CA243+CB255*CB243+CC255*CC243+CD255*CD243+CE255*CE243+CF255*CF243+CG255*CG243+CH255*CH243+CI255*CI243+CJ255*CJ243+CK255*CK243+CL255*CL243+CM255*CM243+CN255*CN243</f>
        <v>0</v>
      </c>
      <c r="CY243" s="2652">
        <f>E256*E243+F256*F243+G256*G243+H256*H243+I256*I243+J256*J243+K256*K243+L256*L243+M256*M243+N256*N243+O256*O243+P256*P243+Q256*Q243+R256*R243+S256*S243+T256*T243+U256*U243+V256*V243+W256*W243+X256*X243+Y256*Y243+Z256*Z243+AA256*AA243+AB256*AB243+AC256*AC243+AD256*AD243+AE256*AE243+AF256*AF243+AG256*AG243+AH256*AH243+AI256*AI243+AJ256*AJ243+AK256*AK243+AL256*AL243+AM256*AM243+AN256*AN243+AO256*AO243+AP256*AP243+AQ256*AQ243+AR256*AR243+AS256*AS243+AT256*AT243+AU256*AU243+AV256*AV243+AW256*AW243+AX256*AX243+AY256*AY243+AZ256*AZ243+BA256*BA243+BB256*BB243+BC256*BC243+BD256*BD243+BE256*BE243+BF256*BF243+BG256*BG243+BH256*BH243+BI256*BI243+BJ256*BJ243+BK256*BK243+BL256*BL243+BM256*BM243+BN256*BN243+BO256*BO243+BP256*BP243+BQ256*BQ243+BR256*BR243+BS256*BS243+BT256*BT243+BU256*BU243+BV256*BV243+BW256*BW243+BX256*BX243+BY256*BY243+BZ256*BZ243+CA256*CA243+CB256*CB243+CC256*CC243+CD256*CD243+CE256*CE243+CF256*CF243+CG256*CG243+CH256*CH243+CI256*CI243+CJ256*CJ243+CK256*CK243+CL256*CL243+CM256*CM243+CN256*CN243</f>
        <v>0</v>
      </c>
      <c r="CZ243" s="2652">
        <f>E257*E243+F257*F243+G257*G243+H257*H243+I257*I243+J257*J243+K257*K243+L257*L243+M257*M243+N257*N243+O257*O243+P257*P243+Q257*Q243+R257*R243+S257*S243+T257*T243+U257*U243+V257*V243+W257*W243+X257*X243+Y257*Y243+Z257*Z243+AA257*AA243+AB257*AB243+AC257*AC243+AD257*AD243+AE257*AE243+AF257*AF243+AG257*AG243+AH257*AH243+AI257*AI243+AJ257*AJ243+AK257*AK243+AL257*AL243+AM257*AM243+AN257*AN243+AO257*AO243+AP257*AP243+AQ257*AQ243+AR257*AR243+AS257*AS243+AT257*AT243+AU257*AU243+AV257*AV243+AW257*AW243+AX257*AX243+AY257*AY243+AZ257*AZ243+BA257*BA243+BB257*BB243+BC257*BC243+BD257*BD243+BE257*BE243+BF257*BF243+BG257*BG243+BH257*BH243+BI257*BI243+BJ257*BJ243+BK257*BK243+BL257*BL243+BM257*BM243+BN257*BN243+BO257*BO243+BP257*BP243+BQ257*BQ243+BR257*BR243+BS257*BS243+BT257*BT243+BU257*BU243+BV257*BV243+BW257*BW243+BX257*BX243+BY257*BY243+BZ257*BZ243+CA257*CA243+CB257*CB243+CC257*CC243+CD257*CD243+CE257*CE243+CF257*CF243+CG257*CG243+CH257*CH243+CI257*CI243+CJ257*CJ243+CK257*CK243+CL257*CL243+CM257*CM243+CN257*CN243</f>
        <v>0</v>
      </c>
      <c r="DA243" s="2652">
        <f>E258*E243+F258*F243+G258*G243+H258*H243+I258*I243+J258*J243+K258*K243+L258*L243+M258*M243+N258*N243+O258*O243+P258*P243+Q258*Q243+R258*R243+S258*S243+T258*T243+U258*U243+V258*V243+W258*W243+X258*X243+Y258*Y243+Z258*Z243+AA258*AA243+AB258*AB243+AC258*AC243+AD258*AD243+AE258*AE243+AF258*AF243+AG258*AG243+AH258*AH243+AI258*AI243+AJ258*AJ243+AK258*AK243+AL258*AL243+AM258*AM243+AN258*AN243+AO258*AO243+AP258*AP243+AQ258*AQ243+AR258*AR243+AS258*AS243+AT258*AT243+AU258*AU243+AV258*AV243+AW258*AW243+AX258*AX243+AY258*AY243+AZ258*AZ243+BA258*BA243+BB258*BB243+BC258*BC243+BD258*BD243+BE258*BE243+BF258*BF243+BG258*BG243+BH258*BH243+BI258*BI243+BJ258*BJ243+BK258*BK243+BL258*BL243+BM258*BM243+BN258*BN243+BO258*BO243+BP258*BP243+BQ258*BQ243+BR258*BR243+BS258*BS243+BT258*BT243+BU258*BU243+BV258*BV243+BW258*BW243+BX258*BX243+BY258*BY243+BZ258*BZ243+CA258*CA243+CB258*CB243+CC258*CC243+CD258*CD243+CE258*CE243+CF258*CF243+CG258*CG243+CH258*CH243+CI258*CI243+CJ258*CJ243+CK258*CK243+CL258*CL243+CM258*CM243+CN258*CN243</f>
        <v>0</v>
      </c>
    </row>
    <row r="244" spans="2:105" ht="18.75" thickBot="1" x14ac:dyDescent="0.3">
      <c r="B244" s="2191">
        <v>111</v>
      </c>
      <c r="C244" s="2192" t="s">
        <v>5378</v>
      </c>
      <c r="D244" s="971" t="s">
        <v>3494</v>
      </c>
      <c r="E244" s="2704">
        <f>0</f>
        <v>0</v>
      </c>
      <c r="F244" s="2704">
        <f>0</f>
        <v>0</v>
      </c>
      <c r="G244" s="2704">
        <f>0</f>
        <v>0</v>
      </c>
      <c r="H244" s="2704">
        <f>0</f>
        <v>0</v>
      </c>
      <c r="I244" s="2704">
        <f>0</f>
        <v>0</v>
      </c>
      <c r="J244" s="2704">
        <f>0</f>
        <v>0</v>
      </c>
      <c r="K244" s="2726">
        <f>0</f>
        <v>0</v>
      </c>
      <c r="L244" s="2704">
        <f>0</f>
        <v>0</v>
      </c>
      <c r="M244" s="2704">
        <f>0</f>
        <v>0</v>
      </c>
      <c r="N244" s="2704">
        <f>0</f>
        <v>0</v>
      </c>
      <c r="O244" s="2704">
        <f>0</f>
        <v>0</v>
      </c>
      <c r="P244" s="2704">
        <f>0</f>
        <v>0</v>
      </c>
      <c r="Q244" s="2704">
        <f>0</f>
        <v>0</v>
      </c>
      <c r="R244" s="2704">
        <f>0</f>
        <v>0</v>
      </c>
      <c r="S244" s="2704">
        <f>0</f>
        <v>0</v>
      </c>
      <c r="T244" s="2736">
        <f>0</f>
        <v>0</v>
      </c>
      <c r="U244" s="2736">
        <f>0</f>
        <v>0</v>
      </c>
      <c r="V244" s="2704">
        <f>0</f>
        <v>0</v>
      </c>
      <c r="W244" s="2704">
        <f>0</f>
        <v>0</v>
      </c>
      <c r="X244" s="2704">
        <f>0</f>
        <v>0</v>
      </c>
      <c r="Y244" s="2704">
        <f>0</f>
        <v>0</v>
      </c>
      <c r="Z244" s="2704">
        <f>0</f>
        <v>0</v>
      </c>
      <c r="AA244" s="2704">
        <f>0</f>
        <v>0</v>
      </c>
      <c r="AB244" s="2704">
        <f>0</f>
        <v>0</v>
      </c>
      <c r="AC244" s="2726">
        <f>0</f>
        <v>0</v>
      </c>
      <c r="AD244" s="2704">
        <f>0</f>
        <v>0</v>
      </c>
      <c r="AE244" s="2704">
        <f>0</f>
        <v>0</v>
      </c>
      <c r="AF244" s="2704">
        <f>0</f>
        <v>0</v>
      </c>
      <c r="AG244" s="2704">
        <f>1</f>
        <v>1</v>
      </c>
      <c r="AH244" s="2704">
        <f>0</f>
        <v>0</v>
      </c>
      <c r="AI244" s="2704">
        <f>0</f>
        <v>0</v>
      </c>
      <c r="AJ244" s="2726">
        <f>0</f>
        <v>0</v>
      </c>
      <c r="AK244" s="2704">
        <f>0</f>
        <v>0</v>
      </c>
      <c r="AL244" s="2704">
        <f>0</f>
        <v>0</v>
      </c>
      <c r="AM244" s="2704">
        <f>0</f>
        <v>0</v>
      </c>
      <c r="AN244" s="2704">
        <f>0</f>
        <v>0</v>
      </c>
      <c r="AO244" s="2704">
        <f>0</f>
        <v>0</v>
      </c>
      <c r="AP244" s="2726">
        <f>0</f>
        <v>0</v>
      </c>
      <c r="AQ244" s="2704">
        <f>0</f>
        <v>0</v>
      </c>
      <c r="AR244" s="2704">
        <f>0</f>
        <v>0</v>
      </c>
      <c r="AS244" s="2704">
        <f>0</f>
        <v>0</v>
      </c>
      <c r="AT244" s="2704">
        <f>0</f>
        <v>0</v>
      </c>
      <c r="AU244" s="2704">
        <f>0</f>
        <v>0</v>
      </c>
      <c r="AV244" s="2704">
        <f>0</f>
        <v>0</v>
      </c>
      <c r="AW244" s="2704">
        <f>0</f>
        <v>0</v>
      </c>
      <c r="AX244" s="2704">
        <f>0</f>
        <v>0</v>
      </c>
      <c r="AY244" s="2704">
        <f>0</f>
        <v>0</v>
      </c>
      <c r="AZ244" s="2704">
        <f>0</f>
        <v>0</v>
      </c>
      <c r="BA244" s="2704">
        <f>0</f>
        <v>0</v>
      </c>
      <c r="BB244" s="2736">
        <f>0</f>
        <v>0</v>
      </c>
      <c r="BC244" s="2736">
        <f>0</f>
        <v>0</v>
      </c>
      <c r="BD244" s="2736">
        <f>0</f>
        <v>0</v>
      </c>
      <c r="BE244" s="2736">
        <f>0</f>
        <v>0</v>
      </c>
      <c r="BF244" s="2736">
        <f>0</f>
        <v>0</v>
      </c>
      <c r="BG244" s="2736">
        <f>0</f>
        <v>0</v>
      </c>
      <c r="BH244" s="2736">
        <f>0</f>
        <v>0</v>
      </c>
      <c r="BI244" s="2736">
        <f>0</f>
        <v>0</v>
      </c>
      <c r="BJ244" s="2784">
        <f>0</f>
        <v>0</v>
      </c>
      <c r="BK244" s="2784">
        <f>0</f>
        <v>0</v>
      </c>
      <c r="BL244" s="2784">
        <f>0</f>
        <v>0</v>
      </c>
      <c r="BM244" s="2784">
        <f>0</f>
        <v>0</v>
      </c>
      <c r="BN244" s="2784">
        <f>0</f>
        <v>0</v>
      </c>
      <c r="BO244" s="2784">
        <f>0</f>
        <v>0</v>
      </c>
      <c r="BP244" s="2784">
        <f>0</f>
        <v>0</v>
      </c>
      <c r="BQ244" s="2736">
        <f>0</f>
        <v>0</v>
      </c>
      <c r="BR244" s="2736">
        <f>0</f>
        <v>0</v>
      </c>
      <c r="BS244" s="2784">
        <f>0</f>
        <v>0</v>
      </c>
      <c r="BT244" s="2736">
        <f>0</f>
        <v>0</v>
      </c>
      <c r="BU244" s="2736">
        <f>0</f>
        <v>0</v>
      </c>
      <c r="BV244" s="2794">
        <f>0</f>
        <v>0</v>
      </c>
      <c r="BW244" s="2794">
        <f>0</f>
        <v>0</v>
      </c>
      <c r="BX244" s="2794">
        <f>0</f>
        <v>0</v>
      </c>
      <c r="BY244" s="2794">
        <f>0</f>
        <v>0</v>
      </c>
      <c r="BZ244" s="2736">
        <f>0</f>
        <v>0</v>
      </c>
      <c r="CA244" s="2784">
        <f>0</f>
        <v>0</v>
      </c>
      <c r="CB244" s="2815">
        <f>0</f>
        <v>0</v>
      </c>
      <c r="CC244" s="2736">
        <f>0</f>
        <v>0</v>
      </c>
      <c r="CD244" s="2736">
        <f>0</f>
        <v>0</v>
      </c>
      <c r="CE244" s="2736">
        <f>0</f>
        <v>0</v>
      </c>
      <c r="CF244" s="2736">
        <f>0</f>
        <v>0</v>
      </c>
      <c r="CG244" s="2736">
        <f>0</f>
        <v>0</v>
      </c>
      <c r="CH244" s="2736">
        <f>0</f>
        <v>0</v>
      </c>
      <c r="CI244" s="2736">
        <f>0</f>
        <v>0</v>
      </c>
      <c r="CJ244" s="2736">
        <f>0</f>
        <v>0</v>
      </c>
      <c r="CK244" s="2736">
        <f>0</f>
        <v>0</v>
      </c>
      <c r="CL244" s="2736">
        <f>0</f>
        <v>0</v>
      </c>
      <c r="CM244" s="2736">
        <f>0</f>
        <v>0</v>
      </c>
      <c r="CN244" s="2736">
        <f>-Δ_atm</f>
        <v>-1</v>
      </c>
      <c r="CO244" s="2848">
        <f>k_LaGN2_sur*(S_GN2_sur_sat-S_N2)</f>
        <v>-8.19</v>
      </c>
      <c r="CQ244" s="2650">
        <f>E248*E244+F248*F244+G248*G244+H248*H244+I248*I244+J248*J244+K248*K244+L248*L244+M248*M244+N248*N244+O248*O244+P248*P244+Q248*Q244+R248*R244+S248*S244+T248*T244+U248*U244+V248*V244+W248*W244+X248*X244+Y248*Y244+Z248*Z244+AA248*AA244+AB248*AB244+AC248*AC244+AD248*AD244+AE248*AE244+AF248*AF244+AG248*AG244+AH248*AH244+AI248*AI244+AJ248*AJ244+AK248*AK244+AL248*AL244+AM248*AM244+AN248*AN244+AO248*AO244+AP248*AP244+AQ248*AQ244+AR248*AR244+AS248*AS244+AT248*AT244+AU248*AU244+AV248*AV244+AW248*AW244+AX248*AX244+AY248*AY244+AZ248*AZ244+BA248*BA244+BB248*BB244+BC248*BC244+BD248*BD244+BE248*BE244+BF248*BF244+BG248*BG244+BH248*BH244+BI248*BI244+BJ248*BJ244+BK248*BK244+BL248*BL244+BM248*BM244+BN248*BN244+BO248*BO244+BP248*BP244+BQ248*BQ244+BR248*BR244+BS248*BS244+BT248*BT244+BU248*BU244+BV248*BV244+BW248*BW244+BX248*BX244+BY248*BY244+BZ248*BZ244+CA248*CA244+CB248*CB244+CC248*CC244+CD248*CD244+CE248*CE244+CF248*CF244+CG248*CG244+CH248*CH244+CI248*CI244+CJ248*CJ244+CK248*CK244+CL248*CL244+CM248*CM244+CN248*CN244</f>
        <v>0</v>
      </c>
      <c r="CR244" s="2650">
        <f>E249*E244+F249*F244+G249*G244+H249*H244+I249*I244+J249*J244+K249*K244+L249*L244+M249*M244+N249*N244+O249*O244+P249*P244+Q249*Q244+R249*R244+S249*S244+T249*T244+U249*U244+V249*V244+W249*W244+X249*X244+Y249*Y244+Z249*Z244+AA249*AA244+AB249*AB244+AC249*AC244+AD249*AD244+AE249*AE244+AF249*AF244+AG249*AG244+AH249*AH244+AI249*AI244+AJ249*AJ244+AK249*AK244+AL249*AL244+AM249*AM244+AN249*AN244+AO249*AO244+AP249*AP244+AQ249*AQ244+AR249*AR244+AS249*AS244+AT249*AT244+AU249*AU244+AV249*AV244+AW249*AW244+AX249*AX244+AY249*AY244+AZ249*AZ244+BA249*BA244+BB249*BB244+BC249*BC244+BD249*BD244+BE249*BE244+BF249*BF244+BG249*BG244+BH249*BH244+BI249*BI244+BJ249*BJ244+BK249*BK244+BL249*BL244+BM249*BM244+BN249*BN244+BO249*BO244+BP249*BP244+BQ249*BQ244+BR249*BR244+BS249*BS244+BT249*BT244+BU249*BU244+BV249*BV244+BW249*BW244+BX249*BX244+BY249*BY244+BZ249*BZ244+CA249*CA244+CB249*CB244+CC249*CC244+CD249*CD244+CE249*CE244+CF249*CF244+CG249*CG244+CH249*CH244+CI249*CI244+CJ249*CJ244+CK249*CK244+CL249*CL244+CM249*CM244+CN249*CN244</f>
        <v>0</v>
      </c>
      <c r="CS244" s="2651">
        <f>E250*E244+F250*F244+G250*G244+H250*H244+I250*I244+J250*J244+K250*K244+L250*L244+M250*M244+N250*N244+O250*O244+P250*P244+Q250*Q244+R250*R244+S250*S244+T250*T244+U250*U244+V250*V244+W250*W244+X250*X244+Y250*Y244+Z250*Z244+AA250*AA244+AB250*AB244+AC250*AC244+AD250*AD244+AE250*AE244+AF250*AF244+AG250*AG244+AH250*AH244+AI250*AI244+AJ250*AJ244+AK250*AK244+AL250*AL244+AM250*AM244+AN250*AN244+AO250*AO244+AP250*AP244+AQ250*AQ244+AR250*AR244+AS250*AS244+AT250*AT244+AU250*AU244+AV250*AV244+AW250*AW244+AX250*AX244+AY250*AY244+AZ250*AZ244+BA250*BA244+BB250*BB244+BC250*BC244+BD250*BD244+BE250*BE244+BF250*BF244+BG250*BG244+BH250*BH244+BI250*BI244+BJ250*BJ244+BK250*BK244+BL250*BL244+BM250*BM244+BN250*BN244+BO250*BO244+BP250*BP244+BQ250*BQ244+BR250*BR244+BS250*BS244+BT250*BT244+BU250*BU244+BV250*BV244+BW250*BW244+BX250*BX244+BY250*BY244+BZ250*BZ244+CA250*CA244+CB250*CB244+CC250*CC244+CD250*CD244+CE250*CE244+CF250*CF244+CG250*CG244+CH250*CH244+CI250*CI244+CJ250*CJ244+CK250*CK244+CL250*CL244+CM250*CM244+CN250*CN244</f>
        <v>0</v>
      </c>
      <c r="CT244" s="2652">
        <f>E251*E244+F251*F244+G251*G244+H251*H244+I251*I244+J251*J244+K251*K244+L251*L244+M251*M244+N251*N244+O251*O244+P251*P244+Q251*Q244+R251*R244+S251*S244+T251*T244+U251*U244+V251*V244+W251*W244+X251*X244+Y251*Y244+Z251*Z244+AA251*AA244+AB251*AB244+AC251*AC244+AD251*AD244+AE251*AE244+AF251*AF244+AG251*AG244+AH251*AH244+AI251*AI244+AJ251*AJ244+AK251*AK244+AL251*AL244+AM251*AM244+AN251*AN244+AO251*AO244+AP251*AP244+AQ251*AQ244+AR251*AR244+AS251*AS244+AT251*AT244+AU251*AU244+AV251*AV244+AW251*AW244+AX251*AX244+AY251*AY244+AZ251*AZ244+BA251*BA244+BB251*BB244+BC251*BC244+BD251*BD244+BE251*BE244+BF251*BF244+BG251*BG244+BH251*BH244+BI251*BI244+BJ251*BJ244+BK251*BK244+BL251*BL244+BM251*BM244+BN251*BN244+BO251*BO244+BP251*BP244+BQ251*BQ244+BR251*BR244+BS251*BS244+BT251*BT244+BU251*BU244+BV251*BV244+BW251*BW244+BX251*BX244+BY251*BY244+BZ251*BZ244+CA251*CA244+CB251*CB244+CC251*CC244+CD251*CD244+CE251*CE244+CF251*CF244+CG251*CG244+CH251*CH244+CI251*CI244+CJ251*CJ244+CK251*CK244+CL251*CL244+CM251*CM244+CN251*CN244</f>
        <v>0</v>
      </c>
      <c r="CU244" s="2652">
        <f>E252*E244+F252*F244+G252*G244+H252*H244+I252*I244+J252*J244+K252*K244+L252*L244+M252*M244+N252*N244+O252*O244+P252*P244+Q252*Q244+R252*R244+S252*S244+T252*T244+U252*U244+V252*V244+W252*W244+X252*X244+Y252*Y244+Z252*Z244+AA252*AA244+AB252*AB244+AC252*AC244+AD252*AD244+AE252*AE244+AF252*AF244+AG252*AG244+AH252*AH244+AI252*AI244+AJ252*AJ244+AK252*AK244+AL252*AL244+AM252*AM244+AN252*AN244+AO252*AO244+AP252*AP244+AQ252*AQ244+AR252*AR244+AS252*AS244+AT252*AT244+AU252*AU244+AV252*AV244+AW252*AW244+AX252*AX244+AY252*AY244+AZ252*AZ244+BA252*BA244+BB252*BB244+BC252*BC244+BD252*BD244+BE252*BE244+BF252*BF244+BG252*BG244+BH252*BH244+BI252*BI244+BJ252*BJ244+BK252*BK244+BL252*BL244+BM252*BM244+BN252*BN244+BO252*BO244+BP252*BP244+BQ252*BQ244+BR252*BR244+BS252*BS244+BT252*BT244+BU252*BU244+BV252*BV244+BW252*BW244+BX252*BX244+BY252*BY244+BZ252*BZ244+CA252*CA244+CB252*CB244+CC252*CC244+CD252*CD244+CE252*CE244+CF252*CF244+CG252*CG244+CH252*CH244+CI252*CI244+CJ252*CJ244+CK252*CK244+CL252*CL244+CM252*CM244+CN252*CN244</f>
        <v>0</v>
      </c>
      <c r="CV244" s="2652">
        <f>E253*E244+F253*F244+G253*G244+H253*H244+I253*I244+J253*J244+K253*K244+L253*L244+M253*M244+N253*N244+O253*O244+P253*P244+Q253*Q244+R253*R244+S253*S244+T253*T244+U253*U244+V253*V244+W253*W244+X253*X244+Y253*Y244+Z253*Z244+AA253*AA244+AB253*AB244+AC253*AC244+AD253*AD244+AE253*AE244+AF253*AF244+AG253*AG244+AH253*AH244+AI253*AI244+AJ253*AJ244+AK253*AK244+AL253*AL244+AM253*AM244+AN253*AN244+AO253*AO244+AP253*AP244+AQ253*AQ244+AR253*AR244+AS253*AS244+AT253*AT244+AU253*AU244+AV253*AV244+AW253*AW244+AX253*AX244+AY253*AY244+AZ253*AZ244+BA253*BA244+BB253*BB244+BC253*BC244+BD253*BD244+BE253*BE244+BF253*BF244+BG253*BG244+BH253*BH244+BI253*BI244+BJ253*BJ244+BK253*BK244+BL253*BL244+BM253*BM244+BN253*BN244+BO253*BO244+BP253*BP244+BQ253*BQ244+BR253*BR244+BS253*BS244+BT253*BT244+BU253*BU244+BV253*BV244+BW253*BW244+BX253*BX244+BY253*BY244+BZ253*BZ244+CA253*CA244+CB253*CB244+CC253*CC244+CD253*CD244+CE253*CE244+CF253*CF244+CG253*CG244+CH253*CH244+CI253*CI244+CJ253*CJ244+CK253*CK244+CL253*CL244+CM253*CM244+CN253*CN244</f>
        <v>0</v>
      </c>
      <c r="CW244" s="2652">
        <f>E254*E244+F254*F244+G254*G244+H254*H244+I254*I244+J254*J244+K254*K244+L254*L244+M254*M244+N254*N244+O254*O244+P254*P244+Q254*Q244+R254*R244+S254*S244+T254*T244+U254*U244+V254*V244+W254*W244+X254*X244+Y254*Y244+Z254*Z244+AA254*AA244+AB254*AB244+AC254*AC244+AD254*AD244+AE254*AE244+AF254*AF244+AG254*AG244+AH254*AH244+AI254*AI244+AJ254*AJ244+AK254*AK244+AL254*AL244+AM254*AM244+AN254*AN244+AO254*AO244+AP254*AP244+AQ254*AQ244+AR254*AR244+AS254*AS244+AT254*AT244+AU254*AU244+AV254*AV244+AW254*AW244+AX254*AX244+AY254*AY244+AZ254*AZ244+BA254*BA244+BB254*BB244+BC254*BC244+BD254*BD244+BE254*BE244+BF254*BF244+BG254*BG244+BH254*BH244+BI254*BI244+BJ254*BJ244+BK254*BK244+BL254*BL244+BM254*BM244+BN254*BN244+BO254*BO244+BP254*BP244+BQ254*BQ244+BR254*BR244+BS254*BS244+BT254*BT244+BU254*BU244+BV254*BV244+BW254*BW244+BX254*BX244+BY254*BY244+BZ254*BZ244+CA254*CA244+CB254*CB244+CC254*CC244+CD254*CD244+CE254*CE244+CF254*CF244+CG254*CG244+CH254*CH244+CI254*CI244+CJ254*CJ244+CK254*CK244+CL254*CL244+CM254*CM244+CN254*CN244</f>
        <v>0</v>
      </c>
      <c r="CX244" s="2652">
        <f>E255*E244+F255*F244+G255*G244+H255*H244+I255*I244+J255*J244+K255*K244+L255*L244+M255*M244+N255*N244+O255*O244+P255*P244+Q255*Q244+R255*R244+S255*S244+T255*T244+U255*U244+V255*V244+W255*W244+X255*X244+Y255*Y244+Z255*Z244+AA255*AA244+AB255*AB244+AC255*AC244+AD255*AD244+AE255*AE244+AF255*AF244+AG255*AG244+AH255*AH244+AI255*AI244+AJ255*AJ244+AK255*AK244+AL255*AL244+AM255*AM244+AN255*AN244+AO255*AO244+AP255*AP244+AQ255*AQ244+AR255*AR244+AS255*AS244+AT255*AT244+AU255*AU244+AV255*AV244+AW255*AW244+AX255*AX244+AY255*AY244+AZ255*AZ244+BA255*BA244+BB255*BB244+BC255*BC244+BD255*BD244+BE255*BE244+BF255*BF244+BG255*BG244+BH255*BH244+BI255*BI244+BJ255*BJ244+BK255*BK244+BL255*BL244+BM255*BM244+BN255*BN244+BO255*BO244+BP255*BP244+BQ255*BQ244+BR255*BR244+BS255*BS244+BT255*BT244+BU255*BU244+BV255*BV244+BW255*BW244+BX255*BX244+BY255*BY244+BZ255*BZ244+CA255*CA244+CB255*CB244+CC255*CC244+CD255*CD244+CE255*CE244+CF255*CF244+CG255*CG244+CH255*CH244+CI255*CI244+CJ255*CJ244+CK255*CK244+CL255*CL244+CM255*CM244+CN255*CN244</f>
        <v>0</v>
      </c>
      <c r="CY244" s="2652">
        <f>E256*E244+F256*F244+G256*G244+H256*H244+I256*I244+J256*J244+K256*K244+L256*L244+M256*M244+N256*N244+O256*O244+P256*P244+Q256*Q244+R256*R244+S256*S244+T256*T244+U256*U244+V256*V244+W256*W244+X256*X244+Y256*Y244+Z256*Z244+AA256*AA244+AB256*AB244+AC256*AC244+AD256*AD244+AE256*AE244+AF256*AF244+AG256*AG244+AH256*AH244+AI256*AI244+AJ256*AJ244+AK256*AK244+AL256*AL244+AM256*AM244+AN256*AN244+AO256*AO244+AP256*AP244+AQ256*AQ244+AR256*AR244+AS256*AS244+AT256*AT244+AU256*AU244+AV256*AV244+AW256*AW244+AX256*AX244+AY256*AY244+AZ256*AZ244+BA256*BA244+BB256*BB244+BC256*BC244+BD256*BD244+BE256*BE244+BF256*BF244+BG256*BG244+BH256*BH244+BI256*BI244+BJ256*BJ244+BK256*BK244+BL256*BL244+BM256*BM244+BN256*BN244+BO256*BO244+BP256*BP244+BQ256*BQ244+BR256*BR244+BS256*BS244+BT256*BT244+BU256*BU244+BV256*BV244+BW256*BW244+BX256*BX244+BY256*BY244+BZ256*BZ244+CA256*CA244+CB256*CB244+CC256*CC244+CD256*CD244+CE256*CE244+CF256*CF244+CG256*CG244+CH256*CH244+CI256*CI244+CJ256*CJ244+CK256*CK244+CL256*CL244+CM256*CM244+CN256*CN244</f>
        <v>0</v>
      </c>
      <c r="CZ244" s="2652">
        <f>E257*E244+F257*F244+G257*G244+H257*H244+I257*I244+J257*J244+K257*K244+L257*L244+M257*M244+N257*N244+O257*O244+P257*P244+Q257*Q244+R257*R244+S257*S244+T257*T244+U257*U244+V257*V244+W257*W244+X257*X244+Y257*Y244+Z257*Z244+AA257*AA244+AB257*AB244+AC257*AC244+AD257*AD244+AE257*AE244+AF257*AF244+AG257*AG244+AH257*AH244+AI257*AI244+AJ257*AJ244+AK257*AK244+AL257*AL244+AM257*AM244+AN257*AN244+AO257*AO244+AP257*AP244+AQ257*AQ244+AR257*AR244+AS257*AS244+AT257*AT244+AU257*AU244+AV257*AV244+AW257*AW244+AX257*AX244+AY257*AY244+AZ257*AZ244+BA257*BA244+BB257*BB244+BC257*BC244+BD257*BD244+BE257*BE244+BF257*BF244+BG257*BG244+BH257*BH244+BI257*BI244+BJ257*BJ244+BK257*BK244+BL257*BL244+BM257*BM244+BN257*BN244+BO257*BO244+BP257*BP244+BQ257*BQ244+BR257*BR244+BS257*BS244+BT257*BT244+BU257*BU244+BV257*BV244+BW257*BW244+BX257*BX244+BY257*BY244+BZ257*BZ244+CA257*CA244+CB257*CB244+CC257*CC244+CD257*CD244+CE257*CE244+CF257*CF244+CG257*CG244+CH257*CH244+CI257*CI244+CJ257*CJ244+CK257*CK244+CL257*CL244+CM257*CM244+CN257*CN244</f>
        <v>0</v>
      </c>
      <c r="DA244" s="2652">
        <f>E258*E244+F258*F244+G258*G244+H258*H244+I258*I244+J258*J244+K258*K244+L258*L244+M258*M244+N258*N244+O258*O244+P258*P244+Q258*Q244+R258*R244+S258*S244+T258*T244+U258*U244+V258*V244+W258*W244+X258*X244+Y258*Y244+Z258*Z244+AA258*AA244+AB258*AB244+AC258*AC244+AD258*AD244+AE258*AE244+AF258*AF244+AG258*AG244+AH258*AH244+AI258*AI244+AJ258*AJ244+AK258*AK244+AL258*AL244+AM258*AM244+AN258*AN244+AO258*AO244+AP258*AP244+AQ258*AQ244+AR258*AR244+AS258*AS244+AT258*AT244+AU258*AU244+AV258*AV244+AW258*AW244+AX258*AX244+AY258*AY244+AZ258*AZ244+BA258*BA244+BB258*BB244+BC258*BC244+BD258*BD244+BE258*BE244+BF258*BF244+BG258*BG244+BH258*BH244+BI258*BI244+BJ258*BJ244+BK258*BK244+BL258*BL244+BM258*BM244+BN258*BN244+BO258*BO244+BP258*BP244+BQ258*BQ244+BR258*BR244+BS258*BS244+BT258*BT244+BU258*BU244+BV258*BV244+BW258*BW244+BX258*BX244+BY258*BY244+BZ258*BZ244+CA258*CA244+CB258*CB244+CC258*CC244+CD258*CD244+CE258*CE244+CF258*CF244+CG258*CG244+CH258*CH244+CI258*CI244+CJ258*CJ244+CK258*CK244+CL258*CL244+CM258*CM244+CN258*CN244</f>
        <v>0</v>
      </c>
    </row>
    <row r="246" spans="2:105" ht="15.75" thickBot="1" x14ac:dyDescent="0.3"/>
    <row r="247" spans="2:105" ht="15.75" thickBot="1" x14ac:dyDescent="0.3">
      <c r="D247" s="54" t="s">
        <v>6</v>
      </c>
      <c r="E247" s="71"/>
      <c r="F247" s="71"/>
      <c r="G247" s="71"/>
      <c r="H247" s="71"/>
      <c r="I247" s="71"/>
      <c r="J247" s="71"/>
      <c r="K247" s="71"/>
      <c r="L247" s="71"/>
      <c r="M247" s="71"/>
      <c r="N247" s="71"/>
      <c r="O247" s="71"/>
      <c r="P247" s="71"/>
      <c r="Q247" s="71"/>
      <c r="R247" s="71"/>
      <c r="S247" s="71"/>
      <c r="T247" s="71"/>
      <c r="U247" s="71"/>
      <c r="V247" s="71"/>
      <c r="W247" s="71"/>
      <c r="X247" s="71"/>
      <c r="Y247" s="71"/>
      <c r="Z247" s="71"/>
      <c r="AA247" s="71"/>
      <c r="AB247" s="71"/>
      <c r="AC247" s="71"/>
      <c r="AD247" s="71"/>
      <c r="AE247" s="71"/>
      <c r="AF247" s="71"/>
      <c r="AG247" s="71"/>
      <c r="AH247" s="71"/>
      <c r="AI247" s="71"/>
      <c r="AJ247" s="71"/>
      <c r="AK247" s="71"/>
      <c r="AL247" s="71"/>
      <c r="AM247" s="71"/>
      <c r="AN247" s="71"/>
      <c r="AO247" s="71"/>
      <c r="AP247" s="71"/>
      <c r="AQ247" s="71"/>
      <c r="AR247" s="71"/>
      <c r="AS247" s="71"/>
      <c r="AT247" s="71"/>
      <c r="AU247" s="71"/>
      <c r="AV247" s="71"/>
      <c r="AW247" s="71"/>
      <c r="AX247" s="71"/>
      <c r="AY247" s="71"/>
      <c r="AZ247" s="71"/>
      <c r="BA247" s="71"/>
      <c r="BB247" s="71"/>
      <c r="BC247" s="71"/>
      <c r="BD247" s="71"/>
      <c r="BE247" s="71"/>
      <c r="BF247" s="71"/>
      <c r="BG247" s="71"/>
      <c r="BH247" s="71"/>
      <c r="BI247" s="71"/>
      <c r="BJ247" s="71"/>
      <c r="BK247" s="71"/>
      <c r="BL247" s="71"/>
      <c r="BM247" s="71"/>
      <c r="BN247" s="71"/>
      <c r="BO247" s="71"/>
      <c r="BP247" s="71"/>
      <c r="BQ247" s="71"/>
      <c r="BR247" s="71"/>
      <c r="BS247" s="71"/>
      <c r="BT247" s="71"/>
      <c r="BU247" s="71"/>
      <c r="BV247" s="71"/>
      <c r="BW247" s="71"/>
      <c r="BX247" s="71"/>
      <c r="BY247" s="71"/>
      <c r="BZ247" s="71"/>
      <c r="CA247" s="71"/>
      <c r="CB247" s="71"/>
      <c r="CC247" s="71"/>
      <c r="CD247" s="71"/>
      <c r="CE247" s="71"/>
      <c r="CF247" s="71"/>
      <c r="CG247" s="71"/>
      <c r="CH247" s="71"/>
      <c r="CI247" s="71"/>
      <c r="CJ247" s="71"/>
      <c r="CK247" s="71"/>
      <c r="CL247" s="71"/>
      <c r="CM247" s="71"/>
      <c r="CN247" s="71"/>
    </row>
    <row r="248" spans="2:105" ht="18.75" x14ac:dyDescent="0.25">
      <c r="D248" s="368" t="s">
        <v>148</v>
      </c>
      <c r="E248" s="675">
        <v>1</v>
      </c>
      <c r="F248" s="675">
        <v>1</v>
      </c>
      <c r="G248" s="675">
        <v>1</v>
      </c>
      <c r="H248" s="675">
        <v>1</v>
      </c>
      <c r="I248" s="675">
        <v>1</v>
      </c>
      <c r="J248" s="675">
        <v>1</v>
      </c>
      <c r="K248" s="2598">
        <v>1</v>
      </c>
      <c r="L248" s="675">
        <v>1</v>
      </c>
      <c r="M248" s="675">
        <v>1</v>
      </c>
      <c r="N248" s="675">
        <v>1</v>
      </c>
      <c r="O248" s="675">
        <v>1</v>
      </c>
      <c r="P248" s="675">
        <v>1</v>
      </c>
      <c r="Q248" s="675">
        <v>1</v>
      </c>
      <c r="R248" s="675">
        <v>1</v>
      </c>
      <c r="S248" s="675">
        <v>1</v>
      </c>
      <c r="T248" s="675">
        <v>1</v>
      </c>
      <c r="U248" s="675">
        <v>1</v>
      </c>
      <c r="V248" s="675">
        <v>1</v>
      </c>
      <c r="W248" s="675">
        <v>1</v>
      </c>
      <c r="X248" s="675">
        <v>1</v>
      </c>
      <c r="Y248" s="675">
        <v>1</v>
      </c>
      <c r="Z248" s="675">
        <v>1</v>
      </c>
      <c r="AA248" s="675">
        <v>1</v>
      </c>
      <c r="AB248" s="675">
        <v>1</v>
      </c>
      <c r="AC248" s="1375">
        <v>1</v>
      </c>
      <c r="AD248" s="369"/>
      <c r="AE248" s="370">
        <f>-E_EQNO2</f>
        <v>-3.4268028871897016</v>
      </c>
      <c r="AF248" s="370">
        <f>-E_EQNO3</f>
        <v>-4.5690705162529355</v>
      </c>
      <c r="AG248" s="370">
        <f>-E_EQN2</f>
        <v>-1.7134014435948508</v>
      </c>
      <c r="AH248" s="369"/>
      <c r="AI248" s="369"/>
      <c r="AJ248" s="2598"/>
      <c r="AK248" s="369"/>
      <c r="AL248" s="369"/>
      <c r="AM248" s="369"/>
      <c r="AN248" s="369"/>
      <c r="AO248" s="369"/>
      <c r="AP248" s="2598"/>
      <c r="AQ248" s="369"/>
      <c r="AR248" s="369">
        <v>-1</v>
      </c>
      <c r="AS248" s="369">
        <v>1</v>
      </c>
      <c r="AT248" s="369">
        <v>1</v>
      </c>
      <c r="AU248" s="369"/>
      <c r="AV248" s="369"/>
      <c r="AW248" s="369"/>
      <c r="AX248" s="369"/>
      <c r="AY248" s="369"/>
      <c r="AZ248" s="369"/>
      <c r="BA248" s="369"/>
      <c r="BB248" s="369">
        <f>E_EQFe2</f>
        <v>0.14325364849136002</v>
      </c>
      <c r="BC248" s="369"/>
      <c r="BD248" s="369"/>
      <c r="BE248" s="369"/>
      <c r="BF248" s="369"/>
      <c r="BG248" s="369"/>
      <c r="BH248" s="369"/>
      <c r="BI248" s="369"/>
      <c r="BJ248" s="1375"/>
      <c r="BK248" s="1375"/>
      <c r="BL248" s="1375"/>
      <c r="BM248" s="1375"/>
      <c r="BN248" s="1375"/>
      <c r="BO248" s="1375"/>
      <c r="BP248" s="1375"/>
      <c r="BQ248" s="369"/>
      <c r="BR248" s="369"/>
      <c r="BS248" s="1375"/>
      <c r="BT248" s="369"/>
      <c r="BU248" s="371">
        <f>3*A_MFe/M_MVivi*E_EQFe2</f>
        <v>4.7846893347985253E-2</v>
      </c>
      <c r="BV248" s="2503"/>
      <c r="BW248" s="2503"/>
      <c r="BX248" s="2503"/>
      <c r="BY248" s="2503"/>
      <c r="BZ248" s="371"/>
      <c r="CA248" s="1270"/>
      <c r="CB248" s="1270"/>
      <c r="CC248" s="975"/>
      <c r="CD248" s="976" t="s">
        <v>3514</v>
      </c>
      <c r="CE248" s="976" t="s">
        <v>3514</v>
      </c>
      <c r="CF248" s="976" t="s">
        <v>1149</v>
      </c>
      <c r="CG248" s="975"/>
      <c r="CH248" s="1423">
        <f>-E_EQN2</f>
        <v>-1.7134014435948508</v>
      </c>
      <c r="CI248" s="1375"/>
      <c r="CJ248" s="976">
        <f>1/Δ_atm</f>
        <v>1</v>
      </c>
      <c r="CK248" s="976">
        <f>1/Δ_atm</f>
        <v>1</v>
      </c>
      <c r="CL248" s="976">
        <f>-1/Δ_atm</f>
        <v>-1</v>
      </c>
      <c r="CM248" s="975"/>
      <c r="CN248" s="978">
        <f>-E_EQN2/Δ_atm</f>
        <v>-1.7134014435948508</v>
      </c>
    </row>
    <row r="249" spans="2:105" ht="18.75" x14ac:dyDescent="0.25">
      <c r="D249" s="332" t="s">
        <v>258</v>
      </c>
      <c r="E249" s="676">
        <f>i_CIT_VFA</f>
        <v>0.375</v>
      </c>
      <c r="F249" s="676">
        <f>i_CIT_SB_mono</f>
        <v>0.375</v>
      </c>
      <c r="G249" s="676">
        <f>i_CIT_SB_poly</f>
        <v>0.28599999999999998</v>
      </c>
      <c r="H249" s="676">
        <f>i_CIT_MEOL</f>
        <v>0.25</v>
      </c>
      <c r="I249" s="676">
        <f>i_CIT_SB_poly</f>
        <v>0.28599999999999998</v>
      </c>
      <c r="J249" s="676">
        <f>i_CIT_SB_poly</f>
        <v>0.28599999999999998</v>
      </c>
      <c r="K249" s="2264">
        <f>i_CIT_XBe</f>
        <v>0.28599999999999998</v>
      </c>
      <c r="L249" s="676">
        <f>i_CIT_SB_poly</f>
        <v>0.28599999999999998</v>
      </c>
      <c r="M249" s="676">
        <f>i_CIT_SB_poly</f>
        <v>0.28599999999999998</v>
      </c>
      <c r="N249" s="676">
        <f>i_CIT_SB_poly</f>
        <v>0.28599999999999998</v>
      </c>
      <c r="O249" s="676">
        <f>i_CIT_SB_mono</f>
        <v>0.375</v>
      </c>
      <c r="P249" s="676">
        <f>i_CIT_PHA</f>
        <v>0.33300000000000002</v>
      </c>
      <c r="Q249" s="676">
        <f>i_CIT_PHA</f>
        <v>0.33300000000000002</v>
      </c>
      <c r="R249" s="676">
        <f>i_CIT_BIO</f>
        <v>0.35199999999999998</v>
      </c>
      <c r="S249" s="676">
        <f>i_CIT_BIO</f>
        <v>0.35199999999999998</v>
      </c>
      <c r="T249" s="676">
        <f>i_CIT_BIO</f>
        <v>0.35199999999999998</v>
      </c>
      <c r="U249" s="676">
        <f>i_CIT_BIO</f>
        <v>0.35199999999999998</v>
      </c>
      <c r="V249" s="676">
        <f>i_CIT_BIO</f>
        <v>0.35199999999999998</v>
      </c>
      <c r="W249" s="676">
        <f>i_CIT_BIO</f>
        <v>0.35199999999999998</v>
      </c>
      <c r="X249" s="676">
        <f>i_CIT_BIO</f>
        <v>0.35199999999999998</v>
      </c>
      <c r="Y249" s="676">
        <f>i_CIT_BIO</f>
        <v>0.35199999999999998</v>
      </c>
      <c r="Z249" s="676">
        <f>i_CIT_BIO</f>
        <v>0.35199999999999998</v>
      </c>
      <c r="AA249" s="676">
        <f>i_CIT_BIO</f>
        <v>0.35199999999999998</v>
      </c>
      <c r="AB249" s="676">
        <f>i_CIT_BIO</f>
        <v>0.35199999999999998</v>
      </c>
      <c r="AC249" s="2264">
        <f>i_CIT_ALGAE</f>
        <v>0.375</v>
      </c>
      <c r="AD249" s="275"/>
      <c r="AE249" s="367"/>
      <c r="AF249" s="367"/>
      <c r="AG249" s="367"/>
      <c r="AH249" s="275"/>
      <c r="AI249" s="275"/>
      <c r="AJ249" s="2264"/>
      <c r="AK249" s="275"/>
      <c r="AL249" s="275"/>
      <c r="AM249" s="275"/>
      <c r="AN249" s="275"/>
      <c r="AO249" s="275"/>
      <c r="AP249" s="2264"/>
      <c r="AQ249" s="275"/>
      <c r="AR249" s="275"/>
      <c r="AS249" s="275">
        <f>i_CIT_CH4</f>
        <v>0.188</v>
      </c>
      <c r="AT249" s="275"/>
      <c r="AU249" s="275">
        <v>1</v>
      </c>
      <c r="AV249" s="275"/>
      <c r="AW249" s="275"/>
      <c r="AX249" s="275"/>
      <c r="AY249" s="275"/>
      <c r="AZ249" s="275"/>
      <c r="BA249" s="275"/>
      <c r="BB249" s="275"/>
      <c r="BC249" s="275"/>
      <c r="BD249" s="275"/>
      <c r="BE249" s="275"/>
      <c r="BF249" s="275"/>
      <c r="BG249" s="275"/>
      <c r="BH249" s="275"/>
      <c r="BI249" s="275"/>
      <c r="BJ249" s="498"/>
      <c r="BK249" s="498"/>
      <c r="BL249" s="498"/>
      <c r="BM249" s="498"/>
      <c r="BN249" s="498"/>
      <c r="BO249" s="498"/>
      <c r="BP249" s="498"/>
      <c r="BQ249" s="275">
        <f>A_MC/M_MCaCO3</f>
        <v>0.12000271763837225</v>
      </c>
      <c r="BR249" s="275"/>
      <c r="BS249" s="498"/>
      <c r="BT249" s="275"/>
      <c r="BU249" s="276"/>
      <c r="BV249" s="2504"/>
      <c r="BW249" s="2504"/>
      <c r="BX249" s="2504"/>
      <c r="BY249" s="2504"/>
      <c r="BZ249" s="276"/>
      <c r="CA249" s="1271"/>
      <c r="CB249" s="2072"/>
      <c r="CC249" s="977" t="s">
        <v>3514</v>
      </c>
      <c r="CD249" s="498">
        <f>i_CIT_CH4</f>
        <v>0.188</v>
      </c>
      <c r="CE249" s="498"/>
      <c r="CF249" s="977"/>
      <c r="CG249" s="498"/>
      <c r="CH249" s="1424"/>
      <c r="CI249" s="1424">
        <f>1/Δ_atm</f>
        <v>1</v>
      </c>
      <c r="CJ249" s="977">
        <f>i_CIT_CH4/Δ_atm</f>
        <v>0.188</v>
      </c>
      <c r="CK249" s="498"/>
      <c r="CL249" s="977"/>
      <c r="CM249" s="498"/>
      <c r="CN249" s="979"/>
    </row>
    <row r="250" spans="2:105" ht="18.75" x14ac:dyDescent="0.25">
      <c r="D250" s="332" t="s">
        <v>254</v>
      </c>
      <c r="E250" s="676"/>
      <c r="F250" s="676"/>
      <c r="G250" s="677"/>
      <c r="H250" s="676"/>
      <c r="I250" s="676">
        <f>i_N_CB</f>
        <v>0.01</v>
      </c>
      <c r="J250" s="676"/>
      <c r="K250" s="2264"/>
      <c r="L250" s="676">
        <f>i_N_SU</f>
        <v>0.01</v>
      </c>
      <c r="M250" s="676">
        <f>i_N_CU</f>
        <v>0.01</v>
      </c>
      <c r="N250" s="676"/>
      <c r="O250" s="676"/>
      <c r="P250" s="676"/>
      <c r="Q250" s="676"/>
      <c r="R250" s="676">
        <f>i_N_XE</f>
        <v>0.06</v>
      </c>
      <c r="S250" s="676">
        <f>i_N_XE</f>
        <v>0.06</v>
      </c>
      <c r="T250" s="676">
        <f>i_N_BIO</f>
        <v>7.0000000000000007E-2</v>
      </c>
      <c r="U250" s="676">
        <f>i_N_AHO</f>
        <v>0.1</v>
      </c>
      <c r="V250" s="676">
        <f>i_N_BIO</f>
        <v>7.0000000000000007E-2</v>
      </c>
      <c r="W250" s="676">
        <f>i_N_BIO</f>
        <v>7.0000000000000007E-2</v>
      </c>
      <c r="X250" s="676">
        <f>i_N_BIO</f>
        <v>7.0000000000000007E-2</v>
      </c>
      <c r="Y250" s="676">
        <f>i_N_BIO</f>
        <v>7.0000000000000007E-2</v>
      </c>
      <c r="Z250" s="676">
        <f>i_N_BIO</f>
        <v>7.0000000000000007E-2</v>
      </c>
      <c r="AA250" s="676">
        <f>i_N_BIO</f>
        <v>7.0000000000000007E-2</v>
      </c>
      <c r="AB250" s="676">
        <f>i_N_BIO</f>
        <v>7.0000000000000007E-2</v>
      </c>
      <c r="AC250" s="2264">
        <f>i_N_ALGAE</f>
        <v>7.0000000000000007E-2</v>
      </c>
      <c r="AD250" s="275">
        <v>1</v>
      </c>
      <c r="AE250" s="275">
        <v>1</v>
      </c>
      <c r="AF250" s="275">
        <v>1</v>
      </c>
      <c r="AG250" s="275">
        <v>1</v>
      </c>
      <c r="AH250" s="275">
        <v>1</v>
      </c>
      <c r="AI250" s="275">
        <v>1</v>
      </c>
      <c r="AJ250" s="2264">
        <v>1</v>
      </c>
      <c r="AK250" s="275">
        <v>1</v>
      </c>
      <c r="AL250" s="275"/>
      <c r="AM250" s="275"/>
      <c r="AN250" s="275"/>
      <c r="AO250" s="275"/>
      <c r="AP250" s="2264"/>
      <c r="AQ250" s="275"/>
      <c r="AR250" s="275"/>
      <c r="AS250" s="275"/>
      <c r="AT250" s="275"/>
      <c r="AU250" s="275"/>
      <c r="AV250" s="275"/>
      <c r="AW250" s="275"/>
      <c r="AX250" s="275"/>
      <c r="AY250" s="275"/>
      <c r="AZ250" s="275"/>
      <c r="BA250" s="275"/>
      <c r="BB250" s="275"/>
      <c r="BC250" s="275"/>
      <c r="BD250" s="275"/>
      <c r="BE250" s="275"/>
      <c r="BF250" s="275"/>
      <c r="BG250" s="275"/>
      <c r="BH250" s="275"/>
      <c r="BI250" s="275"/>
      <c r="BJ250" s="498"/>
      <c r="BK250" s="498"/>
      <c r="BL250" s="498"/>
      <c r="BM250" s="498"/>
      <c r="BN250" s="498"/>
      <c r="BO250" s="498"/>
      <c r="BP250" s="498"/>
      <c r="BQ250" s="275"/>
      <c r="BR250" s="275"/>
      <c r="BS250" s="498"/>
      <c r="BT250" s="275">
        <f>A_MN/M_MSTR</f>
        <v>5.7075504823359977E-2</v>
      </c>
      <c r="BU250" s="275"/>
      <c r="BV250" s="2264"/>
      <c r="BW250" s="2264"/>
      <c r="BX250" s="2264"/>
      <c r="BY250" s="2264"/>
      <c r="BZ250" s="275"/>
      <c r="CA250" s="1272"/>
      <c r="CB250" s="2098"/>
      <c r="CC250" s="498"/>
      <c r="CD250" s="498"/>
      <c r="CE250" s="498"/>
      <c r="CF250" s="498"/>
      <c r="CG250" s="977" t="s">
        <v>3514</v>
      </c>
      <c r="CH250" s="1424" t="s">
        <v>3514</v>
      </c>
      <c r="CI250" s="1272"/>
      <c r="CJ250" s="498"/>
      <c r="CK250" s="498"/>
      <c r="CL250" s="498"/>
      <c r="CM250" s="498">
        <f>1/Δ_atm</f>
        <v>1</v>
      </c>
      <c r="CN250" s="979">
        <f>1/Δ_atm</f>
        <v>1</v>
      </c>
    </row>
    <row r="251" spans="2:105" ht="18" x14ac:dyDescent="0.25">
      <c r="D251" s="332" t="s">
        <v>255</v>
      </c>
      <c r="E251" s="676"/>
      <c r="F251" s="676"/>
      <c r="G251" s="677"/>
      <c r="H251" s="676"/>
      <c r="I251" s="676">
        <f>i_P_CB</f>
        <v>2E-3</v>
      </c>
      <c r="J251" s="676"/>
      <c r="K251" s="2264"/>
      <c r="L251" s="676">
        <f>i_P_SU</f>
        <v>2E-3</v>
      </c>
      <c r="M251" s="676">
        <f>i_P_CU</f>
        <v>2E-3</v>
      </c>
      <c r="N251" s="676"/>
      <c r="O251" s="676"/>
      <c r="P251" s="676"/>
      <c r="Q251" s="676"/>
      <c r="R251" s="676">
        <f>i_P_BIO</f>
        <v>0.02</v>
      </c>
      <c r="S251" s="676">
        <f>i_P_BIO</f>
        <v>0.02</v>
      </c>
      <c r="T251" s="676">
        <f>i_P_BIO</f>
        <v>0.02</v>
      </c>
      <c r="U251" s="676">
        <f>i_P_AHO</f>
        <v>3.5000000000000003E-2</v>
      </c>
      <c r="V251" s="676">
        <f>i_P_BIO</f>
        <v>0.02</v>
      </c>
      <c r="W251" s="676">
        <f>i_P_BIO</f>
        <v>0.02</v>
      </c>
      <c r="X251" s="676">
        <f>i_P_BIO</f>
        <v>0.02</v>
      </c>
      <c r="Y251" s="676">
        <f>i_P_BIO</f>
        <v>0.02</v>
      </c>
      <c r="Z251" s="676">
        <f>i_P_BIO</f>
        <v>0.02</v>
      </c>
      <c r="AA251" s="676">
        <f>i_P_BIO</f>
        <v>0.02</v>
      </c>
      <c r="AB251" s="676">
        <f>i_P_BIO</f>
        <v>0.02</v>
      </c>
      <c r="AC251" s="2264">
        <f>i_P_ALGAE</f>
        <v>0.02</v>
      </c>
      <c r="AD251" s="275"/>
      <c r="AE251" s="275"/>
      <c r="AF251" s="275"/>
      <c r="AG251" s="275"/>
      <c r="AH251" s="275"/>
      <c r="AI251" s="275"/>
      <c r="AJ251" s="2264"/>
      <c r="AK251" s="275"/>
      <c r="AL251" s="275">
        <v>1</v>
      </c>
      <c r="AM251" s="275">
        <v>1</v>
      </c>
      <c r="AN251" s="275">
        <v>1</v>
      </c>
      <c r="AO251" s="275">
        <v>1</v>
      </c>
      <c r="AP251" s="2264">
        <v>1</v>
      </c>
      <c r="AQ251" s="275">
        <v>1</v>
      </c>
      <c r="AR251" s="275"/>
      <c r="AS251" s="275"/>
      <c r="AT251" s="275"/>
      <c r="AU251" s="275"/>
      <c r="AV251" s="275"/>
      <c r="AW251" s="275"/>
      <c r="AX251" s="275"/>
      <c r="AY251" s="275"/>
      <c r="AZ251" s="275"/>
      <c r="BA251" s="275"/>
      <c r="BB251" s="276"/>
      <c r="BC251" s="275"/>
      <c r="BD251" s="275"/>
      <c r="BE251" s="276"/>
      <c r="BF251" s="275">
        <f>A_SFHFO_H*(A_MP/A_MFe)</f>
        <v>0.66556566639806602</v>
      </c>
      <c r="BG251" s="275">
        <f>A_SFHFO_L*(A_MP/A_MFe)</f>
        <v>0.11092761106634436</v>
      </c>
      <c r="BH251" s="275">
        <f>A_SFHFO_H*(A_MP/A_MFe)</f>
        <v>0.66556566639806602</v>
      </c>
      <c r="BI251" s="275">
        <f>A_SFHFO_L*(A_MP/A_MFe)</f>
        <v>0.11092761106634436</v>
      </c>
      <c r="BJ251" s="498"/>
      <c r="BK251" s="498"/>
      <c r="BL251" s="1376"/>
      <c r="BM251" s="498">
        <f>A_SFHAO_H*(A_MP/A_MAl)</f>
        <v>1.1479629449808202</v>
      </c>
      <c r="BN251" s="498">
        <f>A_SFHAO_L*(A_MP/A_MAl)</f>
        <v>0.11479629449808203</v>
      </c>
      <c r="BO251" s="498">
        <f>A_SFHAO_H*(A_MP/A_MAl)</f>
        <v>1.1479629449808202</v>
      </c>
      <c r="BP251" s="498">
        <f>A_SFHAO_L*(A_MP/A_MAl)</f>
        <v>0.11479629449808203</v>
      </c>
      <c r="BQ251" s="276"/>
      <c r="BR251" s="275">
        <f>2*A_MP/M_MACP</f>
        <v>0.16206538757887573</v>
      </c>
      <c r="BS251" s="498">
        <f>A_MP/M_MBSH</f>
        <v>0.17998807007087103</v>
      </c>
      <c r="BT251" s="275">
        <f>A_MP/M_MSTR</f>
        <v>0.12621410566683836</v>
      </c>
      <c r="BU251" s="276">
        <f>2*A_MP/M_MVivi</f>
        <v>0.1234998580474381</v>
      </c>
      <c r="BV251" s="2504"/>
      <c r="BW251" s="2504"/>
      <c r="BX251" s="2504"/>
      <c r="BY251" s="2504"/>
      <c r="BZ251" s="276"/>
      <c r="CA251" s="1271"/>
      <c r="CB251" s="2072"/>
      <c r="CC251" s="275"/>
      <c r="CD251" s="275"/>
      <c r="CE251" s="275"/>
      <c r="CF251" s="275"/>
      <c r="CG251" s="275"/>
      <c r="CH251" s="1272"/>
      <c r="CI251" s="1272"/>
      <c r="CJ251" s="498"/>
      <c r="CK251" s="498"/>
      <c r="CL251" s="498"/>
      <c r="CM251" s="498"/>
      <c r="CN251" s="979"/>
    </row>
    <row r="252" spans="2:105" ht="18" x14ac:dyDescent="0.25">
      <c r="D252" s="332" t="s">
        <v>1114</v>
      </c>
      <c r="E252" s="275"/>
      <c r="F252" s="666"/>
      <c r="G252" s="275"/>
      <c r="H252" s="275"/>
      <c r="I252" s="275"/>
      <c r="J252" s="275"/>
      <c r="K252" s="2264"/>
      <c r="L252" s="275"/>
      <c r="M252" s="275"/>
      <c r="N252" s="275"/>
      <c r="O252" s="666"/>
      <c r="P252" s="275"/>
      <c r="Q252" s="275"/>
      <c r="R252" s="275"/>
      <c r="S252" s="275"/>
      <c r="T252" s="275"/>
      <c r="U252" s="666"/>
      <c r="V252" s="275"/>
      <c r="W252" s="275"/>
      <c r="X252" s="275"/>
      <c r="Y252" s="275"/>
      <c r="Z252" s="275"/>
      <c r="AA252" s="275"/>
      <c r="AB252" s="275"/>
      <c r="AC252" s="2264"/>
      <c r="AD252" s="275"/>
      <c r="AE252" s="275"/>
      <c r="AF252" s="275"/>
      <c r="AG252" s="275"/>
      <c r="AH252" s="275"/>
      <c r="AI252" s="275"/>
      <c r="AJ252" s="2264"/>
      <c r="AK252" s="275"/>
      <c r="AL252" s="275"/>
      <c r="AM252" s="275"/>
      <c r="AN252" s="275"/>
      <c r="AO252" s="275"/>
      <c r="AP252" s="2264"/>
      <c r="AQ252" s="275"/>
      <c r="AR252" s="275"/>
      <c r="AS252" s="275"/>
      <c r="AT252" s="275"/>
      <c r="AU252" s="275"/>
      <c r="AV252" s="1272">
        <f>(1-i_Ca_INORG*(A_MCa+2*A_MCl)/A_MCa-i_Mg_INORG*(A_MMg+2*A_MCl)/A_MMg)*f_Na</f>
        <v>0.26185730529816786</v>
      </c>
      <c r="AW252" s="275">
        <v>1</v>
      </c>
      <c r="AX252" s="275"/>
      <c r="AY252" s="275"/>
      <c r="AZ252" s="275"/>
      <c r="BA252" s="275"/>
      <c r="BB252" s="276"/>
      <c r="BC252" s="275"/>
      <c r="BD252" s="275"/>
      <c r="BE252" s="276"/>
      <c r="BF252" s="276"/>
      <c r="BG252" s="275"/>
      <c r="BH252" s="276"/>
      <c r="BI252" s="276"/>
      <c r="BJ252" s="498"/>
      <c r="BK252" s="498"/>
      <c r="BL252" s="1376"/>
      <c r="BM252" s="1376"/>
      <c r="BN252" s="498"/>
      <c r="BO252" s="1376"/>
      <c r="BP252" s="1376"/>
      <c r="BQ252" s="276"/>
      <c r="BR252" s="276"/>
      <c r="BS252" s="1376"/>
      <c r="BT252" s="275"/>
      <c r="BU252" s="276"/>
      <c r="BV252" s="2504"/>
      <c r="BW252" s="2504"/>
      <c r="BX252" s="2504"/>
      <c r="BY252" s="2504"/>
      <c r="BZ252" s="276"/>
      <c r="CA252" s="1271"/>
      <c r="CB252" s="2072"/>
      <c r="CC252" s="275"/>
      <c r="CD252" s="275"/>
      <c r="CE252" s="275"/>
      <c r="CF252" s="275"/>
      <c r="CG252" s="275"/>
      <c r="CH252" s="1272"/>
      <c r="CI252" s="1272"/>
      <c r="CJ252" s="498"/>
      <c r="CK252" s="498"/>
      <c r="CL252" s="498"/>
      <c r="CM252" s="498"/>
      <c r="CN252" s="979"/>
    </row>
    <row r="253" spans="2:105" ht="18" x14ac:dyDescent="0.25">
      <c r="D253" s="332" t="s">
        <v>477</v>
      </c>
      <c r="E253" s="275"/>
      <c r="F253" s="666"/>
      <c r="G253" s="275"/>
      <c r="H253" s="275"/>
      <c r="I253" s="275"/>
      <c r="J253" s="275"/>
      <c r="K253" s="2264"/>
      <c r="L253" s="275"/>
      <c r="M253" s="275"/>
      <c r="N253" s="275"/>
      <c r="O253" s="666"/>
      <c r="P253" s="275"/>
      <c r="Q253" s="275"/>
      <c r="R253" s="275"/>
      <c r="S253" s="275"/>
      <c r="T253" s="275"/>
      <c r="U253" s="666"/>
      <c r="V253" s="275"/>
      <c r="W253" s="275"/>
      <c r="X253" s="275"/>
      <c r="Y253" s="275"/>
      <c r="Z253" s="275"/>
      <c r="AA253" s="275"/>
      <c r="AB253" s="275"/>
      <c r="AC253" s="2264"/>
      <c r="AD253" s="275"/>
      <c r="AE253" s="275"/>
      <c r="AF253" s="275"/>
      <c r="AG253" s="275"/>
      <c r="AH253" s="275"/>
      <c r="AI253" s="275"/>
      <c r="AJ253" s="2264"/>
      <c r="AK253" s="275"/>
      <c r="AL253" s="275"/>
      <c r="AM253" s="275">
        <f>i_K_PP*A_MK/A_MP</f>
        <v>0.12623038734377579</v>
      </c>
      <c r="AN253" s="275"/>
      <c r="AO253" s="275"/>
      <c r="AP253" s="2264"/>
      <c r="AQ253" s="275"/>
      <c r="AR253" s="275"/>
      <c r="AS253" s="275"/>
      <c r="AT253" s="275"/>
      <c r="AU253" s="275"/>
      <c r="AV253" s="1272"/>
      <c r="AW253" s="275"/>
      <c r="AX253" s="275"/>
      <c r="AY253" s="275"/>
      <c r="AZ253" s="275"/>
      <c r="BA253" s="275">
        <v>1</v>
      </c>
      <c r="BB253" s="275"/>
      <c r="BC253" s="275"/>
      <c r="BD253" s="275"/>
      <c r="BE253" s="275"/>
      <c r="BF253" s="275"/>
      <c r="BG253" s="275"/>
      <c r="BH253" s="275"/>
      <c r="BI253" s="275"/>
      <c r="BJ253" s="498"/>
      <c r="BK253" s="498"/>
      <c r="BL253" s="498"/>
      <c r="BM253" s="498"/>
      <c r="BN253" s="498"/>
      <c r="BO253" s="498"/>
      <c r="BP253" s="498"/>
      <c r="BQ253" s="275"/>
      <c r="BR253" s="275"/>
      <c r="BS253" s="498"/>
      <c r="BT253" s="275"/>
      <c r="BU253" s="275"/>
      <c r="BV253" s="2264"/>
      <c r="BW253" s="2264"/>
      <c r="BX253" s="2264"/>
      <c r="BY253" s="2264"/>
      <c r="BZ253" s="275"/>
      <c r="CA253" s="1272"/>
      <c r="CB253" s="2098"/>
      <c r="CC253" s="275"/>
      <c r="CD253" s="275"/>
      <c r="CE253" s="275"/>
      <c r="CF253" s="275"/>
      <c r="CG253" s="275"/>
      <c r="CH253" s="1272"/>
      <c r="CI253" s="1272"/>
      <c r="CJ253" s="498"/>
      <c r="CK253" s="498"/>
      <c r="CL253" s="498"/>
      <c r="CM253" s="498"/>
      <c r="CN253" s="979"/>
    </row>
    <row r="254" spans="2:105" ht="18" x14ac:dyDescent="0.25">
      <c r="D254" s="332" t="s">
        <v>987</v>
      </c>
      <c r="E254" s="275"/>
      <c r="F254" s="666"/>
      <c r="G254" s="275"/>
      <c r="H254" s="275"/>
      <c r="I254" s="275"/>
      <c r="J254" s="275"/>
      <c r="K254" s="2264"/>
      <c r="L254" s="275"/>
      <c r="M254" s="275"/>
      <c r="N254" s="275"/>
      <c r="O254" s="666"/>
      <c r="P254" s="275"/>
      <c r="Q254" s="275"/>
      <c r="R254" s="275"/>
      <c r="S254" s="275"/>
      <c r="T254" s="275"/>
      <c r="U254" s="666"/>
      <c r="V254" s="275"/>
      <c r="W254" s="275"/>
      <c r="X254" s="275"/>
      <c r="Y254" s="275"/>
      <c r="Z254" s="275"/>
      <c r="AA254" s="275"/>
      <c r="AB254" s="275"/>
      <c r="AC254" s="2264"/>
      <c r="AD254" s="275"/>
      <c r="AE254" s="275"/>
      <c r="AF254" s="275"/>
      <c r="AG254" s="275"/>
      <c r="AH254" s="275"/>
      <c r="AI254" s="275"/>
      <c r="AJ254" s="2264"/>
      <c r="AK254" s="275"/>
      <c r="AL254" s="275"/>
      <c r="AM254" s="275">
        <f>i_Ca_PP*A_MCa/A_MP</f>
        <v>0.12939338702613273</v>
      </c>
      <c r="AN254" s="275"/>
      <c r="AO254" s="275"/>
      <c r="AP254" s="2264"/>
      <c r="AQ254" s="275"/>
      <c r="AR254" s="275"/>
      <c r="AS254" s="275"/>
      <c r="AT254" s="275"/>
      <c r="AU254" s="275"/>
      <c r="AV254" s="1272">
        <f>i_Ca_INORG</f>
        <v>0.05</v>
      </c>
      <c r="AW254" s="275"/>
      <c r="AX254" s="275"/>
      <c r="AY254" s="275">
        <v>1</v>
      </c>
      <c r="AZ254" s="275"/>
      <c r="BA254" s="275"/>
      <c r="BB254" s="275"/>
      <c r="BC254" s="275"/>
      <c r="BD254" s="275"/>
      <c r="BE254" s="275"/>
      <c r="BF254" s="275"/>
      <c r="BG254" s="275"/>
      <c r="BH254" s="275"/>
      <c r="BI254" s="275"/>
      <c r="BJ254" s="498"/>
      <c r="BK254" s="498"/>
      <c r="BL254" s="498"/>
      <c r="BM254" s="498"/>
      <c r="BN254" s="498"/>
      <c r="BO254" s="498"/>
      <c r="BP254" s="498"/>
      <c r="BQ254" s="275">
        <f>A_MCa/M_MCaCO3</f>
        <v>0.40043202457064814</v>
      </c>
      <c r="BR254" s="275">
        <f>3*A_MCa/M_MACP</f>
        <v>0.31455284127800509</v>
      </c>
      <c r="BS254" s="498">
        <f>A_MCa/M_MBSH</f>
        <v>0.2328926601076691</v>
      </c>
      <c r="BT254" s="275"/>
      <c r="BU254" s="275"/>
      <c r="BV254" s="2264"/>
      <c r="BW254" s="2264"/>
      <c r="BX254" s="2264"/>
      <c r="BY254" s="2264"/>
      <c r="BZ254" s="275"/>
      <c r="CA254" s="1272"/>
      <c r="CB254" s="2098"/>
      <c r="CC254" s="275"/>
      <c r="CD254" s="275"/>
      <c r="CE254" s="275"/>
      <c r="CF254" s="275"/>
      <c r="CG254" s="275"/>
      <c r="CH254" s="1272"/>
      <c r="CI254" s="1272"/>
      <c r="CJ254" s="498"/>
      <c r="CK254" s="498"/>
      <c r="CL254" s="498"/>
      <c r="CM254" s="498"/>
      <c r="CN254" s="979"/>
    </row>
    <row r="255" spans="2:105" ht="18" x14ac:dyDescent="0.25">
      <c r="D255" s="332" t="s">
        <v>988</v>
      </c>
      <c r="E255" s="275"/>
      <c r="F255" s="666"/>
      <c r="G255" s="275"/>
      <c r="H255" s="275"/>
      <c r="I255" s="275"/>
      <c r="J255" s="275"/>
      <c r="K255" s="2264"/>
      <c r="L255" s="275"/>
      <c r="M255" s="275"/>
      <c r="N255" s="275"/>
      <c r="O255" s="666"/>
      <c r="P255" s="275"/>
      <c r="Q255" s="275"/>
      <c r="R255" s="275"/>
      <c r="S255" s="275"/>
      <c r="T255" s="275"/>
      <c r="U255" s="666"/>
      <c r="V255" s="275"/>
      <c r="W255" s="275"/>
      <c r="X255" s="275"/>
      <c r="Y255" s="275"/>
      <c r="Z255" s="275"/>
      <c r="AA255" s="275"/>
      <c r="AB255" s="275"/>
      <c r="AC255" s="2264"/>
      <c r="AD255" s="275"/>
      <c r="AE255" s="275"/>
      <c r="AF255" s="275"/>
      <c r="AG255" s="275"/>
      <c r="AH255" s="275"/>
      <c r="AI255" s="275"/>
      <c r="AJ255" s="2264"/>
      <c r="AK255" s="275"/>
      <c r="AL255" s="275"/>
      <c r="AM255" s="275">
        <f>i_Mg_PP*A_MMg/A_MP</f>
        <v>0.27464374347136938</v>
      </c>
      <c r="AN255" s="275"/>
      <c r="AO255" s="275"/>
      <c r="AP255" s="2264"/>
      <c r="AQ255" s="275"/>
      <c r="AR255" s="275"/>
      <c r="AS255" s="275"/>
      <c r="AT255" s="275"/>
      <c r="AU255" s="275"/>
      <c r="AV255" s="1272">
        <f>i_Mg_INORG</f>
        <v>0.05</v>
      </c>
      <c r="AW255" s="275"/>
      <c r="AX255" s="275"/>
      <c r="AY255" s="275"/>
      <c r="AZ255" s="275">
        <v>1</v>
      </c>
      <c r="BA255" s="275"/>
      <c r="BB255" s="275"/>
      <c r="BC255" s="275"/>
      <c r="BD255" s="275"/>
      <c r="BE255" s="275"/>
      <c r="BF255" s="275"/>
      <c r="BG255" s="275"/>
      <c r="BH255" s="275"/>
      <c r="BI255" s="275"/>
      <c r="BJ255" s="498"/>
      <c r="BK255" s="498"/>
      <c r="BL255" s="498"/>
      <c r="BM255" s="498"/>
      <c r="BN255" s="498"/>
      <c r="BO255" s="498"/>
      <c r="BP255" s="498"/>
      <c r="BQ255" s="275"/>
      <c r="BR255" s="275"/>
      <c r="BS255" s="498"/>
      <c r="BT255" s="275">
        <f>A_MMg/M_MSTR</f>
        <v>9.9039755597804202E-2</v>
      </c>
      <c r="BU255" s="275"/>
      <c r="BV255" s="2264"/>
      <c r="BW255" s="2264"/>
      <c r="BX255" s="2264"/>
      <c r="BY255" s="2264"/>
      <c r="BZ255" s="275"/>
      <c r="CA255" s="1272"/>
      <c r="CB255" s="2098"/>
      <c r="CC255" s="275"/>
      <c r="CD255" s="275"/>
      <c r="CE255" s="275"/>
      <c r="CF255" s="275"/>
      <c r="CG255" s="275"/>
      <c r="CH255" s="1272"/>
      <c r="CI255" s="1272"/>
      <c r="CJ255" s="498"/>
      <c r="CK255" s="498"/>
      <c r="CL255" s="498"/>
      <c r="CM255" s="498"/>
      <c r="CN255" s="979"/>
    </row>
    <row r="256" spans="2:105" ht="18" x14ac:dyDescent="0.25">
      <c r="D256" s="332" t="s">
        <v>142</v>
      </c>
      <c r="E256" s="275"/>
      <c r="F256" s="666"/>
      <c r="G256" s="275"/>
      <c r="H256" s="275"/>
      <c r="I256" s="275"/>
      <c r="J256" s="275"/>
      <c r="K256" s="2264"/>
      <c r="L256" s="275"/>
      <c r="M256" s="275"/>
      <c r="N256" s="275"/>
      <c r="O256" s="666"/>
      <c r="P256" s="275"/>
      <c r="Q256" s="275"/>
      <c r="R256" s="275"/>
      <c r="S256" s="275"/>
      <c r="T256" s="275"/>
      <c r="U256" s="666"/>
      <c r="V256" s="275"/>
      <c r="W256" s="275"/>
      <c r="X256" s="275"/>
      <c r="Y256" s="275"/>
      <c r="Z256" s="275"/>
      <c r="AA256" s="275"/>
      <c r="AB256" s="275"/>
      <c r="AC256" s="2264"/>
      <c r="AD256" s="275"/>
      <c r="AE256" s="275"/>
      <c r="AF256" s="275"/>
      <c r="AG256" s="275"/>
      <c r="AH256" s="275"/>
      <c r="AI256" s="275"/>
      <c r="AJ256" s="2264"/>
      <c r="AK256" s="275"/>
      <c r="AL256" s="275"/>
      <c r="AM256" s="275"/>
      <c r="AN256" s="275"/>
      <c r="AO256" s="275"/>
      <c r="AP256" s="2264"/>
      <c r="AQ256" s="275"/>
      <c r="AR256" s="275"/>
      <c r="AS256" s="275"/>
      <c r="AT256" s="275"/>
      <c r="AU256" s="275"/>
      <c r="AV256" s="1272">
        <f>(i_Ca_INORG*(2*A_MCl)/A_MCa+i_Mg_INORG*(2*A_MCl)/A_MMg)+(1-i_Ca_INORG*(A_MCa+2*A_MCl)/A_MCa-i_Mg_INORG*(A_MMg+2*A_MCl)/A_MMg)*(1-f_Na)</f>
        <v>0.63814269470183216</v>
      </c>
      <c r="AW256" s="275"/>
      <c r="AX256" s="275">
        <v>1</v>
      </c>
      <c r="AY256" s="275"/>
      <c r="AZ256" s="275"/>
      <c r="BA256" s="275"/>
      <c r="BB256" s="275"/>
      <c r="BC256" s="275"/>
      <c r="BD256" s="275"/>
      <c r="BE256" s="275"/>
      <c r="BF256" s="275"/>
      <c r="BG256" s="275"/>
      <c r="BH256" s="275"/>
      <c r="BI256" s="275"/>
      <c r="BJ256" s="498"/>
      <c r="BK256" s="498"/>
      <c r="BL256" s="498"/>
      <c r="BM256" s="498"/>
      <c r="BN256" s="498"/>
      <c r="BO256" s="498"/>
      <c r="BP256" s="498"/>
      <c r="BQ256" s="275"/>
      <c r="BR256" s="275"/>
      <c r="BS256" s="498"/>
      <c r="BT256" s="275"/>
      <c r="BU256" s="275"/>
      <c r="BV256" s="2264"/>
      <c r="BW256" s="2264"/>
      <c r="BX256" s="2264"/>
      <c r="BY256" s="2264"/>
      <c r="BZ256" s="275"/>
      <c r="CA256" s="1272"/>
      <c r="CB256" s="2098"/>
      <c r="CC256" s="275"/>
      <c r="CD256" s="275"/>
      <c r="CE256" s="275"/>
      <c r="CF256" s="275"/>
      <c r="CG256" s="275"/>
      <c r="CH256" s="1272"/>
      <c r="CI256" s="1272"/>
      <c r="CJ256" s="498"/>
      <c r="CK256" s="498"/>
      <c r="CL256" s="498"/>
      <c r="CM256" s="498"/>
      <c r="CN256" s="979"/>
    </row>
    <row r="257" spans="4:92" ht="18" x14ac:dyDescent="0.25">
      <c r="D257" s="332" t="s">
        <v>2934</v>
      </c>
      <c r="E257" s="275"/>
      <c r="F257" s="666"/>
      <c r="G257" s="275"/>
      <c r="H257" s="275"/>
      <c r="I257" s="275"/>
      <c r="J257" s="275"/>
      <c r="K257" s="2264"/>
      <c r="L257" s="275"/>
      <c r="M257" s="275"/>
      <c r="N257" s="275"/>
      <c r="O257" s="666"/>
      <c r="P257" s="275"/>
      <c r="Q257" s="275"/>
      <c r="R257" s="275"/>
      <c r="S257" s="275"/>
      <c r="T257" s="275"/>
      <c r="U257" s="666"/>
      <c r="V257" s="275"/>
      <c r="W257" s="275"/>
      <c r="X257" s="275"/>
      <c r="Y257" s="275"/>
      <c r="Z257" s="275"/>
      <c r="AA257" s="275"/>
      <c r="AB257" s="275"/>
      <c r="AC257" s="2264"/>
      <c r="AD257" s="275"/>
      <c r="AE257" s="275"/>
      <c r="AF257" s="275"/>
      <c r="AG257" s="275"/>
      <c r="AH257" s="275"/>
      <c r="AI257" s="275"/>
      <c r="AJ257" s="2264"/>
      <c r="AK257" s="275"/>
      <c r="AL257" s="275"/>
      <c r="AM257" s="275"/>
      <c r="AN257" s="275"/>
      <c r="AO257" s="275"/>
      <c r="AP257" s="2264"/>
      <c r="AQ257" s="275"/>
      <c r="AR257" s="275"/>
      <c r="AS257" s="275"/>
      <c r="AT257" s="275"/>
      <c r="AU257" s="275"/>
      <c r="AV257" s="275"/>
      <c r="AW257" s="275"/>
      <c r="AX257" s="275"/>
      <c r="AY257" s="275"/>
      <c r="AZ257" s="275"/>
      <c r="BA257" s="275"/>
      <c r="BB257" s="275">
        <v>1</v>
      </c>
      <c r="BC257" s="275">
        <v>1</v>
      </c>
      <c r="BD257" s="275">
        <v>1</v>
      </c>
      <c r="BE257" s="275">
        <v>1</v>
      </c>
      <c r="BF257" s="275">
        <v>1</v>
      </c>
      <c r="BG257" s="275">
        <v>1</v>
      </c>
      <c r="BH257" s="275">
        <v>1</v>
      </c>
      <c r="BI257" s="275">
        <v>1</v>
      </c>
      <c r="BJ257" s="498"/>
      <c r="BK257" s="498"/>
      <c r="BL257" s="498"/>
      <c r="BM257" s="498"/>
      <c r="BN257" s="498"/>
      <c r="BO257" s="498"/>
      <c r="BP257" s="498"/>
      <c r="BQ257" s="275"/>
      <c r="BR257" s="275"/>
      <c r="BS257" s="498"/>
      <c r="BT257" s="275"/>
      <c r="BU257" s="275">
        <f>3*A_MFe/M_MVivi</f>
        <v>0.33400121987727954</v>
      </c>
      <c r="BV257" s="2264"/>
      <c r="BW257" s="2264"/>
      <c r="BX257" s="2264"/>
      <c r="BY257" s="2264"/>
      <c r="BZ257" s="275"/>
      <c r="CA257" s="1272"/>
      <c r="CB257" s="2098"/>
      <c r="CC257" s="275"/>
      <c r="CD257" s="275"/>
      <c r="CE257" s="275"/>
      <c r="CF257" s="275"/>
      <c r="CG257" s="275"/>
      <c r="CH257" s="1272"/>
      <c r="CI257" s="1272"/>
      <c r="CJ257" s="498"/>
      <c r="CK257" s="498"/>
      <c r="CL257" s="498"/>
      <c r="CM257" s="498"/>
      <c r="CN257" s="979"/>
    </row>
    <row r="258" spans="4:92" ht="15.75" thickBot="1" x14ac:dyDescent="0.3">
      <c r="D258" s="333" t="s">
        <v>2935</v>
      </c>
      <c r="E258" s="334"/>
      <c r="F258" s="667"/>
      <c r="G258" s="334"/>
      <c r="H258" s="334"/>
      <c r="I258" s="334"/>
      <c r="J258" s="334"/>
      <c r="K258" s="2265"/>
      <c r="L258" s="334"/>
      <c r="M258" s="334"/>
      <c r="N258" s="334"/>
      <c r="O258" s="667"/>
      <c r="P258" s="334"/>
      <c r="Q258" s="334"/>
      <c r="R258" s="334"/>
      <c r="S258" s="334"/>
      <c r="T258" s="334"/>
      <c r="U258" s="667"/>
      <c r="V258" s="334"/>
      <c r="W258" s="334"/>
      <c r="X258" s="334"/>
      <c r="Y258" s="334"/>
      <c r="Z258" s="334"/>
      <c r="AA258" s="334"/>
      <c r="AB258" s="334"/>
      <c r="AC258" s="2265"/>
      <c r="AD258" s="334"/>
      <c r="AE258" s="334"/>
      <c r="AF258" s="334"/>
      <c r="AG258" s="334"/>
      <c r="AH258" s="334"/>
      <c r="AI258" s="334"/>
      <c r="AJ258" s="2265"/>
      <c r="AK258" s="334"/>
      <c r="AL258" s="334"/>
      <c r="AM258" s="334"/>
      <c r="AN258" s="334"/>
      <c r="AO258" s="334"/>
      <c r="AP258" s="2265"/>
      <c r="AQ258" s="334"/>
      <c r="AR258" s="334"/>
      <c r="AS258" s="334"/>
      <c r="AT258" s="334"/>
      <c r="AU258" s="334"/>
      <c r="AV258" s="334"/>
      <c r="AW258" s="334"/>
      <c r="AX258" s="334"/>
      <c r="AY258" s="334"/>
      <c r="AZ258" s="334"/>
      <c r="BA258" s="334"/>
      <c r="BB258" s="335"/>
      <c r="BC258" s="334"/>
      <c r="BD258" s="334"/>
      <c r="BE258" s="335"/>
      <c r="BF258" s="335"/>
      <c r="BG258" s="334"/>
      <c r="BH258" s="335"/>
      <c r="BI258" s="335"/>
      <c r="BJ258" s="1407">
        <v>1</v>
      </c>
      <c r="BK258" s="1407">
        <v>1</v>
      </c>
      <c r="BL258" s="1273">
        <v>1</v>
      </c>
      <c r="BM258" s="1273">
        <v>1</v>
      </c>
      <c r="BN258" s="1407">
        <v>1</v>
      </c>
      <c r="BO258" s="1273">
        <v>1</v>
      </c>
      <c r="BP258" s="1273">
        <v>1</v>
      </c>
      <c r="BQ258" s="335"/>
      <c r="BR258" s="335"/>
      <c r="BS258" s="1273"/>
      <c r="BT258" s="334"/>
      <c r="BU258" s="335"/>
      <c r="BV258" s="2505"/>
      <c r="BW258" s="2505"/>
      <c r="BX258" s="2505"/>
      <c r="BY258" s="2505"/>
      <c r="BZ258" s="335"/>
      <c r="CA258" s="1273"/>
      <c r="CB258" s="2099"/>
      <c r="CC258" s="334"/>
      <c r="CD258" s="334"/>
      <c r="CE258" s="334"/>
      <c r="CF258" s="334"/>
      <c r="CG258" s="334"/>
      <c r="CH258" s="1407"/>
      <c r="CI258" s="1407"/>
      <c r="CJ258" s="667"/>
      <c r="CK258" s="667"/>
      <c r="CL258" s="667"/>
      <c r="CM258" s="667"/>
      <c r="CN258" s="372"/>
    </row>
  </sheetData>
  <phoneticPr fontId="33" type="noConversion"/>
  <pageMargins left="0.7" right="0.7" top="0.75" bottom="0.75" header="0.3" footer="0.3"/>
  <pageSetup orientation="portrait" r:id="rId1"/>
  <ignoredErrors>
    <ignoredError sqref="BB87" numberStoredAsText="1"/>
  </ignoredErrors>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Munka4"/>
  <dimension ref="A1:AF46"/>
  <sheetViews>
    <sheetView showGridLines="0" zoomScaleNormal="100" workbookViewId="0">
      <pane xSplit="3" ySplit="3" topLeftCell="D4" activePane="bottomRight" state="frozen"/>
      <selection activeCell="E8" sqref="E8"/>
      <selection pane="topRight" activeCell="E8" sqref="E8"/>
      <selection pane="bottomLeft" activeCell="E8" sqref="E8"/>
      <selection pane="bottomRight" activeCell="B43" sqref="B43:AF46"/>
    </sheetView>
  </sheetViews>
  <sheetFormatPr baseColWidth="10" defaultColWidth="9.28515625" defaultRowHeight="15" x14ac:dyDescent="0.25"/>
  <cols>
    <col min="1" max="1" width="6" customWidth="1"/>
    <col min="2" max="2" width="17.7109375" bestFit="1" customWidth="1"/>
    <col min="3" max="3" width="34.7109375" customWidth="1"/>
    <col min="4" max="4" width="20.28515625" bestFit="1" customWidth="1"/>
    <col min="5" max="5" width="9.7109375" bestFit="1" customWidth="1"/>
    <col min="6" max="6" width="34" customWidth="1"/>
    <col min="7" max="7" width="32.7109375" bestFit="1" customWidth="1"/>
    <col min="8" max="9" width="32.7109375" customWidth="1"/>
    <col min="10" max="10" width="16" bestFit="1" customWidth="1"/>
    <col min="11" max="11" width="48.28515625" bestFit="1" customWidth="1"/>
    <col min="12" max="12" width="49.7109375" bestFit="1" customWidth="1"/>
    <col min="13" max="13" width="49" bestFit="1" customWidth="1"/>
    <col min="14" max="14" width="63.7109375" bestFit="1" customWidth="1"/>
    <col min="15" max="15" width="67.28515625" bestFit="1" customWidth="1"/>
    <col min="16" max="16" width="69" bestFit="1" customWidth="1"/>
    <col min="17" max="17" width="68.28515625" bestFit="1" customWidth="1"/>
    <col min="18" max="18" width="35.7109375" customWidth="1"/>
    <col min="19" max="19" width="36.28515625" customWidth="1"/>
    <col min="20" max="20" width="20.28515625" customWidth="1"/>
    <col min="21" max="21" width="19.28515625" customWidth="1"/>
    <col min="22" max="22" width="16.7109375" customWidth="1"/>
    <col min="23" max="24" width="15.28515625" bestFit="1" customWidth="1"/>
    <col min="25" max="25" width="20.28515625" customWidth="1"/>
    <col min="26" max="26" width="15.7109375" customWidth="1"/>
    <col min="27" max="27" width="7" bestFit="1" customWidth="1"/>
    <col min="28" max="28" width="9" bestFit="1" customWidth="1"/>
    <col min="29" max="29" width="5" bestFit="1" customWidth="1"/>
    <col min="30" max="30" width="18.28515625" bestFit="1" customWidth="1"/>
  </cols>
  <sheetData>
    <row r="1" spans="1:30" s="47" customFormat="1" ht="48" customHeight="1" thickBot="1" x14ac:dyDescent="0.3">
      <c r="A1" s="49"/>
    </row>
    <row r="2" spans="1:30" ht="21" customHeight="1" thickBot="1" x14ac:dyDescent="0.3">
      <c r="A2" t="s">
        <v>1122</v>
      </c>
      <c r="C2" s="55" t="s">
        <v>4</v>
      </c>
      <c r="D2" s="129" t="s">
        <v>321</v>
      </c>
      <c r="J2" s="1"/>
      <c r="K2" s="1"/>
    </row>
    <row r="3" spans="1:30" s="8" customFormat="1" ht="18.75" thickBot="1" x14ac:dyDescent="0.3">
      <c r="B3" s="745" t="s">
        <v>0</v>
      </c>
      <c r="C3" s="744" t="s">
        <v>1</v>
      </c>
      <c r="D3" s="901" t="s">
        <v>399</v>
      </c>
      <c r="E3" s="901" t="s">
        <v>401</v>
      </c>
      <c r="F3" s="901" t="s">
        <v>403</v>
      </c>
      <c r="G3" s="901" t="s">
        <v>405</v>
      </c>
      <c r="H3" s="903" t="s">
        <v>2177</v>
      </c>
      <c r="I3" s="903" t="s">
        <v>2179</v>
      </c>
      <c r="J3" s="901" t="s">
        <v>426</v>
      </c>
      <c r="K3" s="901" t="s">
        <v>407</v>
      </c>
      <c r="L3" s="901" t="s">
        <v>409</v>
      </c>
      <c r="M3" s="901" t="s">
        <v>411</v>
      </c>
      <c r="N3" s="901" t="s">
        <v>413</v>
      </c>
      <c r="O3" s="901" t="s">
        <v>415</v>
      </c>
      <c r="P3" s="901" t="s">
        <v>417</v>
      </c>
      <c r="Q3" s="901" t="s">
        <v>419</v>
      </c>
      <c r="R3" s="901" t="s">
        <v>421</v>
      </c>
      <c r="S3" s="901" t="s">
        <v>423</v>
      </c>
      <c r="T3" s="901" t="s">
        <v>995</v>
      </c>
      <c r="U3" s="901" t="s">
        <v>996</v>
      </c>
      <c r="V3" s="901" t="s">
        <v>1252</v>
      </c>
      <c r="W3" s="904" t="s">
        <v>1054</v>
      </c>
      <c r="X3" s="904" t="s">
        <v>1251</v>
      </c>
      <c r="Y3" s="904" t="s">
        <v>1056</v>
      </c>
      <c r="Z3" s="390" t="s">
        <v>152</v>
      </c>
      <c r="AA3" s="390" t="s">
        <v>2</v>
      </c>
      <c r="AB3" s="390" t="s">
        <v>302</v>
      </c>
      <c r="AC3" s="390" t="s">
        <v>116</v>
      </c>
      <c r="AD3" s="391" t="s">
        <v>117</v>
      </c>
    </row>
    <row r="4" spans="1:30" ht="18.75" x14ac:dyDescent="0.25">
      <c r="B4" s="315" t="s">
        <v>427</v>
      </c>
      <c r="C4" s="309" t="s">
        <v>310</v>
      </c>
      <c r="D4" s="309" t="s">
        <v>311</v>
      </c>
      <c r="E4" s="309" t="s">
        <v>428</v>
      </c>
      <c r="F4" s="309"/>
      <c r="G4" s="309"/>
      <c r="H4" s="518"/>
      <c r="I4" s="518"/>
      <c r="J4" s="309"/>
      <c r="K4" s="309"/>
      <c r="L4" s="309"/>
      <c r="M4" s="309"/>
      <c r="N4" s="309"/>
      <c r="O4" s="309"/>
      <c r="P4" s="309"/>
      <c r="Q4" s="309"/>
      <c r="R4" s="309"/>
      <c r="S4" s="309"/>
      <c r="T4" s="309"/>
      <c r="U4" s="309"/>
      <c r="V4" s="309"/>
      <c r="W4" s="309"/>
      <c r="X4" s="309"/>
      <c r="Y4" s="309"/>
      <c r="Z4" s="310"/>
      <c r="AA4" s="308" t="s">
        <v>844</v>
      </c>
      <c r="AB4" s="310"/>
      <c r="AC4" s="310" t="s">
        <v>11</v>
      </c>
      <c r="AD4" s="316"/>
    </row>
    <row r="5" spans="1:30" ht="21" customHeight="1" x14ac:dyDescent="0.25">
      <c r="B5" s="561" t="s">
        <v>2421</v>
      </c>
      <c r="C5" s="305" t="s">
        <v>312</v>
      </c>
      <c r="D5" s="305"/>
      <c r="E5" s="305"/>
      <c r="F5" s="305" t="s">
        <v>2417</v>
      </c>
      <c r="G5" s="305" t="s">
        <v>2418</v>
      </c>
      <c r="H5" s="305"/>
      <c r="I5" s="305"/>
      <c r="J5" s="305"/>
      <c r="K5" s="305"/>
      <c r="L5" s="305"/>
      <c r="M5" s="305"/>
      <c r="N5" s="305"/>
      <c r="O5" s="305"/>
      <c r="P5" s="305"/>
      <c r="Q5" s="305"/>
      <c r="R5" s="305"/>
      <c r="S5" s="305"/>
      <c r="T5" s="305"/>
      <c r="U5" s="305"/>
      <c r="V5" s="305"/>
      <c r="W5" s="305"/>
      <c r="X5" s="305"/>
      <c r="Y5" s="305"/>
      <c r="Z5" s="306"/>
      <c r="AA5" s="304" t="s">
        <v>844</v>
      </c>
      <c r="AB5" s="306"/>
      <c r="AC5" s="310" t="s">
        <v>11</v>
      </c>
      <c r="AD5" s="393"/>
    </row>
    <row r="6" spans="1:30" ht="21" customHeight="1" x14ac:dyDescent="0.25">
      <c r="B6" s="392" t="s">
        <v>2181</v>
      </c>
      <c r="C6" s="305" t="s">
        <v>760</v>
      </c>
      <c r="D6" s="305"/>
      <c r="E6" s="305"/>
      <c r="F6" s="305"/>
      <c r="G6" s="305"/>
      <c r="H6" s="305" t="s">
        <v>2415</v>
      </c>
      <c r="I6" s="305" t="s">
        <v>2416</v>
      </c>
      <c r="J6" s="305"/>
      <c r="K6" s="305"/>
      <c r="L6" s="305"/>
      <c r="M6" s="305"/>
      <c r="N6" s="305"/>
      <c r="O6" s="305"/>
      <c r="P6" s="305"/>
      <c r="Q6" s="305"/>
      <c r="R6" s="305"/>
      <c r="S6" s="305"/>
      <c r="T6" s="305"/>
      <c r="U6" s="305"/>
      <c r="V6" s="305"/>
      <c r="W6" s="305"/>
      <c r="X6" s="305"/>
      <c r="Y6" s="305"/>
      <c r="Z6" s="306"/>
      <c r="AA6" s="304" t="s">
        <v>844</v>
      </c>
      <c r="AB6" s="306"/>
      <c r="AC6" s="310" t="s">
        <v>11</v>
      </c>
      <c r="AD6" s="393"/>
    </row>
    <row r="7" spans="1:30" ht="21" customHeight="1" x14ac:dyDescent="0.25">
      <c r="B7" s="392" t="s">
        <v>1105</v>
      </c>
      <c r="C7" s="305" t="s">
        <v>313</v>
      </c>
      <c r="D7" s="305"/>
      <c r="E7" s="305"/>
      <c r="F7" s="305"/>
      <c r="G7" s="305"/>
      <c r="H7" s="305"/>
      <c r="I7" s="305"/>
      <c r="J7" s="305" t="s">
        <v>3631</v>
      </c>
      <c r="K7" s="305"/>
      <c r="L7" s="305"/>
      <c r="M7" s="305"/>
      <c r="N7" s="305"/>
      <c r="O7" s="305"/>
      <c r="P7" s="305"/>
      <c r="Q7" s="305"/>
      <c r="R7" s="305"/>
      <c r="S7" s="305"/>
      <c r="T7" s="305"/>
      <c r="U7" s="305"/>
      <c r="V7" s="305"/>
      <c r="W7" s="305"/>
      <c r="X7" s="305"/>
      <c r="Y7" s="305"/>
      <c r="Z7" s="306"/>
      <c r="AA7" s="304" t="s">
        <v>844</v>
      </c>
      <c r="AB7" s="306"/>
      <c r="AC7" s="310" t="s">
        <v>11</v>
      </c>
      <c r="AD7" s="393"/>
    </row>
    <row r="8" spans="1:30" ht="21" customHeight="1" x14ac:dyDescent="0.25">
      <c r="B8" s="392" t="s">
        <v>429</v>
      </c>
      <c r="C8" s="305" t="s">
        <v>316</v>
      </c>
      <c r="D8" s="305"/>
      <c r="E8" s="305"/>
      <c r="F8" s="305"/>
      <c r="G8" s="305"/>
      <c r="H8" s="305"/>
      <c r="I8" s="305"/>
      <c r="J8" s="305"/>
      <c r="K8" s="305" t="s">
        <v>2414</v>
      </c>
      <c r="L8" s="305" t="s">
        <v>2419</v>
      </c>
      <c r="M8" s="305" t="s">
        <v>2420</v>
      </c>
      <c r="N8" s="305"/>
      <c r="O8" s="305"/>
      <c r="P8" s="305"/>
      <c r="Q8" s="305"/>
      <c r="R8" s="305"/>
      <c r="S8" s="305"/>
      <c r="T8" s="305"/>
      <c r="U8" s="305"/>
      <c r="V8" s="305"/>
      <c r="W8" s="305"/>
      <c r="X8" s="305"/>
      <c r="Y8" s="305"/>
      <c r="Z8" s="306"/>
      <c r="AA8" s="304" t="s">
        <v>844</v>
      </c>
      <c r="AB8" s="306"/>
      <c r="AC8" s="310" t="s">
        <v>11</v>
      </c>
      <c r="AD8" s="393"/>
    </row>
    <row r="9" spans="1:30" ht="21" customHeight="1" x14ac:dyDescent="0.25">
      <c r="B9" s="392" t="s">
        <v>430</v>
      </c>
      <c r="C9" s="305" t="s">
        <v>317</v>
      </c>
      <c r="D9" s="305"/>
      <c r="E9" s="305"/>
      <c r="F9" s="305"/>
      <c r="G9" s="305"/>
      <c r="H9" s="305"/>
      <c r="I9" s="305"/>
      <c r="J9" s="305"/>
      <c r="K9" s="305"/>
      <c r="L9" s="305"/>
      <c r="M9" s="305"/>
      <c r="N9" s="305" t="s">
        <v>431</v>
      </c>
      <c r="O9" s="305" t="s">
        <v>432</v>
      </c>
      <c r="P9" s="305" t="s">
        <v>433</v>
      </c>
      <c r="Q9" s="305" t="s">
        <v>434</v>
      </c>
      <c r="R9" s="305"/>
      <c r="S9" s="305"/>
      <c r="T9" s="305"/>
      <c r="U9" s="305"/>
      <c r="V9" s="305"/>
      <c r="W9" s="305"/>
      <c r="X9" s="305"/>
      <c r="Y9" s="305"/>
      <c r="Z9" s="306"/>
      <c r="AA9" s="304" t="s">
        <v>844</v>
      </c>
      <c r="AB9" s="306"/>
      <c r="AC9" s="310" t="s">
        <v>11</v>
      </c>
      <c r="AD9" s="393"/>
    </row>
    <row r="10" spans="1:30" ht="21" customHeight="1" x14ac:dyDescent="0.25">
      <c r="B10" s="392" t="s">
        <v>435</v>
      </c>
      <c r="C10" s="305" t="s">
        <v>318</v>
      </c>
      <c r="D10" s="305"/>
      <c r="E10" s="305"/>
      <c r="F10" s="305"/>
      <c r="G10" s="305"/>
      <c r="H10" s="305"/>
      <c r="I10" s="305"/>
      <c r="J10" s="305"/>
      <c r="K10" s="305"/>
      <c r="L10" s="305"/>
      <c r="M10" s="305"/>
      <c r="N10" s="305"/>
      <c r="O10" s="305"/>
      <c r="P10" s="305"/>
      <c r="Q10" s="305"/>
      <c r="R10" s="305" t="s">
        <v>2831</v>
      </c>
      <c r="S10" s="305" t="s">
        <v>2832</v>
      </c>
      <c r="T10" s="305"/>
      <c r="U10" s="305"/>
      <c r="V10" s="305"/>
      <c r="W10" s="305"/>
      <c r="X10" s="305"/>
      <c r="Y10" s="305"/>
      <c r="Z10" s="306"/>
      <c r="AA10" s="304" t="s">
        <v>844</v>
      </c>
      <c r="AB10" s="306"/>
      <c r="AC10" s="310" t="s">
        <v>11</v>
      </c>
      <c r="AD10" s="393"/>
    </row>
    <row r="11" spans="1:30" ht="21" customHeight="1" x14ac:dyDescent="0.25">
      <c r="B11" s="392" t="s">
        <v>989</v>
      </c>
      <c r="C11" s="305" t="s">
        <v>991</v>
      </c>
      <c r="D11" s="305"/>
      <c r="E11" s="305"/>
      <c r="F11" s="305"/>
      <c r="G11" s="305"/>
      <c r="H11" s="305"/>
      <c r="I11" s="305"/>
      <c r="J11" s="305"/>
      <c r="K11" s="305"/>
      <c r="L11" s="305"/>
      <c r="M11" s="305"/>
      <c r="N11" s="305"/>
      <c r="O11" s="305"/>
      <c r="P11" s="305"/>
      <c r="Q11" s="305"/>
      <c r="R11" s="305"/>
      <c r="S11" s="305"/>
      <c r="T11" s="305" t="s">
        <v>993</v>
      </c>
      <c r="U11" s="305"/>
      <c r="V11" s="305"/>
      <c r="W11" s="305"/>
      <c r="X11" s="305"/>
      <c r="Y11" s="305"/>
      <c r="Z11" s="306"/>
      <c r="AA11" s="304" t="s">
        <v>845</v>
      </c>
      <c r="AB11" s="306"/>
      <c r="AC11" s="310" t="s">
        <v>11</v>
      </c>
      <c r="AD11" s="393"/>
    </row>
    <row r="12" spans="1:30" ht="21" customHeight="1" x14ac:dyDescent="0.25">
      <c r="B12" s="392" t="s">
        <v>990</v>
      </c>
      <c r="C12" s="305" t="s">
        <v>992</v>
      </c>
      <c r="D12" s="305"/>
      <c r="E12" s="305"/>
      <c r="F12" s="305"/>
      <c r="G12" s="305"/>
      <c r="H12" s="305"/>
      <c r="I12" s="305"/>
      <c r="J12" s="305"/>
      <c r="K12" s="305"/>
      <c r="L12" s="305"/>
      <c r="M12" s="305"/>
      <c r="N12" s="305"/>
      <c r="O12" s="305"/>
      <c r="P12" s="305"/>
      <c r="Q12" s="305"/>
      <c r="R12" s="305"/>
      <c r="S12" s="305"/>
      <c r="T12" s="305"/>
      <c r="U12" s="305" t="s">
        <v>994</v>
      </c>
      <c r="V12" s="305"/>
      <c r="W12" s="305"/>
      <c r="X12" s="305"/>
      <c r="Y12" s="305"/>
      <c r="Z12" s="306"/>
      <c r="AA12" s="304" t="s">
        <v>845</v>
      </c>
      <c r="AB12" s="306"/>
      <c r="AC12" s="310" t="s">
        <v>11</v>
      </c>
      <c r="AD12" s="393"/>
    </row>
    <row r="13" spans="1:30" ht="21" customHeight="1" x14ac:dyDescent="0.25">
      <c r="B13" s="392" t="s">
        <v>436</v>
      </c>
      <c r="C13" s="305" t="s">
        <v>314</v>
      </c>
      <c r="D13" s="305"/>
      <c r="E13" s="305"/>
      <c r="F13" s="305"/>
      <c r="G13" s="305"/>
      <c r="H13" s="305"/>
      <c r="I13" s="305"/>
      <c r="J13" s="305"/>
      <c r="K13" s="305"/>
      <c r="L13" s="305"/>
      <c r="M13" s="305"/>
      <c r="N13" s="304"/>
      <c r="O13" s="305"/>
      <c r="P13" s="305"/>
      <c r="Q13" s="305"/>
      <c r="R13" s="305"/>
      <c r="S13" s="305"/>
      <c r="T13" s="305"/>
      <c r="U13" s="305"/>
      <c r="V13" s="305" t="s">
        <v>1162</v>
      </c>
      <c r="W13" s="305"/>
      <c r="X13" s="305"/>
      <c r="Y13" s="305"/>
      <c r="Z13" s="306"/>
      <c r="AA13" s="304" t="s">
        <v>845</v>
      </c>
      <c r="AB13" s="306"/>
      <c r="AC13" s="310" t="s">
        <v>11</v>
      </c>
      <c r="AD13" s="393"/>
    </row>
    <row r="14" spans="1:30" ht="18" x14ac:dyDescent="0.25">
      <c r="B14" s="392" t="s">
        <v>1104</v>
      </c>
      <c r="C14" s="305" t="s">
        <v>1106</v>
      </c>
      <c r="D14" s="305"/>
      <c r="E14" s="305"/>
      <c r="F14" s="305"/>
      <c r="G14" s="305"/>
      <c r="H14" s="305"/>
      <c r="I14" s="305"/>
      <c r="J14" s="305"/>
      <c r="K14" s="305"/>
      <c r="L14" s="305"/>
      <c r="M14" s="305"/>
      <c r="N14" s="304"/>
      <c r="O14" s="305"/>
      <c r="P14" s="305"/>
      <c r="Q14" s="305"/>
      <c r="R14" s="305"/>
      <c r="S14" s="305"/>
      <c r="T14" s="305"/>
      <c r="U14" s="305"/>
      <c r="V14" s="305"/>
      <c r="W14" s="305" t="s">
        <v>1103</v>
      </c>
      <c r="X14" s="305"/>
      <c r="Y14" s="305"/>
      <c r="Z14" s="306"/>
      <c r="AA14" s="304" t="s">
        <v>845</v>
      </c>
      <c r="AB14" s="306"/>
      <c r="AC14" s="310" t="s">
        <v>11</v>
      </c>
      <c r="AD14" s="393"/>
    </row>
    <row r="15" spans="1:30" ht="18" x14ac:dyDescent="0.25">
      <c r="B15" s="392" t="s">
        <v>437</v>
      </c>
      <c r="C15" s="305" t="s">
        <v>315</v>
      </c>
      <c r="D15" s="305"/>
      <c r="E15" s="305"/>
      <c r="F15" s="305"/>
      <c r="G15" s="305"/>
      <c r="H15" s="305"/>
      <c r="I15" s="305"/>
      <c r="J15" s="305"/>
      <c r="K15" s="305"/>
      <c r="L15" s="305"/>
      <c r="M15" s="305"/>
      <c r="N15" s="305"/>
      <c r="O15" s="305"/>
      <c r="P15" s="305"/>
      <c r="Q15" s="305"/>
      <c r="R15" s="305"/>
      <c r="S15" s="305"/>
      <c r="T15" s="305"/>
      <c r="U15" s="305"/>
      <c r="V15" s="305"/>
      <c r="W15" s="307"/>
      <c r="X15" s="305" t="s">
        <v>1163</v>
      </c>
      <c r="Y15" s="305"/>
      <c r="Z15" s="306"/>
      <c r="AA15" s="304" t="s">
        <v>845</v>
      </c>
      <c r="AB15" s="306"/>
      <c r="AC15" s="310" t="s">
        <v>11</v>
      </c>
      <c r="AD15" s="393"/>
    </row>
    <row r="16" spans="1:30" ht="18.75" thickBot="1" x14ac:dyDescent="0.3">
      <c r="B16" s="317" t="s">
        <v>1107</v>
      </c>
      <c r="C16" s="318" t="s">
        <v>1974</v>
      </c>
      <c r="D16" s="318"/>
      <c r="E16" s="318"/>
      <c r="F16" s="318"/>
      <c r="G16" s="318"/>
      <c r="H16" s="318"/>
      <c r="I16" s="318"/>
      <c r="J16" s="318"/>
      <c r="K16" s="318"/>
      <c r="L16" s="318"/>
      <c r="M16" s="318"/>
      <c r="N16" s="318"/>
      <c r="O16" s="318"/>
      <c r="P16" s="318"/>
      <c r="Q16" s="318"/>
      <c r="R16" s="318"/>
      <c r="S16" s="318"/>
      <c r="T16" s="318"/>
      <c r="U16" s="318"/>
      <c r="V16" s="318"/>
      <c r="W16" s="318"/>
      <c r="X16" s="318"/>
      <c r="Y16" s="318" t="s">
        <v>1612</v>
      </c>
      <c r="Z16" s="319"/>
      <c r="AA16" s="394" t="s">
        <v>845</v>
      </c>
      <c r="AB16" s="319"/>
      <c r="AC16" s="395" t="s">
        <v>11</v>
      </c>
      <c r="AD16" s="320"/>
    </row>
    <row r="17" spans="2:32" ht="15.75" thickBot="1" x14ac:dyDescent="0.3">
      <c r="B17" s="116"/>
      <c r="C17" s="133"/>
      <c r="D17" s="133"/>
      <c r="E17" s="133"/>
      <c r="F17" s="133"/>
      <c r="G17" s="133"/>
      <c r="H17" s="133"/>
      <c r="I17" s="133"/>
      <c r="J17" s="133"/>
      <c r="K17" s="133"/>
      <c r="L17" s="133"/>
      <c r="M17" s="133"/>
      <c r="N17" s="133"/>
      <c r="O17" s="133"/>
      <c r="P17" s="86"/>
      <c r="Q17" s="133"/>
      <c r="R17" s="133"/>
      <c r="S17" s="133"/>
      <c r="T17" s="133"/>
      <c r="U17" s="133"/>
      <c r="V17" s="133"/>
      <c r="W17" s="133"/>
      <c r="X17" s="133"/>
      <c r="Y17" s="133"/>
      <c r="Z17" s="80"/>
      <c r="AA17" s="116"/>
      <c r="AB17" s="80"/>
      <c r="AC17" s="80"/>
      <c r="AD17" s="80"/>
    </row>
    <row r="18" spans="2:32" ht="22.5" customHeight="1" thickBot="1" x14ac:dyDescent="0.3">
      <c r="B18" s="3"/>
      <c r="C18" s="134" t="s">
        <v>396</v>
      </c>
      <c r="D18" s="129" t="s">
        <v>1219</v>
      </c>
      <c r="E18" s="381"/>
      <c r="F18" s="381"/>
      <c r="G18" s="381"/>
      <c r="H18" s="381"/>
      <c r="I18" s="381"/>
      <c r="J18" s="381"/>
      <c r="K18" s="381"/>
      <c r="L18" s="381"/>
      <c r="M18" s="381"/>
      <c r="N18" s="381"/>
      <c r="O18" s="381"/>
      <c r="P18" s="381"/>
      <c r="Q18" s="381"/>
      <c r="R18" s="381"/>
      <c r="S18" s="381"/>
      <c r="T18" s="381"/>
      <c r="U18" s="381"/>
      <c r="V18" s="381"/>
      <c r="W18" s="382"/>
      <c r="X18" s="382"/>
      <c r="Y18" s="382"/>
    </row>
    <row r="19" spans="2:32" ht="22.5" customHeight="1" thickBot="1" x14ac:dyDescent="0.3">
      <c r="B19" s="311" t="s">
        <v>0</v>
      </c>
      <c r="C19" s="312" t="s">
        <v>1</v>
      </c>
      <c r="D19" s="902" t="s">
        <v>399</v>
      </c>
      <c r="E19" s="902" t="s">
        <v>401</v>
      </c>
      <c r="F19" s="902" t="s">
        <v>403</v>
      </c>
      <c r="G19" s="902" t="s">
        <v>405</v>
      </c>
      <c r="H19" s="903" t="s">
        <v>2177</v>
      </c>
      <c r="I19" s="903" t="s">
        <v>2179</v>
      </c>
      <c r="J19" s="902" t="s">
        <v>426</v>
      </c>
      <c r="K19" s="902" t="s">
        <v>407</v>
      </c>
      <c r="L19" s="902" t="s">
        <v>409</v>
      </c>
      <c r="M19" s="902" t="s">
        <v>411</v>
      </c>
      <c r="N19" s="902" t="s">
        <v>413</v>
      </c>
      <c r="O19" s="902" t="s">
        <v>415</v>
      </c>
      <c r="P19" s="902" t="s">
        <v>417</v>
      </c>
      <c r="Q19" s="902" t="s">
        <v>419</v>
      </c>
      <c r="R19" s="902" t="s">
        <v>421</v>
      </c>
      <c r="S19" s="902" t="s">
        <v>423</v>
      </c>
      <c r="T19" s="902" t="s">
        <v>995</v>
      </c>
      <c r="U19" s="902" t="s">
        <v>996</v>
      </c>
      <c r="V19" s="902" t="s">
        <v>1252</v>
      </c>
      <c r="W19" s="905" t="s">
        <v>1054</v>
      </c>
      <c r="X19" s="905" t="s">
        <v>1251</v>
      </c>
      <c r="Y19" s="905" t="s">
        <v>1056</v>
      </c>
      <c r="Z19" s="313" t="s">
        <v>152</v>
      </c>
      <c r="AA19" s="313" t="s">
        <v>2</v>
      </c>
      <c r="AB19" s="313" t="s">
        <v>302</v>
      </c>
      <c r="AC19" s="313" t="s">
        <v>116</v>
      </c>
      <c r="AD19" s="314" t="s">
        <v>117</v>
      </c>
    </row>
    <row r="20" spans="2:32" ht="22.5" customHeight="1" x14ac:dyDescent="0.25">
      <c r="B20" s="396" t="s">
        <v>392</v>
      </c>
      <c r="C20" s="397" t="s">
        <v>320</v>
      </c>
      <c r="D20" s="397">
        <v>1</v>
      </c>
      <c r="E20" s="397">
        <v>-1</v>
      </c>
      <c r="F20" s="397">
        <v>0</v>
      </c>
      <c r="G20" s="397">
        <v>1</v>
      </c>
      <c r="H20" s="517">
        <v>0</v>
      </c>
      <c r="I20" s="517">
        <v>-1</v>
      </c>
      <c r="J20" s="397">
        <v>-1</v>
      </c>
      <c r="K20" s="397">
        <v>0</v>
      </c>
      <c r="L20" s="397">
        <v>-1</v>
      </c>
      <c r="M20" s="397">
        <v>-2</v>
      </c>
      <c r="N20" s="397">
        <v>0</v>
      </c>
      <c r="O20" s="397">
        <v>-1</v>
      </c>
      <c r="P20" s="397">
        <v>-2</v>
      </c>
      <c r="Q20" s="397">
        <v>-3</v>
      </c>
      <c r="R20" s="397">
        <v>0</v>
      </c>
      <c r="S20" s="397">
        <v>-1</v>
      </c>
      <c r="T20" s="397">
        <v>2</v>
      </c>
      <c r="U20" s="397">
        <v>2</v>
      </c>
      <c r="V20" s="397">
        <v>1</v>
      </c>
      <c r="W20" s="397">
        <v>1</v>
      </c>
      <c r="X20" s="397">
        <v>-1</v>
      </c>
      <c r="Y20" s="397">
        <v>2</v>
      </c>
      <c r="Z20" s="398">
        <f>SUM(pH!D45:Y45)</f>
        <v>5.5681718888531996E-4</v>
      </c>
      <c r="AA20" s="398" t="s">
        <v>845</v>
      </c>
      <c r="AB20" s="398"/>
      <c r="AC20" s="398" t="s">
        <v>11</v>
      </c>
      <c r="AD20" s="399"/>
    </row>
    <row r="21" spans="2:32" ht="22.5" customHeight="1" thickBot="1" x14ac:dyDescent="0.3">
      <c r="B21" s="317" t="s">
        <v>846</v>
      </c>
      <c r="C21" s="318" t="s">
        <v>382</v>
      </c>
      <c r="D21" s="318" t="s">
        <v>1282</v>
      </c>
      <c r="E21" s="318" t="s">
        <v>1283</v>
      </c>
      <c r="F21" s="318">
        <v>0</v>
      </c>
      <c r="G21" s="318" t="s">
        <v>1282</v>
      </c>
      <c r="H21" s="318">
        <v>0</v>
      </c>
      <c r="I21" s="318" t="s">
        <v>1283</v>
      </c>
      <c r="J21" s="318" t="s">
        <v>1283</v>
      </c>
      <c r="K21" s="318">
        <v>0</v>
      </c>
      <c r="L21" s="318" t="s">
        <v>1283</v>
      </c>
      <c r="M21" s="318" t="s">
        <v>1284</v>
      </c>
      <c r="N21" s="318">
        <v>0</v>
      </c>
      <c r="O21" s="318" t="s">
        <v>1283</v>
      </c>
      <c r="P21" s="318" t="s">
        <v>1284</v>
      </c>
      <c r="Q21" s="318" t="s">
        <v>1285</v>
      </c>
      <c r="R21" s="318">
        <v>0</v>
      </c>
      <c r="S21" s="318" t="s">
        <v>1283</v>
      </c>
      <c r="T21" s="318" t="s">
        <v>1286</v>
      </c>
      <c r="U21" s="318" t="s">
        <v>1286</v>
      </c>
      <c r="V21" s="318" t="s">
        <v>1282</v>
      </c>
      <c r="W21" s="318" t="s">
        <v>1282</v>
      </c>
      <c r="X21" s="318" t="s">
        <v>1283</v>
      </c>
      <c r="Y21" s="318" t="s">
        <v>1286</v>
      </c>
      <c r="Z21" s="319">
        <f>SUM(pH!D46:Y46)</f>
        <v>1.47943558411052E-2</v>
      </c>
      <c r="AA21" s="319" t="s">
        <v>845</v>
      </c>
      <c r="AB21" s="319"/>
      <c r="AC21" s="395" t="s">
        <v>11</v>
      </c>
      <c r="AD21" s="320"/>
    </row>
    <row r="22" spans="2:32" x14ac:dyDescent="0.25">
      <c r="B22" s="7"/>
    </row>
    <row r="23" spans="2:32" x14ac:dyDescent="0.25">
      <c r="B23" s="71"/>
      <c r="C23" s="71"/>
      <c r="D23" s="71"/>
      <c r="E23" s="71"/>
      <c r="F23" s="71"/>
    </row>
    <row r="25" spans="2:32" ht="15.75" thickBot="1" x14ac:dyDescent="0.3"/>
    <row r="26" spans="2:32" ht="15.75" thickBot="1" x14ac:dyDescent="0.3">
      <c r="C26" s="55" t="s">
        <v>4</v>
      </c>
      <c r="D26" s="129" t="s">
        <v>321</v>
      </c>
      <c r="J26" s="1"/>
      <c r="K26" s="1"/>
    </row>
    <row r="27" spans="2:32" ht="18.75" thickBot="1" x14ac:dyDescent="0.3">
      <c r="B27" s="745"/>
      <c r="C27" s="744" t="s">
        <v>1</v>
      </c>
      <c r="D27" s="901" t="s">
        <v>399</v>
      </c>
      <c r="E27" s="901" t="s">
        <v>401</v>
      </c>
      <c r="F27" s="901" t="s">
        <v>403</v>
      </c>
      <c r="G27" s="901" t="s">
        <v>405</v>
      </c>
      <c r="H27" s="903" t="s">
        <v>2177</v>
      </c>
      <c r="I27" s="903" t="s">
        <v>2179</v>
      </c>
      <c r="J27" s="901" t="s">
        <v>426</v>
      </c>
      <c r="K27" s="901" t="s">
        <v>407</v>
      </c>
      <c r="L27" s="901" t="s">
        <v>409</v>
      </c>
      <c r="M27" s="901" t="s">
        <v>411</v>
      </c>
      <c r="N27" s="901" t="s">
        <v>413</v>
      </c>
      <c r="O27" s="901" t="s">
        <v>415</v>
      </c>
      <c r="P27" s="901" t="s">
        <v>417</v>
      </c>
      <c r="Q27" s="901" t="s">
        <v>419</v>
      </c>
      <c r="R27" s="901" t="s">
        <v>421</v>
      </c>
      <c r="S27" s="901" t="s">
        <v>423</v>
      </c>
      <c r="T27" s="901" t="s">
        <v>995</v>
      </c>
      <c r="U27" s="901" t="s">
        <v>996</v>
      </c>
      <c r="V27" s="901" t="s">
        <v>1252</v>
      </c>
      <c r="W27" s="904" t="s">
        <v>1054</v>
      </c>
      <c r="X27" s="904" t="s">
        <v>1251</v>
      </c>
      <c r="Y27" s="904" t="s">
        <v>1056</v>
      </c>
      <c r="Z27" s="390" t="s">
        <v>152</v>
      </c>
      <c r="AA27" s="390" t="s">
        <v>2</v>
      </c>
      <c r="AB27" s="390" t="s">
        <v>302</v>
      </c>
      <c r="AC27" s="390" t="s">
        <v>116</v>
      </c>
      <c r="AD27" s="391" t="s">
        <v>117</v>
      </c>
      <c r="AE27" s="8"/>
      <c r="AF27" s="8"/>
    </row>
    <row r="28" spans="2:32" ht="18.75" x14ac:dyDescent="0.25">
      <c r="B28" s="315" t="s">
        <v>427</v>
      </c>
      <c r="C28" s="309" t="s">
        <v>310</v>
      </c>
      <c r="D28" s="309">
        <f>10^(-p_H)</f>
        <v>6.3095734448019177E-8</v>
      </c>
      <c r="E28" s="309">
        <f>K_W/conc_Hp_I</f>
        <v>1.384875770636308E-7</v>
      </c>
      <c r="F28" s="309">
        <f>0</f>
        <v>0</v>
      </c>
      <c r="G28" s="309">
        <f>0</f>
        <v>0</v>
      </c>
      <c r="H28" s="518">
        <f>0</f>
        <v>0</v>
      </c>
      <c r="I28" s="518">
        <f>0</f>
        <v>0</v>
      </c>
      <c r="J28" s="309">
        <f>0</f>
        <v>0</v>
      </c>
      <c r="K28" s="309">
        <f>0</f>
        <v>0</v>
      </c>
      <c r="L28" s="309">
        <f>0</f>
        <v>0</v>
      </c>
      <c r="M28" s="309">
        <f>0</f>
        <v>0</v>
      </c>
      <c r="N28" s="309">
        <f>0</f>
        <v>0</v>
      </c>
      <c r="O28" s="309">
        <f>0</f>
        <v>0</v>
      </c>
      <c r="P28" s="309">
        <f>0</f>
        <v>0</v>
      </c>
      <c r="Q28" s="309">
        <f>0</f>
        <v>0</v>
      </c>
      <c r="R28" s="309">
        <f>0</f>
        <v>0</v>
      </c>
      <c r="S28" s="309">
        <f>0</f>
        <v>0</v>
      </c>
      <c r="T28" s="309">
        <f>0</f>
        <v>0</v>
      </c>
      <c r="U28" s="309">
        <f>0</f>
        <v>0</v>
      </c>
      <c r="V28" s="309">
        <f>0</f>
        <v>0</v>
      </c>
      <c r="W28" s="309">
        <f>0</f>
        <v>0</v>
      </c>
      <c r="X28" s="309">
        <f>0</f>
        <v>0</v>
      </c>
      <c r="Y28" s="309">
        <f>0</f>
        <v>0</v>
      </c>
      <c r="Z28" s="310"/>
      <c r="AA28" s="308" t="s">
        <v>844</v>
      </c>
      <c r="AB28" s="310"/>
      <c r="AC28" s="310" t="s">
        <v>11</v>
      </c>
      <c r="AD28" s="316"/>
    </row>
    <row r="29" spans="2:32" ht="18.75" x14ac:dyDescent="0.25">
      <c r="B29" s="561" t="s">
        <v>2421</v>
      </c>
      <c r="C29" s="305" t="s">
        <v>312</v>
      </c>
      <c r="D29" s="305">
        <f>0</f>
        <v>0</v>
      </c>
      <c r="E29" s="305">
        <f>0</f>
        <v>0</v>
      </c>
      <c r="F29" s="305">
        <f>(S_NHx/(A_MN*1000))*K_NH3/(conc_Hp_I+K_NH3)</f>
        <v>4.456809975059031E-7</v>
      </c>
      <c r="G29" s="305">
        <f>(S_NHx/(A_MN*1000))*conc_Hp_I/(conc_Hp_I+K_NH3)</f>
        <v>7.0948723109100212E-5</v>
      </c>
      <c r="H29" s="305">
        <f>0</f>
        <v>0</v>
      </c>
      <c r="I29" s="305">
        <f>0</f>
        <v>0</v>
      </c>
      <c r="J29" s="305">
        <f>0</f>
        <v>0</v>
      </c>
      <c r="K29" s="305">
        <f>0</f>
        <v>0</v>
      </c>
      <c r="L29" s="305">
        <f>0</f>
        <v>0</v>
      </c>
      <c r="M29" s="305">
        <f>0</f>
        <v>0</v>
      </c>
      <c r="N29" s="305">
        <f>0</f>
        <v>0</v>
      </c>
      <c r="O29" s="305">
        <f>0</f>
        <v>0</v>
      </c>
      <c r="P29" s="305">
        <f>0</f>
        <v>0</v>
      </c>
      <c r="Q29" s="305">
        <f>0</f>
        <v>0</v>
      </c>
      <c r="R29" s="305">
        <f>0</f>
        <v>0</v>
      </c>
      <c r="S29" s="305">
        <f>0</f>
        <v>0</v>
      </c>
      <c r="T29" s="305">
        <f>0</f>
        <v>0</v>
      </c>
      <c r="U29" s="305">
        <f>0</f>
        <v>0</v>
      </c>
      <c r="V29" s="305">
        <f>0</f>
        <v>0</v>
      </c>
      <c r="W29" s="305">
        <f>0</f>
        <v>0</v>
      </c>
      <c r="X29" s="305">
        <f>0</f>
        <v>0</v>
      </c>
      <c r="Y29" s="305">
        <f>0</f>
        <v>0</v>
      </c>
      <c r="Z29" s="306"/>
      <c r="AA29" s="304" t="s">
        <v>844</v>
      </c>
      <c r="AB29" s="306"/>
      <c r="AC29" s="310" t="s">
        <v>11</v>
      </c>
      <c r="AD29" s="393"/>
    </row>
    <row r="30" spans="2:32" ht="33.75" x14ac:dyDescent="0.25">
      <c r="B30" s="392" t="s">
        <v>2181</v>
      </c>
      <c r="C30" s="305" t="s">
        <v>760</v>
      </c>
      <c r="D30" s="305">
        <f>0</f>
        <v>0</v>
      </c>
      <c r="E30" s="305">
        <f>0</f>
        <v>0</v>
      </c>
      <c r="F30" s="305">
        <f>0</f>
        <v>0</v>
      </c>
      <c r="G30" s="305">
        <f>0</f>
        <v>0</v>
      </c>
      <c r="H30" s="305">
        <f>(S_NO2/(A_MN*1000))*conc_Hp_I/(conc_Hp_I+K_NO2)</f>
        <v>8.600116917741957E-10</v>
      </c>
      <c r="I30" s="305">
        <f>(K_NO2*S_NO2/(A_MN*1000))/(conc_Hp_I+K_NO2)</f>
        <v>7.1385803989688371E-6</v>
      </c>
      <c r="J30" s="305">
        <f>0</f>
        <v>0</v>
      </c>
      <c r="K30" s="305">
        <f>0</f>
        <v>0</v>
      </c>
      <c r="L30" s="305">
        <f>0</f>
        <v>0</v>
      </c>
      <c r="M30" s="305">
        <f>0</f>
        <v>0</v>
      </c>
      <c r="N30" s="305">
        <f>0</f>
        <v>0</v>
      </c>
      <c r="O30" s="305">
        <f>0</f>
        <v>0</v>
      </c>
      <c r="P30" s="305">
        <f>0</f>
        <v>0</v>
      </c>
      <c r="Q30" s="305">
        <f>0</f>
        <v>0</v>
      </c>
      <c r="R30" s="305">
        <f>0</f>
        <v>0</v>
      </c>
      <c r="S30" s="305">
        <f>0</f>
        <v>0</v>
      </c>
      <c r="T30" s="305">
        <f>0</f>
        <v>0</v>
      </c>
      <c r="U30" s="305">
        <f>0</f>
        <v>0</v>
      </c>
      <c r="V30" s="305">
        <f>0</f>
        <v>0</v>
      </c>
      <c r="W30" s="305">
        <f>0</f>
        <v>0</v>
      </c>
      <c r="X30" s="305">
        <f>0</f>
        <v>0</v>
      </c>
      <c r="Y30" s="305">
        <f>0</f>
        <v>0</v>
      </c>
      <c r="Z30" s="306"/>
      <c r="AA30" s="304" t="s">
        <v>844</v>
      </c>
      <c r="AB30" s="306"/>
      <c r="AC30" s="310" t="s">
        <v>11</v>
      </c>
      <c r="AD30" s="393"/>
    </row>
    <row r="31" spans="2:32" ht="18" x14ac:dyDescent="0.25">
      <c r="B31" s="392" t="s">
        <v>1105</v>
      </c>
      <c r="C31" s="305" t="s">
        <v>313</v>
      </c>
      <c r="D31" s="305">
        <f>0</f>
        <v>0</v>
      </c>
      <c r="E31" s="305">
        <f>0</f>
        <v>0</v>
      </c>
      <c r="F31" s="305">
        <f>0</f>
        <v>0</v>
      </c>
      <c r="G31" s="305">
        <f>0</f>
        <v>0</v>
      </c>
      <c r="H31" s="305">
        <f>0</f>
        <v>0</v>
      </c>
      <c r="I31" s="305">
        <f>0</f>
        <v>0</v>
      </c>
      <c r="J31" s="305">
        <f>S_NO3/(A_MN*1000)</f>
        <v>3.5697202053303062E-4</v>
      </c>
      <c r="K31" s="305">
        <f>0</f>
        <v>0</v>
      </c>
      <c r="L31" s="305">
        <f>0</f>
        <v>0</v>
      </c>
      <c r="M31" s="305">
        <f>0</f>
        <v>0</v>
      </c>
      <c r="N31" s="305">
        <f>0</f>
        <v>0</v>
      </c>
      <c r="O31" s="305">
        <f>0</f>
        <v>0</v>
      </c>
      <c r="P31" s="305">
        <f>0</f>
        <v>0</v>
      </c>
      <c r="Q31" s="305">
        <f>0</f>
        <v>0</v>
      </c>
      <c r="R31" s="305">
        <f>0</f>
        <v>0</v>
      </c>
      <c r="S31" s="305">
        <f>0</f>
        <v>0</v>
      </c>
      <c r="T31" s="305">
        <f>0</f>
        <v>0</v>
      </c>
      <c r="U31" s="305">
        <f>0</f>
        <v>0</v>
      </c>
      <c r="V31" s="305">
        <f>0</f>
        <v>0</v>
      </c>
      <c r="W31" s="305">
        <f>0</f>
        <v>0</v>
      </c>
      <c r="X31" s="305">
        <f>0</f>
        <v>0</v>
      </c>
      <c r="Y31" s="305">
        <f>0</f>
        <v>0</v>
      </c>
      <c r="Z31" s="306"/>
      <c r="AA31" s="304" t="s">
        <v>844</v>
      </c>
      <c r="AB31" s="306"/>
      <c r="AC31" s="310" t="s">
        <v>11</v>
      </c>
      <c r="AD31" s="393"/>
    </row>
    <row r="32" spans="2:32" ht="18.75" x14ac:dyDescent="0.25">
      <c r="B32" s="392" t="s">
        <v>429</v>
      </c>
      <c r="C32" s="305" t="s">
        <v>316</v>
      </c>
      <c r="D32" s="305">
        <f>0</f>
        <v>0</v>
      </c>
      <c r="E32" s="305">
        <f>0</f>
        <v>0</v>
      </c>
      <c r="F32" s="305">
        <f>0</f>
        <v>0</v>
      </c>
      <c r="G32" s="305">
        <f>0</f>
        <v>0</v>
      </c>
      <c r="H32" s="305">
        <f>0</f>
        <v>0</v>
      </c>
      <c r="I32" s="305">
        <f>0</f>
        <v>0</v>
      </c>
      <c r="J32" s="305">
        <f>0</f>
        <v>0</v>
      </c>
      <c r="K32" s="305">
        <f>S_CO2/(A_MC*1000)*conc_Hp_I^2/(conc_Hp_I^2+conc_Hp_I*K_C1+K_C1*K_C2)</f>
        <v>6.4880908822408209E-4</v>
      </c>
      <c r="L32" s="305">
        <f>conc_Hp_I*K_C1*S_CO2/(A_MC*1000)/(conc_Hp_I^2+conc_Hp_I*K_C1+K_C1*K_C2)</f>
        <v>5.5062302620906018E-3</v>
      </c>
      <c r="M32" s="305">
        <f>K_C2*K_C1*S_CO2/(A_MC*1000)/(conc_Hp_I^2+conc_Hp_I*K_C1+K_C1*K_C2)</f>
        <v>6.1336038012281396E-6</v>
      </c>
      <c r="N32" s="305">
        <f>0</f>
        <v>0</v>
      </c>
      <c r="O32" s="305">
        <f>0</f>
        <v>0</v>
      </c>
      <c r="P32" s="305">
        <f>0</f>
        <v>0</v>
      </c>
      <c r="Q32" s="305">
        <f>0</f>
        <v>0</v>
      </c>
      <c r="R32" s="305">
        <f>0</f>
        <v>0</v>
      </c>
      <c r="S32" s="305">
        <f>0</f>
        <v>0</v>
      </c>
      <c r="T32" s="305">
        <f>0</f>
        <v>0</v>
      </c>
      <c r="U32" s="305">
        <f>0</f>
        <v>0</v>
      </c>
      <c r="V32" s="305">
        <f>0</f>
        <v>0</v>
      </c>
      <c r="W32" s="305">
        <f>0</f>
        <v>0</v>
      </c>
      <c r="X32" s="305">
        <f>0</f>
        <v>0</v>
      </c>
      <c r="Y32" s="305">
        <f>0</f>
        <v>0</v>
      </c>
      <c r="Z32" s="306"/>
      <c r="AA32" s="304" t="s">
        <v>844</v>
      </c>
      <c r="AB32" s="306"/>
      <c r="AC32" s="310" t="s">
        <v>11</v>
      </c>
      <c r="AD32" s="393"/>
    </row>
    <row r="33" spans="2:30" ht="18.75" x14ac:dyDescent="0.25">
      <c r="B33" s="392" t="s">
        <v>430</v>
      </c>
      <c r="C33" s="305" t="s">
        <v>317</v>
      </c>
      <c r="D33" s="305">
        <f>0</f>
        <v>0</v>
      </c>
      <c r="E33" s="305">
        <f>0</f>
        <v>0</v>
      </c>
      <c r="F33" s="305">
        <f>0</f>
        <v>0</v>
      </c>
      <c r="G33" s="305">
        <f>0</f>
        <v>0</v>
      </c>
      <c r="H33" s="305">
        <f>0</f>
        <v>0</v>
      </c>
      <c r="I33" s="305">
        <f>0</f>
        <v>0</v>
      </c>
      <c r="J33" s="305">
        <f>0</f>
        <v>0</v>
      </c>
      <c r="K33" s="305">
        <f>0</f>
        <v>0</v>
      </c>
      <c r="L33" s="305">
        <f>0</f>
        <v>0</v>
      </c>
      <c r="M33" s="305">
        <f>0</f>
        <v>0</v>
      </c>
      <c r="N33" s="305">
        <f>S_PO4/(A_MP*1000)*conc_Hp_I^3/(conc_Hp_I^3+conc_Hp_I^2*K_P1+K_P2*conc_Hp_I*K_P1+K_P2*K_P1*K_P3)</f>
        <v>4.0344172931174842E-11</v>
      </c>
      <c r="O33" s="305">
        <f>conc_Hp_I^2*K_P1*S_PO4/(A_MP*1000)/(conc_Hp_I^3+conc_Hp_I^2*K_P1+K_P2*conc_Hp_I*K_P1+K_P2*K_P1*K_P3)</f>
        <v>6.1647215595877176E-6</v>
      </c>
      <c r="P33" s="305">
        <f>conc_Hp_I*K_P2/(conc_Hp_I^3+conc_Hp_I^2*K_P1+K_P2*conc_Hp_I*K_P1+K_P2*K_P1*K_P3)*K_P1*S_PO4/(A_MP*1000)</f>
        <v>9.9778036227837607E-6</v>
      </c>
      <c r="Q33" s="305">
        <f>K_P3*K_P2/(conc_Hp_I^3+conc_Hp_I^2*K_P1+K_P2*conc_Hp_I*K_P1+K_P2*K_P1*K_P3)*K_P1*S_PO4/(A_MP*1000)</f>
        <v>1.2959623276590366E-10</v>
      </c>
      <c r="R33" s="305">
        <f>0</f>
        <v>0</v>
      </c>
      <c r="S33" s="305">
        <f>0</f>
        <v>0</v>
      </c>
      <c r="T33" s="305">
        <f>0</f>
        <v>0</v>
      </c>
      <c r="U33" s="305">
        <f>0</f>
        <v>0</v>
      </c>
      <c r="V33" s="305">
        <f>0</f>
        <v>0</v>
      </c>
      <c r="W33" s="305">
        <f>0</f>
        <v>0</v>
      </c>
      <c r="X33" s="305">
        <f>0</f>
        <v>0</v>
      </c>
      <c r="Y33" s="305">
        <f>0</f>
        <v>0</v>
      </c>
      <c r="Z33" s="306"/>
      <c r="AA33" s="304" t="s">
        <v>844</v>
      </c>
      <c r="AB33" s="306"/>
      <c r="AC33" s="310" t="s">
        <v>11</v>
      </c>
      <c r="AD33" s="393"/>
    </row>
    <row r="34" spans="2:30" ht="18.75" x14ac:dyDescent="0.25">
      <c r="B34" s="392" t="s">
        <v>435</v>
      </c>
      <c r="C34" s="305" t="s">
        <v>318</v>
      </c>
      <c r="D34" s="305">
        <f>0</f>
        <v>0</v>
      </c>
      <c r="E34" s="305">
        <f>0</f>
        <v>0</v>
      </c>
      <c r="F34" s="305">
        <f>0</f>
        <v>0</v>
      </c>
      <c r="G34" s="305">
        <f>0</f>
        <v>0</v>
      </c>
      <c r="H34" s="305">
        <f>0</f>
        <v>0</v>
      </c>
      <c r="I34" s="305">
        <f>0</f>
        <v>0</v>
      </c>
      <c r="J34" s="305">
        <f>0</f>
        <v>0</v>
      </c>
      <c r="K34" s="305">
        <f>0</f>
        <v>0</v>
      </c>
      <c r="L34" s="305">
        <f>0</f>
        <v>0</v>
      </c>
      <c r="M34" s="305">
        <f>0</f>
        <v>0</v>
      </c>
      <c r="N34" s="305">
        <f>0</f>
        <v>0</v>
      </c>
      <c r="O34" s="305">
        <f>0</f>
        <v>0</v>
      </c>
      <c r="P34" s="305">
        <f>0</f>
        <v>0</v>
      </c>
      <c r="Q34" s="305">
        <f>0</f>
        <v>0</v>
      </c>
      <c r="R34" s="305">
        <f>conc_Hp_I*S_VFA/(4*A_MO*1000)/(conc_Hp_I+K_Ac)</f>
        <v>4.3337108963713439E-10</v>
      </c>
      <c r="S34" s="305">
        <f>S_VFA/(4*A_MO*1000)*K_Ac/(conc_Hp_I+K_Ac)</f>
        <v>1.5582248850509766E-7</v>
      </c>
      <c r="T34" s="305">
        <f>0</f>
        <v>0</v>
      </c>
      <c r="U34" s="305">
        <f>0</f>
        <v>0</v>
      </c>
      <c r="V34" s="305">
        <f>0</f>
        <v>0</v>
      </c>
      <c r="W34" s="305">
        <f>0</f>
        <v>0</v>
      </c>
      <c r="X34" s="305">
        <f>0</f>
        <v>0</v>
      </c>
      <c r="Y34" s="305">
        <f>0</f>
        <v>0</v>
      </c>
      <c r="Z34" s="306"/>
      <c r="AA34" s="304" t="s">
        <v>844</v>
      </c>
      <c r="AB34" s="306"/>
      <c r="AC34" s="310" t="s">
        <v>11</v>
      </c>
      <c r="AD34" s="393"/>
    </row>
    <row r="35" spans="2:30" ht="18" x14ac:dyDescent="0.25">
      <c r="B35" s="392" t="s">
        <v>989</v>
      </c>
      <c r="C35" s="305" t="s">
        <v>991</v>
      </c>
      <c r="D35" s="305">
        <f>0</f>
        <v>0</v>
      </c>
      <c r="E35" s="305">
        <f>0</f>
        <v>0</v>
      </c>
      <c r="F35" s="305">
        <f>0</f>
        <v>0</v>
      </c>
      <c r="G35" s="305">
        <f>0</f>
        <v>0</v>
      </c>
      <c r="H35" s="305">
        <f>0</f>
        <v>0</v>
      </c>
      <c r="I35" s="305">
        <f>0</f>
        <v>0</v>
      </c>
      <c r="J35" s="305">
        <f>0</f>
        <v>0</v>
      </c>
      <c r="K35" s="305">
        <f>0</f>
        <v>0</v>
      </c>
      <c r="L35" s="305">
        <f>0</f>
        <v>0</v>
      </c>
      <c r="M35" s="305">
        <f>0</f>
        <v>0</v>
      </c>
      <c r="N35" s="305">
        <f>0</f>
        <v>0</v>
      </c>
      <c r="O35" s="305">
        <f>0</f>
        <v>0</v>
      </c>
      <c r="P35" s="305">
        <f>0</f>
        <v>0</v>
      </c>
      <c r="Q35" s="305">
        <f>0</f>
        <v>0</v>
      </c>
      <c r="R35" s="305">
        <f>0</f>
        <v>0</v>
      </c>
      <c r="S35" s="305">
        <f>0</f>
        <v>0</v>
      </c>
      <c r="T35" s="305">
        <f>S_Ca/(A_MCa*1000)</f>
        <v>3.7427017316233346E-3</v>
      </c>
      <c r="U35" s="305">
        <f>0</f>
        <v>0</v>
      </c>
      <c r="V35" s="305">
        <f>0</f>
        <v>0</v>
      </c>
      <c r="W35" s="305">
        <f>0</f>
        <v>0</v>
      </c>
      <c r="X35" s="305">
        <f>0</f>
        <v>0</v>
      </c>
      <c r="Y35" s="305">
        <f>0</f>
        <v>0</v>
      </c>
      <c r="Z35" s="306"/>
      <c r="AA35" s="304" t="s">
        <v>845</v>
      </c>
      <c r="AB35" s="306"/>
      <c r="AC35" s="310" t="s">
        <v>11</v>
      </c>
      <c r="AD35" s="393"/>
    </row>
    <row r="36" spans="2:30" ht="18" x14ac:dyDescent="0.25">
      <c r="B36" s="392" t="s">
        <v>990</v>
      </c>
      <c r="C36" s="305" t="s">
        <v>992</v>
      </c>
      <c r="D36" s="305">
        <f>0</f>
        <v>0</v>
      </c>
      <c r="E36" s="305">
        <f>0</f>
        <v>0</v>
      </c>
      <c r="F36" s="305">
        <f>0</f>
        <v>0</v>
      </c>
      <c r="G36" s="305">
        <f>0</f>
        <v>0</v>
      </c>
      <c r="H36" s="305">
        <f>0</f>
        <v>0</v>
      </c>
      <c r="I36" s="305">
        <f>0</f>
        <v>0</v>
      </c>
      <c r="J36" s="305">
        <f>0</f>
        <v>0</v>
      </c>
      <c r="K36" s="305">
        <f>0</f>
        <v>0</v>
      </c>
      <c r="L36" s="305">
        <f>0</f>
        <v>0</v>
      </c>
      <c r="M36" s="305">
        <f>0</f>
        <v>0</v>
      </c>
      <c r="N36" s="305">
        <f>0</f>
        <v>0</v>
      </c>
      <c r="O36" s="305">
        <f>0</f>
        <v>0</v>
      </c>
      <c r="P36" s="305">
        <f>0</f>
        <v>0</v>
      </c>
      <c r="Q36" s="305">
        <f>0</f>
        <v>0</v>
      </c>
      <c r="R36" s="305">
        <f>0</f>
        <v>0</v>
      </c>
      <c r="S36" s="305">
        <f>0</f>
        <v>0</v>
      </c>
      <c r="T36" s="305">
        <f>0</f>
        <v>0</v>
      </c>
      <c r="U36" s="305">
        <f>S_Mg/(A_MMg*1000)</f>
        <v>6.1715696358773911E-4</v>
      </c>
      <c r="V36" s="305">
        <f>0</f>
        <v>0</v>
      </c>
      <c r="W36" s="305">
        <f>0</f>
        <v>0</v>
      </c>
      <c r="X36" s="305">
        <f>0</f>
        <v>0</v>
      </c>
      <c r="Y36" s="305">
        <f>0</f>
        <v>0</v>
      </c>
      <c r="Z36" s="306"/>
      <c r="AA36" s="304" t="s">
        <v>845</v>
      </c>
      <c r="AB36" s="306"/>
      <c r="AC36" s="310" t="s">
        <v>11</v>
      </c>
      <c r="AD36" s="393"/>
    </row>
    <row r="37" spans="2:30" ht="18" x14ac:dyDescent="0.25">
      <c r="B37" s="392" t="s">
        <v>436</v>
      </c>
      <c r="C37" s="305" t="s">
        <v>314</v>
      </c>
      <c r="D37" s="305">
        <f>0</f>
        <v>0</v>
      </c>
      <c r="E37" s="305">
        <f>0</f>
        <v>0</v>
      </c>
      <c r="F37" s="305">
        <f>0</f>
        <v>0</v>
      </c>
      <c r="G37" s="305">
        <f>0</f>
        <v>0</v>
      </c>
      <c r="H37" s="305">
        <f>0</f>
        <v>0</v>
      </c>
      <c r="I37" s="305">
        <f>0</f>
        <v>0</v>
      </c>
      <c r="J37" s="305">
        <f>0</f>
        <v>0</v>
      </c>
      <c r="K37" s="305">
        <f>0</f>
        <v>0</v>
      </c>
      <c r="L37" s="305">
        <f>0</f>
        <v>0</v>
      </c>
      <c r="M37" s="305">
        <f>0</f>
        <v>0</v>
      </c>
      <c r="N37" s="304">
        <f>0</f>
        <v>0</v>
      </c>
      <c r="O37" s="305">
        <f>0</f>
        <v>0</v>
      </c>
      <c r="P37" s="305">
        <f>0</f>
        <v>0</v>
      </c>
      <c r="Q37" s="305">
        <f>0</f>
        <v>0</v>
      </c>
      <c r="R37" s="305">
        <f>0</f>
        <v>0</v>
      </c>
      <c r="S37" s="305">
        <f>0</f>
        <v>0</v>
      </c>
      <c r="T37" s="305">
        <f>0</f>
        <v>0</v>
      </c>
      <c r="U37" s="305">
        <f>0</f>
        <v>0</v>
      </c>
      <c r="V37" s="305">
        <f>S_CAT/(A_MNa*1000)</f>
        <v>1.5224163409384409E-3</v>
      </c>
      <c r="W37" s="305">
        <f>0</f>
        <v>0</v>
      </c>
      <c r="X37" s="305">
        <f>0</f>
        <v>0</v>
      </c>
      <c r="Y37" s="305">
        <f>0</f>
        <v>0</v>
      </c>
      <c r="Z37" s="306"/>
      <c r="AA37" s="304" t="s">
        <v>845</v>
      </c>
      <c r="AB37" s="306"/>
      <c r="AC37" s="310" t="s">
        <v>11</v>
      </c>
      <c r="AD37" s="393"/>
    </row>
    <row r="38" spans="2:30" ht="18" x14ac:dyDescent="0.25">
      <c r="B38" s="392" t="s">
        <v>1104</v>
      </c>
      <c r="C38" s="305" t="s">
        <v>1106</v>
      </c>
      <c r="D38" s="305">
        <f>0</f>
        <v>0</v>
      </c>
      <c r="E38" s="305">
        <f>0</f>
        <v>0</v>
      </c>
      <c r="F38" s="305">
        <f>0</f>
        <v>0</v>
      </c>
      <c r="G38" s="305">
        <f>0</f>
        <v>0</v>
      </c>
      <c r="H38" s="305">
        <f>0</f>
        <v>0</v>
      </c>
      <c r="I38" s="305">
        <f>0</f>
        <v>0</v>
      </c>
      <c r="J38" s="305">
        <f>0</f>
        <v>0</v>
      </c>
      <c r="K38" s="305">
        <f>0</f>
        <v>0</v>
      </c>
      <c r="L38" s="305">
        <f>0</f>
        <v>0</v>
      </c>
      <c r="M38" s="305">
        <f>0</f>
        <v>0</v>
      </c>
      <c r="N38" s="304">
        <f>0</f>
        <v>0</v>
      </c>
      <c r="O38" s="305">
        <f>0</f>
        <v>0</v>
      </c>
      <c r="P38" s="305">
        <f>0</f>
        <v>0</v>
      </c>
      <c r="Q38" s="305">
        <f>0</f>
        <v>0</v>
      </c>
      <c r="R38" s="305">
        <f>0</f>
        <v>0</v>
      </c>
      <c r="S38" s="305">
        <f>0</f>
        <v>0</v>
      </c>
      <c r="T38" s="305">
        <f>0</f>
        <v>0</v>
      </c>
      <c r="U38" s="305">
        <f>0</f>
        <v>0</v>
      </c>
      <c r="V38" s="305">
        <f>0</f>
        <v>0</v>
      </c>
      <c r="W38" s="305">
        <f>S_K/(A_MK*1000)</f>
        <v>3.8364839391994023E-4</v>
      </c>
      <c r="X38" s="305">
        <f>0</f>
        <v>0</v>
      </c>
      <c r="Y38" s="305">
        <f>0</f>
        <v>0</v>
      </c>
      <c r="Z38" s="306"/>
      <c r="AA38" s="304" t="s">
        <v>845</v>
      </c>
      <c r="AB38" s="306"/>
      <c r="AC38" s="310" t="s">
        <v>11</v>
      </c>
      <c r="AD38" s="393"/>
    </row>
    <row r="39" spans="2:30" ht="18" x14ac:dyDescent="0.25">
      <c r="B39" s="392" t="s">
        <v>437</v>
      </c>
      <c r="C39" s="305" t="s">
        <v>315</v>
      </c>
      <c r="D39" s="305">
        <f>0</f>
        <v>0</v>
      </c>
      <c r="E39" s="305">
        <f>0</f>
        <v>0</v>
      </c>
      <c r="F39" s="305">
        <f>0</f>
        <v>0</v>
      </c>
      <c r="G39" s="305">
        <f>0</f>
        <v>0</v>
      </c>
      <c r="H39" s="305">
        <f>0</f>
        <v>0</v>
      </c>
      <c r="I39" s="305">
        <f>0</f>
        <v>0</v>
      </c>
      <c r="J39" s="305">
        <f>0</f>
        <v>0</v>
      </c>
      <c r="K39" s="305">
        <f>0</f>
        <v>0</v>
      </c>
      <c r="L39" s="305">
        <f>0</f>
        <v>0</v>
      </c>
      <c r="M39" s="305">
        <f>0</f>
        <v>0</v>
      </c>
      <c r="N39" s="305">
        <f>0</f>
        <v>0</v>
      </c>
      <c r="O39" s="305">
        <f>0</f>
        <v>0</v>
      </c>
      <c r="P39" s="305">
        <f>0</f>
        <v>0</v>
      </c>
      <c r="Q39" s="305">
        <f>0</f>
        <v>0</v>
      </c>
      <c r="R39" s="305">
        <f>0</f>
        <v>0</v>
      </c>
      <c r="S39" s="305">
        <f>0</f>
        <v>0</v>
      </c>
      <c r="T39" s="305">
        <f>0</f>
        <v>0</v>
      </c>
      <c r="U39" s="305">
        <f>0</f>
        <v>0</v>
      </c>
      <c r="V39" s="305">
        <f>0</f>
        <v>0</v>
      </c>
      <c r="W39" s="307">
        <f>0</f>
        <v>0</v>
      </c>
      <c r="X39" s="305">
        <f>S_AN/(A_MCl*1000)</f>
        <v>4.2309536569542774E-3</v>
      </c>
      <c r="Y39" s="305">
        <f>0</f>
        <v>0</v>
      </c>
      <c r="Z39" s="306"/>
      <c r="AA39" s="304" t="s">
        <v>845</v>
      </c>
      <c r="AB39" s="306"/>
      <c r="AC39" s="310" t="s">
        <v>11</v>
      </c>
      <c r="AD39" s="393"/>
    </row>
    <row r="40" spans="2:30" ht="18.75" thickBot="1" x14ac:dyDescent="0.3">
      <c r="B40" s="317" t="s">
        <v>1107</v>
      </c>
      <c r="C40" s="318" t="s">
        <v>1974</v>
      </c>
      <c r="D40" s="318">
        <f>0</f>
        <v>0</v>
      </c>
      <c r="E40" s="318">
        <f>0</f>
        <v>0</v>
      </c>
      <c r="F40" s="318">
        <f>0</f>
        <v>0</v>
      </c>
      <c r="G40" s="318">
        <f>0</f>
        <v>0</v>
      </c>
      <c r="H40" s="318">
        <f>0</f>
        <v>0</v>
      </c>
      <c r="I40" s="318">
        <f>0</f>
        <v>0</v>
      </c>
      <c r="J40" s="318">
        <f>0</f>
        <v>0</v>
      </c>
      <c r="K40" s="318">
        <f>0</f>
        <v>0</v>
      </c>
      <c r="L40" s="318">
        <f>0</f>
        <v>0</v>
      </c>
      <c r="M40" s="318">
        <f>0</f>
        <v>0</v>
      </c>
      <c r="N40" s="318">
        <f>0</f>
        <v>0</v>
      </c>
      <c r="O40" s="318">
        <f>0</f>
        <v>0</v>
      </c>
      <c r="P40" s="318">
        <f>0</f>
        <v>0</v>
      </c>
      <c r="Q40" s="318">
        <f>0</f>
        <v>0</v>
      </c>
      <c r="R40" s="318">
        <f>0</f>
        <v>0</v>
      </c>
      <c r="S40" s="318">
        <f>0</f>
        <v>0</v>
      </c>
      <c r="T40" s="318">
        <f>0</f>
        <v>0</v>
      </c>
      <c r="U40" s="318">
        <f>0</f>
        <v>0</v>
      </c>
      <c r="V40" s="318">
        <f>0</f>
        <v>0</v>
      </c>
      <c r="W40" s="318">
        <f>0</f>
        <v>0</v>
      </c>
      <c r="X40" s="318">
        <f>0</f>
        <v>0</v>
      </c>
      <c r="Y40" s="318">
        <f>S_Fe2/(A_MFe*1000)</f>
        <v>1.7906706061420003E-55</v>
      </c>
      <c r="Z40" s="319"/>
      <c r="AA40" s="394" t="s">
        <v>845</v>
      </c>
      <c r="AB40" s="319"/>
      <c r="AC40" s="395" t="s">
        <v>11</v>
      </c>
      <c r="AD40" s="320"/>
    </row>
    <row r="42" spans="2:30" ht="15.75" thickBot="1" x14ac:dyDescent="0.3"/>
    <row r="43" spans="2:30" ht="15.75" thickBot="1" x14ac:dyDescent="0.3">
      <c r="B43" s="3"/>
      <c r="C43" s="134" t="s">
        <v>396</v>
      </c>
      <c r="D43" s="129" t="s">
        <v>1219</v>
      </c>
      <c r="E43" s="381"/>
      <c r="F43" s="381"/>
      <c r="G43" s="381"/>
      <c r="H43" s="381"/>
      <c r="I43" s="381"/>
      <c r="J43" s="381"/>
      <c r="K43" s="381"/>
      <c r="L43" s="381"/>
      <c r="M43" s="381"/>
      <c r="N43" s="381"/>
      <c r="O43" s="381"/>
      <c r="P43" s="381"/>
      <c r="Q43" s="381"/>
      <c r="R43" s="381"/>
      <c r="S43" s="381"/>
      <c r="T43" s="381"/>
      <c r="U43" s="381"/>
      <c r="V43" s="381"/>
      <c r="W43" s="382"/>
      <c r="X43" s="382"/>
      <c r="Y43" s="382"/>
    </row>
    <row r="44" spans="2:30" ht="18.75" thickBot="1" x14ac:dyDescent="0.3">
      <c r="B44" s="311"/>
      <c r="C44" s="312" t="s">
        <v>1</v>
      </c>
      <c r="D44" s="902" t="s">
        <v>399</v>
      </c>
      <c r="E44" s="902" t="s">
        <v>401</v>
      </c>
      <c r="F44" s="902" t="s">
        <v>403</v>
      </c>
      <c r="G44" s="902" t="s">
        <v>405</v>
      </c>
      <c r="H44" s="903" t="s">
        <v>2177</v>
      </c>
      <c r="I44" s="903" t="s">
        <v>2179</v>
      </c>
      <c r="J44" s="902" t="s">
        <v>426</v>
      </c>
      <c r="K44" s="902" t="s">
        <v>407</v>
      </c>
      <c r="L44" s="902" t="s">
        <v>409</v>
      </c>
      <c r="M44" s="902" t="s">
        <v>411</v>
      </c>
      <c r="N44" s="902" t="s">
        <v>413</v>
      </c>
      <c r="O44" s="902" t="s">
        <v>415</v>
      </c>
      <c r="P44" s="902" t="s">
        <v>417</v>
      </c>
      <c r="Q44" s="902" t="s">
        <v>419</v>
      </c>
      <c r="R44" s="902" t="s">
        <v>421</v>
      </c>
      <c r="S44" s="902" t="s">
        <v>423</v>
      </c>
      <c r="T44" s="902" t="s">
        <v>995</v>
      </c>
      <c r="U44" s="902" t="s">
        <v>996</v>
      </c>
      <c r="V44" s="902" t="s">
        <v>1252</v>
      </c>
      <c r="W44" s="905" t="s">
        <v>1054</v>
      </c>
      <c r="X44" s="905" t="s">
        <v>1251</v>
      </c>
      <c r="Y44" s="905" t="s">
        <v>1056</v>
      </c>
      <c r="Z44" s="313" t="s">
        <v>152</v>
      </c>
      <c r="AA44" s="313" t="s">
        <v>2</v>
      </c>
      <c r="AB44" s="313" t="s">
        <v>302</v>
      </c>
      <c r="AC44" s="313" t="s">
        <v>116</v>
      </c>
      <c r="AD44" s="314" t="s">
        <v>117</v>
      </c>
    </row>
    <row r="45" spans="2:30" ht="17.25" x14ac:dyDescent="0.25">
      <c r="B45" s="396" t="s">
        <v>392</v>
      </c>
      <c r="C45" s="397" t="s">
        <v>320</v>
      </c>
      <c r="D45" s="397">
        <f>(1)*conc_Hp_I</f>
        <v>6.3095734448019177E-8</v>
      </c>
      <c r="E45" s="397">
        <f>(-1)*conc_OHm_I</f>
        <v>-1.384875770636308E-7</v>
      </c>
      <c r="F45" s="397">
        <f>(0)*conc_NH3_I</f>
        <v>0</v>
      </c>
      <c r="G45" s="397">
        <f>(1)*conc_NH4p_I</f>
        <v>7.0948723109100212E-5</v>
      </c>
      <c r="H45" s="517">
        <f>(0)*conc_HNO2_I</f>
        <v>0</v>
      </c>
      <c r="I45" s="517">
        <f>(-1)*conc_NO2m_I</f>
        <v>-7.1385803989688371E-6</v>
      </c>
      <c r="J45" s="397">
        <f>(-1)*conc_NO3m_I</f>
        <v>-3.5697202053303062E-4</v>
      </c>
      <c r="K45" s="397">
        <f>(0)*conc_H2CO3_I</f>
        <v>0</v>
      </c>
      <c r="L45" s="397">
        <f>(-1)*conc_HCO3m_I</f>
        <v>-5.5062302620906018E-3</v>
      </c>
      <c r="M45" s="397">
        <f>(-2)*conc_CO32m_I</f>
        <v>-1.2267207602456279E-5</v>
      </c>
      <c r="N45" s="397">
        <f>(0)*conc_H3PO4_I</f>
        <v>0</v>
      </c>
      <c r="O45" s="397">
        <f>(-1)*conc_H2PO4m_I</f>
        <v>-6.1647215595877176E-6</v>
      </c>
      <c r="P45" s="397">
        <f>(-2)*conc_HPO42m_I</f>
        <v>-1.9955607245567521E-5</v>
      </c>
      <c r="Q45" s="397">
        <f>(-3)*conc_PO43m_I</f>
        <v>-3.8878869829771096E-10</v>
      </c>
      <c r="R45" s="397">
        <f>(0)*conc_HAc_I</f>
        <v>0</v>
      </c>
      <c r="S45" s="397">
        <f>(-1)*conc_Acm_I</f>
        <v>-1.5582248850509766E-7</v>
      </c>
      <c r="T45" s="397">
        <f>(2)*conc_Ca2p_I</f>
        <v>7.4854034632466692E-3</v>
      </c>
      <c r="U45" s="397">
        <f>(2)*conc_Mg2p_I</f>
        <v>1.2343139271754782E-3</v>
      </c>
      <c r="V45" s="397">
        <f>(1)*conc_CATp_I</f>
        <v>1.5224163409384409E-3</v>
      </c>
      <c r="W45" s="397">
        <f>(1)*conc_Kp_I</f>
        <v>3.8364839391994023E-4</v>
      </c>
      <c r="X45" s="397">
        <f>(-1)*conc_ANm_I</f>
        <v>-4.2309536569542774E-3</v>
      </c>
      <c r="Y45" s="397">
        <f>(2)*conc_Fe2p_I</f>
        <v>3.5813412122840006E-55</v>
      </c>
      <c r="Z45" s="398" t="e">
        <f>SUM(pH!#REF!)</f>
        <v>#REF!</v>
      </c>
      <c r="AA45" s="398" t="s">
        <v>845</v>
      </c>
      <c r="AB45" s="398"/>
      <c r="AC45" s="398" t="s">
        <v>11</v>
      </c>
      <c r="AD45" s="399"/>
    </row>
    <row r="46" spans="2:30" ht="18.75" thickBot="1" x14ac:dyDescent="0.3">
      <c r="B46" s="317" t="s">
        <v>846</v>
      </c>
      <c r="C46" s="318" t="s">
        <v>382</v>
      </c>
      <c r="D46" s="318">
        <f>(f_mono_IS_cat)*conc_Hp_I</f>
        <v>3.1547867224009589E-8</v>
      </c>
      <c r="E46" s="318">
        <f>(f_mono_IS_an)*conc_OHm_I</f>
        <v>6.92437885318154E-8</v>
      </c>
      <c r="F46" s="318">
        <f>(0)*conc_NH3_I</f>
        <v>0</v>
      </c>
      <c r="G46" s="318">
        <f>(f_mono_IS_cat)*conc_NH4p_I</f>
        <v>3.5474361554550106E-5</v>
      </c>
      <c r="H46" s="318">
        <f>(0)*conc_HNO2_I</f>
        <v>0</v>
      </c>
      <c r="I46" s="318">
        <f>(f_mono_IS_an)*conc_NO2m_I</f>
        <v>3.5692901994844186E-6</v>
      </c>
      <c r="J46" s="318">
        <f>(f_mono_IS_an)*conc_NO3m_I</f>
        <v>1.7848601026651531E-4</v>
      </c>
      <c r="K46" s="318">
        <f>(0)*conc_H2CO3_I</f>
        <v>0</v>
      </c>
      <c r="L46" s="318">
        <f>(f_mono_IS_an)*conc_HCO3m_I</f>
        <v>2.7531151310453009E-3</v>
      </c>
      <c r="M46" s="318">
        <f>(f_di_IS_an)*conc_CO32m_I</f>
        <v>1.2267207602456279E-5</v>
      </c>
      <c r="N46" s="318">
        <f>(0)*conc_H3PO4_I</f>
        <v>0</v>
      </c>
      <c r="O46" s="318">
        <f>(f_mono_IS_an)*conc_H2PO4m_I</f>
        <v>3.0823607797938588E-6</v>
      </c>
      <c r="P46" s="318">
        <f>(f_di_IS_an)*conc_HPO42m_I</f>
        <v>1.9955607245567521E-5</v>
      </c>
      <c r="Q46" s="318">
        <f>(f_tri_IS_an)*conc_PO43m_I</f>
        <v>5.8318304744656643E-10</v>
      </c>
      <c r="R46" s="318">
        <f>(0)*conc_HAc_I</f>
        <v>0</v>
      </c>
      <c r="S46" s="318">
        <f>(f_mono_IS_an)*conc_Acm_I</f>
        <v>7.7911244252548829E-8</v>
      </c>
      <c r="T46" s="318">
        <f>(f_di_IS_cat)*conc_Ca2p_I</f>
        <v>7.4854034632466692E-3</v>
      </c>
      <c r="U46" s="318">
        <f>(f_di_IS_cat)*conc_Mg2p_I</f>
        <v>1.2343139271754782E-3</v>
      </c>
      <c r="V46" s="318">
        <f>(f_mono_IS_cat)*conc_CATp_I</f>
        <v>7.6120817046922043E-4</v>
      </c>
      <c r="W46" s="318">
        <f>(f_mono_IS_cat)*conc_Kp_I</f>
        <v>1.9182419695997011E-4</v>
      </c>
      <c r="X46" s="318">
        <f>(f_mono_IS_an)*conc_ANm_I</f>
        <v>2.1154768284771387E-3</v>
      </c>
      <c r="Y46" s="318">
        <f>(f_di_IS_cat)*conc_Fe2p_I</f>
        <v>3.5813412122840006E-55</v>
      </c>
      <c r="Z46" s="319" t="e">
        <f>SUM(pH!#REF!)</f>
        <v>#REF!</v>
      </c>
      <c r="AA46" s="319" t="s">
        <v>845</v>
      </c>
      <c r="AB46" s="319"/>
      <c r="AC46" s="395" t="s">
        <v>11</v>
      </c>
      <c r="AD46" s="320"/>
    </row>
  </sheetData>
  <phoneticPr fontId="33" type="noConversion"/>
  <pageMargins left="0.7" right="0.7" top="0.75" bottom="0.75" header="0.3" footer="0.3"/>
  <pageSetup paperSize="9"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Munka23"/>
  <dimension ref="B1:H25"/>
  <sheetViews>
    <sheetView showGridLines="0" zoomScaleNormal="100" workbookViewId="0">
      <selection activeCell="B25" sqref="B25:D25"/>
    </sheetView>
  </sheetViews>
  <sheetFormatPr baseColWidth="10" defaultColWidth="9.28515625" defaultRowHeight="15" x14ac:dyDescent="0.25"/>
  <cols>
    <col min="3" max="3" width="24.7109375" bestFit="1" customWidth="1"/>
    <col min="4" max="4" width="12" bestFit="1" customWidth="1"/>
    <col min="6" max="6" width="12" customWidth="1"/>
    <col min="7" max="7" width="14.7109375" style="148" customWidth="1"/>
    <col min="8" max="8" width="20.7109375" customWidth="1"/>
  </cols>
  <sheetData>
    <row r="1" spans="2:8" s="47" customFormat="1" ht="48" customHeight="1" thickBot="1" x14ac:dyDescent="0.3">
      <c r="G1" s="146"/>
    </row>
    <row r="2" spans="2:8" ht="15.75" thickBot="1" x14ac:dyDescent="0.3">
      <c r="B2" s="103"/>
      <c r="C2" s="118" t="s">
        <v>398</v>
      </c>
      <c r="D2" s="103"/>
      <c r="E2" s="103"/>
      <c r="F2" s="103"/>
      <c r="G2" s="147"/>
      <c r="H2" s="117"/>
    </row>
    <row r="3" spans="2:8" ht="15.75" thickBot="1" x14ac:dyDescent="0.3">
      <c r="B3" s="383" t="s">
        <v>0</v>
      </c>
      <c r="C3" s="384" t="s">
        <v>1</v>
      </c>
      <c r="D3" s="130" t="s">
        <v>152</v>
      </c>
      <c r="E3" s="384" t="s">
        <v>2</v>
      </c>
      <c r="F3" s="384" t="s">
        <v>302</v>
      </c>
      <c r="G3" s="384" t="s">
        <v>116</v>
      </c>
      <c r="H3" s="385" t="s">
        <v>117</v>
      </c>
    </row>
    <row r="4" spans="2:8" ht="17.25" x14ac:dyDescent="0.25">
      <c r="B4" s="892" t="s">
        <v>399</v>
      </c>
      <c r="C4" s="773" t="s">
        <v>400</v>
      </c>
      <c r="D4" s="893">
        <f>SUM(pH!D28:D40)</f>
        <v>6.3095734448019177E-8</v>
      </c>
      <c r="E4" s="774" t="s">
        <v>387</v>
      </c>
      <c r="F4" s="774">
        <v>2</v>
      </c>
      <c r="G4" s="774" t="s">
        <v>11</v>
      </c>
      <c r="H4" s="894"/>
    </row>
    <row r="5" spans="2:8" ht="17.25" x14ac:dyDescent="0.25">
      <c r="B5" s="895" t="s">
        <v>401</v>
      </c>
      <c r="C5" s="493" t="s">
        <v>402</v>
      </c>
      <c r="D5" s="515">
        <f>SUM(pH!E28:E40)</f>
        <v>1.384875770636308E-7</v>
      </c>
      <c r="E5" s="515" t="s">
        <v>387</v>
      </c>
      <c r="F5" s="515">
        <v>2</v>
      </c>
      <c r="G5" s="515" t="s">
        <v>11</v>
      </c>
      <c r="H5" s="896"/>
    </row>
    <row r="6" spans="2:8" ht="18" x14ac:dyDescent="0.25">
      <c r="B6" s="895" t="s">
        <v>403</v>
      </c>
      <c r="C6" s="493" t="s">
        <v>404</v>
      </c>
      <c r="D6" s="515">
        <f>SUM(pH!F28:F40)</f>
        <v>4.456809975059031E-7</v>
      </c>
      <c r="E6" s="515" t="s">
        <v>387</v>
      </c>
      <c r="F6" s="515">
        <v>2</v>
      </c>
      <c r="G6" s="515" t="s">
        <v>1248</v>
      </c>
      <c r="H6" s="896"/>
    </row>
    <row r="7" spans="2:8" ht="18" x14ac:dyDescent="0.25">
      <c r="B7" s="895" t="s">
        <v>405</v>
      </c>
      <c r="C7" s="493" t="s">
        <v>406</v>
      </c>
      <c r="D7" s="515">
        <f>SUM(pH!G28:G40)</f>
        <v>7.0948723109100212E-5</v>
      </c>
      <c r="E7" s="515" t="s">
        <v>387</v>
      </c>
      <c r="F7" s="515">
        <v>2</v>
      </c>
      <c r="G7" s="515" t="s">
        <v>1248</v>
      </c>
      <c r="H7" s="896"/>
    </row>
    <row r="8" spans="2:8" ht="18" x14ac:dyDescent="0.25">
      <c r="B8" s="895" t="s">
        <v>2177</v>
      </c>
      <c r="C8" s="897" t="s">
        <v>2178</v>
      </c>
      <c r="D8" s="515">
        <f>SUM(pH!H28:H40)</f>
        <v>8.600116917741957E-10</v>
      </c>
      <c r="E8" s="515" t="s">
        <v>387</v>
      </c>
      <c r="F8" s="515">
        <v>2</v>
      </c>
      <c r="G8" s="515" t="s">
        <v>11</v>
      </c>
      <c r="H8" s="896"/>
    </row>
    <row r="9" spans="2:8" ht="18" x14ac:dyDescent="0.25">
      <c r="B9" s="895" t="s">
        <v>2179</v>
      </c>
      <c r="C9" s="493" t="s">
        <v>2180</v>
      </c>
      <c r="D9" s="515">
        <f>SUM(pH!I28:I40)</f>
        <v>7.1385803989688371E-6</v>
      </c>
      <c r="E9" s="515" t="s">
        <v>387</v>
      </c>
      <c r="F9" s="515">
        <v>2</v>
      </c>
      <c r="G9" s="515" t="s">
        <v>11</v>
      </c>
      <c r="H9" s="896"/>
    </row>
    <row r="10" spans="2:8" ht="18" x14ac:dyDescent="0.25">
      <c r="B10" s="895" t="s">
        <v>426</v>
      </c>
      <c r="C10" s="493" t="s">
        <v>425</v>
      </c>
      <c r="D10" s="897">
        <f>SUM(pH!J28:J40)</f>
        <v>3.5697202053303062E-4</v>
      </c>
      <c r="E10" s="515" t="s">
        <v>387</v>
      </c>
      <c r="F10" s="515">
        <v>2</v>
      </c>
      <c r="G10" s="515" t="s">
        <v>11</v>
      </c>
      <c r="H10" s="896"/>
    </row>
    <row r="11" spans="2:8" ht="18" x14ac:dyDescent="0.25">
      <c r="B11" s="895" t="s">
        <v>407</v>
      </c>
      <c r="C11" s="493" t="s">
        <v>408</v>
      </c>
      <c r="D11" s="515">
        <f>SUM(pH!K28:K40)</f>
        <v>6.4880908822408209E-4</v>
      </c>
      <c r="E11" s="515" t="s">
        <v>387</v>
      </c>
      <c r="F11" s="515">
        <v>2</v>
      </c>
      <c r="G11" s="515" t="s">
        <v>1221</v>
      </c>
      <c r="H11" s="896"/>
    </row>
    <row r="12" spans="2:8" ht="18" x14ac:dyDescent="0.25">
      <c r="B12" s="895" t="s">
        <v>409</v>
      </c>
      <c r="C12" s="493" t="s">
        <v>410</v>
      </c>
      <c r="D12" s="515">
        <f>SUM(pH!L28:L40)</f>
        <v>5.5062302620906018E-3</v>
      </c>
      <c r="E12" s="515" t="s">
        <v>387</v>
      </c>
      <c r="F12" s="515">
        <v>2</v>
      </c>
      <c r="G12" s="515" t="s">
        <v>1221</v>
      </c>
      <c r="H12" s="896"/>
    </row>
    <row r="13" spans="2:8" ht="18" x14ac:dyDescent="0.25">
      <c r="B13" s="895" t="s">
        <v>411</v>
      </c>
      <c r="C13" s="493" t="s">
        <v>412</v>
      </c>
      <c r="D13" s="515">
        <f>SUM(pH!M28:M40)</f>
        <v>6.1336038012281396E-6</v>
      </c>
      <c r="E13" s="515" t="s">
        <v>387</v>
      </c>
      <c r="F13" s="515">
        <v>2</v>
      </c>
      <c r="G13" s="515" t="s">
        <v>1221</v>
      </c>
      <c r="H13" s="896"/>
    </row>
    <row r="14" spans="2:8" ht="18" x14ac:dyDescent="0.25">
      <c r="B14" s="895" t="s">
        <v>413</v>
      </c>
      <c r="C14" s="493" t="s">
        <v>414</v>
      </c>
      <c r="D14" s="515">
        <f>SUM(pH!N28:N40)</f>
        <v>4.0344172931174842E-11</v>
      </c>
      <c r="E14" s="515" t="s">
        <v>387</v>
      </c>
      <c r="F14" s="515">
        <v>2</v>
      </c>
      <c r="G14" s="515" t="s">
        <v>1222</v>
      </c>
      <c r="H14" s="896"/>
    </row>
    <row r="15" spans="2:8" ht="18" x14ac:dyDescent="0.25">
      <c r="B15" s="895" t="s">
        <v>415</v>
      </c>
      <c r="C15" s="493" t="s">
        <v>416</v>
      </c>
      <c r="D15" s="515">
        <f>SUM(pH!O28:O40)</f>
        <v>6.1647215595877176E-6</v>
      </c>
      <c r="E15" s="515" t="s">
        <v>387</v>
      </c>
      <c r="F15" s="515">
        <v>2</v>
      </c>
      <c r="G15" s="515" t="s">
        <v>1222</v>
      </c>
      <c r="H15" s="896"/>
    </row>
    <row r="16" spans="2:8" ht="18" x14ac:dyDescent="0.25">
      <c r="B16" s="895" t="s">
        <v>417</v>
      </c>
      <c r="C16" s="493" t="s">
        <v>418</v>
      </c>
      <c r="D16" s="515">
        <f>SUM(pH!P28:P40)</f>
        <v>9.9778036227837607E-6</v>
      </c>
      <c r="E16" s="515" t="s">
        <v>387</v>
      </c>
      <c r="F16" s="515">
        <v>2</v>
      </c>
      <c r="G16" s="515" t="s">
        <v>1222</v>
      </c>
      <c r="H16" s="898"/>
    </row>
    <row r="17" spans="2:8" ht="18" x14ac:dyDescent="0.25">
      <c r="B17" s="895" t="s">
        <v>419</v>
      </c>
      <c r="C17" s="897" t="s">
        <v>420</v>
      </c>
      <c r="D17" s="897">
        <f>SUM(pH!Q28:Q40)</f>
        <v>1.2959623276590366E-10</v>
      </c>
      <c r="E17" s="515" t="s">
        <v>387</v>
      </c>
      <c r="F17" s="515">
        <v>2</v>
      </c>
      <c r="G17" s="515" t="s">
        <v>1222</v>
      </c>
      <c r="H17" s="898"/>
    </row>
    <row r="18" spans="2:8" ht="18" x14ac:dyDescent="0.35">
      <c r="B18" s="899" t="s">
        <v>421</v>
      </c>
      <c r="C18" s="897" t="s">
        <v>422</v>
      </c>
      <c r="D18" s="897">
        <f>SUM(pH!R28:R40)</f>
        <v>4.3337108963713439E-10</v>
      </c>
      <c r="E18" s="515" t="s">
        <v>387</v>
      </c>
      <c r="F18" s="515">
        <v>2</v>
      </c>
      <c r="G18" s="516" t="s">
        <v>1618</v>
      </c>
      <c r="H18" s="898"/>
    </row>
    <row r="19" spans="2:8" ht="18" x14ac:dyDescent="0.35">
      <c r="B19" s="899" t="s">
        <v>423</v>
      </c>
      <c r="C19" s="897" t="s">
        <v>424</v>
      </c>
      <c r="D19" s="897">
        <f>SUM(pH!S28:S40)</f>
        <v>1.5582248850509766E-7</v>
      </c>
      <c r="E19" s="515" t="s">
        <v>387</v>
      </c>
      <c r="F19" s="515">
        <v>2</v>
      </c>
      <c r="G19" s="516" t="s">
        <v>1618</v>
      </c>
      <c r="H19" s="898"/>
    </row>
    <row r="20" spans="2:8" ht="18" x14ac:dyDescent="0.25">
      <c r="B20" s="895" t="s">
        <v>995</v>
      </c>
      <c r="C20" s="897" t="s">
        <v>997</v>
      </c>
      <c r="D20" s="897">
        <f>SUM(pH!T28:T40)</f>
        <v>3.7427017316233346E-3</v>
      </c>
      <c r="E20" s="515" t="s">
        <v>387</v>
      </c>
      <c r="F20" s="515">
        <v>2</v>
      </c>
      <c r="G20" s="515" t="s">
        <v>1223</v>
      </c>
      <c r="H20" s="898"/>
    </row>
    <row r="21" spans="2:8" ht="18" x14ac:dyDescent="0.35">
      <c r="B21" s="895" t="s">
        <v>996</v>
      </c>
      <c r="C21" s="897" t="s">
        <v>998</v>
      </c>
      <c r="D21" s="897">
        <f>SUM(pH!U28:U40)</f>
        <v>6.1715696358773911E-4</v>
      </c>
      <c r="E21" s="515" t="s">
        <v>387</v>
      </c>
      <c r="F21" s="515">
        <v>2</v>
      </c>
      <c r="G21" s="516" t="s">
        <v>1224</v>
      </c>
      <c r="H21" s="898"/>
    </row>
    <row r="22" spans="2:8" ht="18" x14ac:dyDescent="0.35">
      <c r="B22" s="899" t="s">
        <v>1252</v>
      </c>
      <c r="C22" s="897" t="s">
        <v>1053</v>
      </c>
      <c r="D22" s="897">
        <f>SUM(pH!V28:V40)</f>
        <v>1.5224163409384409E-3</v>
      </c>
      <c r="E22" s="515" t="s">
        <v>387</v>
      </c>
      <c r="F22" s="515">
        <v>2</v>
      </c>
      <c r="G22" s="516" t="s">
        <v>1225</v>
      </c>
      <c r="H22" s="898"/>
    </row>
    <row r="23" spans="2:8" ht="18" x14ac:dyDescent="0.35">
      <c r="B23" s="899" t="s">
        <v>1054</v>
      </c>
      <c r="C23" s="897" t="s">
        <v>1046</v>
      </c>
      <c r="D23" s="897">
        <f>SUM(pH!W28:W40)</f>
        <v>3.8364839391994023E-4</v>
      </c>
      <c r="E23" s="515" t="s">
        <v>387</v>
      </c>
      <c r="F23" s="515">
        <v>2</v>
      </c>
      <c r="G23" s="516" t="s">
        <v>1226</v>
      </c>
      <c r="H23" s="898"/>
    </row>
    <row r="24" spans="2:8" ht="18" x14ac:dyDescent="0.35">
      <c r="B24" s="899" t="s">
        <v>1251</v>
      </c>
      <c r="C24" s="897" t="s">
        <v>1055</v>
      </c>
      <c r="D24" s="897">
        <f>SUM(pH!X28:X40)</f>
        <v>4.2309536569542774E-3</v>
      </c>
      <c r="E24" s="515" t="s">
        <v>387</v>
      </c>
      <c r="F24" s="515">
        <v>2</v>
      </c>
      <c r="G24" s="516" t="s">
        <v>1227</v>
      </c>
      <c r="H24" s="898"/>
    </row>
    <row r="25" spans="2:8" ht="18.75" thickBot="1" x14ac:dyDescent="0.4">
      <c r="B25" s="90" t="s">
        <v>1056</v>
      </c>
      <c r="C25" s="900" t="s">
        <v>1051</v>
      </c>
      <c r="D25" s="900">
        <f>SUM(pH!Y28:Y40)</f>
        <v>1.7906706061420003E-55</v>
      </c>
      <c r="E25" s="650" t="s">
        <v>387</v>
      </c>
      <c r="F25" s="650">
        <v>2</v>
      </c>
      <c r="G25" s="771" t="s">
        <v>1628</v>
      </c>
      <c r="H25" s="85"/>
    </row>
  </sheetData>
  <pageMargins left="0.7" right="0.7" top="0.75" bottom="0.75" header="0.3" footer="0.3"/>
  <pageSetup paperSize="9" orientation="portrait" horizontalDpi="4294967293" verticalDpi="300"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Munka13"/>
  <dimension ref="B1:I13"/>
  <sheetViews>
    <sheetView showGridLines="0" workbookViewId="0">
      <selection activeCell="L12" sqref="L12"/>
    </sheetView>
  </sheetViews>
  <sheetFormatPr baseColWidth="10" defaultColWidth="9.28515625" defaultRowHeight="15" x14ac:dyDescent="0.25"/>
  <cols>
    <col min="1" max="1" width="4" style="21" customWidth="1"/>
    <col min="2" max="2" width="22" style="20" customWidth="1"/>
    <col min="3" max="3" width="9.5703125" style="21" customWidth="1"/>
    <col min="4" max="16384" width="9.28515625" style="21"/>
  </cols>
  <sheetData>
    <row r="1" spans="2:9" ht="56.25" customHeight="1" thickBot="1" x14ac:dyDescent="0.3"/>
    <row r="2" spans="2:9" s="20" customFormat="1" ht="15.75" thickBot="1" x14ac:dyDescent="0.3">
      <c r="B2" s="22" t="s">
        <v>134</v>
      </c>
      <c r="C2" s="23" t="s">
        <v>135</v>
      </c>
      <c r="D2" s="23" t="s">
        <v>136</v>
      </c>
      <c r="E2" s="23" t="s">
        <v>137</v>
      </c>
      <c r="F2" s="23" t="s">
        <v>138</v>
      </c>
      <c r="G2" s="23" t="s">
        <v>139</v>
      </c>
      <c r="H2" s="23" t="s">
        <v>140</v>
      </c>
      <c r="I2" s="24" t="s">
        <v>141</v>
      </c>
    </row>
    <row r="3" spans="2:9" ht="15.75" thickBot="1" x14ac:dyDescent="0.3">
      <c r="B3" s="25" t="s">
        <v>8</v>
      </c>
      <c r="C3" s="26">
        <v>1</v>
      </c>
      <c r="D3" s="26">
        <v>0</v>
      </c>
      <c r="E3" s="26">
        <v>-1</v>
      </c>
      <c r="F3" s="26">
        <v>-1</v>
      </c>
      <c r="G3" s="26">
        <v>1</v>
      </c>
      <c r="H3" s="27">
        <v>-1</v>
      </c>
      <c r="I3" s="28"/>
    </row>
    <row r="4" spans="2:9" x14ac:dyDescent="0.25">
      <c r="B4" s="29" t="s">
        <v>135</v>
      </c>
      <c r="C4" s="30">
        <v>1</v>
      </c>
      <c r="D4" s="30"/>
      <c r="E4" s="30"/>
      <c r="F4" s="30"/>
      <c r="G4" s="30"/>
      <c r="H4" s="31"/>
      <c r="I4" s="28"/>
    </row>
    <row r="5" spans="2:9" x14ac:dyDescent="0.25">
      <c r="B5" s="29" t="s">
        <v>136</v>
      </c>
      <c r="C5" s="30"/>
      <c r="D5" s="30">
        <v>1</v>
      </c>
      <c r="E5" s="30"/>
      <c r="F5" s="30"/>
      <c r="G5" s="30"/>
      <c r="H5" s="31"/>
      <c r="I5" s="28"/>
    </row>
    <row r="6" spans="2:9" x14ac:dyDescent="0.25">
      <c r="B6" s="29" t="s">
        <v>142</v>
      </c>
      <c r="C6" s="30"/>
      <c r="D6" s="30"/>
      <c r="E6" s="30">
        <v>1</v>
      </c>
      <c r="F6" s="30"/>
      <c r="G6" s="30"/>
      <c r="H6" s="31"/>
      <c r="I6" s="28"/>
    </row>
    <row r="7" spans="2:9" x14ac:dyDescent="0.25">
      <c r="B7" s="29" t="s">
        <v>143</v>
      </c>
      <c r="C7" s="30"/>
      <c r="D7" s="30"/>
      <c r="E7" s="30"/>
      <c r="F7" s="30">
        <v>1</v>
      </c>
      <c r="G7" s="30"/>
      <c r="H7" s="31"/>
      <c r="I7" s="28"/>
    </row>
    <row r="8" spans="2:9" x14ac:dyDescent="0.25">
      <c r="B8" s="29" t="s">
        <v>139</v>
      </c>
      <c r="C8" s="30"/>
      <c r="D8" s="30"/>
      <c r="E8" s="30"/>
      <c r="F8" s="30"/>
      <c r="G8" s="30">
        <v>1</v>
      </c>
      <c r="H8" s="31"/>
      <c r="I8" s="28"/>
    </row>
    <row r="9" spans="2:9" ht="15.75" thickBot="1" x14ac:dyDescent="0.3">
      <c r="B9" s="32" t="s">
        <v>140</v>
      </c>
      <c r="C9" s="33"/>
      <c r="D9" s="33"/>
      <c r="E9" s="33"/>
      <c r="F9" s="33"/>
      <c r="G9" s="33"/>
      <c r="H9" s="34">
        <v>1</v>
      </c>
    </row>
    <row r="10" spans="2:9" x14ac:dyDescent="0.25">
      <c r="B10" s="29" t="s">
        <v>144</v>
      </c>
      <c r="C10" s="30">
        <v>-1</v>
      </c>
      <c r="D10" s="30">
        <v>0</v>
      </c>
      <c r="E10" s="30">
        <v>0</v>
      </c>
      <c r="F10" s="30">
        <v>0</v>
      </c>
      <c r="G10" s="30">
        <v>0</v>
      </c>
      <c r="H10" s="30">
        <v>0</v>
      </c>
      <c r="I10" s="35">
        <v>-14.163232949999999</v>
      </c>
    </row>
    <row r="11" spans="2:9" ht="15.75" thickBot="1" x14ac:dyDescent="0.3">
      <c r="B11" s="29" t="s">
        <v>145</v>
      </c>
      <c r="C11" s="30">
        <v>1</v>
      </c>
      <c r="D11" s="30">
        <v>1</v>
      </c>
      <c r="E11" s="30">
        <v>0</v>
      </c>
      <c r="F11" s="30">
        <v>0</v>
      </c>
      <c r="G11" s="30">
        <v>0</v>
      </c>
      <c r="H11" s="30">
        <v>0</v>
      </c>
      <c r="I11" s="36">
        <v>9.4016472899999997</v>
      </c>
    </row>
    <row r="12" spans="2:9" x14ac:dyDescent="0.25">
      <c r="B12" s="37" t="s">
        <v>146</v>
      </c>
      <c r="C12" s="40"/>
      <c r="D12" s="40">
        <v>1E-3</v>
      </c>
      <c r="E12" s="40">
        <v>1E-3</v>
      </c>
      <c r="F12" s="40">
        <v>1E-3</v>
      </c>
      <c r="G12" s="40">
        <v>1E-3</v>
      </c>
      <c r="H12" s="38">
        <v>1E-3</v>
      </c>
      <c r="I12" s="28"/>
    </row>
    <row r="13" spans="2:9" ht="15.75" thickBot="1" x14ac:dyDescent="0.3">
      <c r="B13" s="32" t="s">
        <v>147</v>
      </c>
      <c r="C13" s="39">
        <v>9.9999999999999995E-8</v>
      </c>
      <c r="D13" s="39">
        <v>1E-4</v>
      </c>
      <c r="E13" s="33">
        <v>1E-3</v>
      </c>
      <c r="F13" s="33">
        <v>1E-3</v>
      </c>
      <c r="G13" s="33">
        <v>1E-3</v>
      </c>
      <c r="H13" s="34">
        <v>1E-3</v>
      </c>
      <c r="I13" s="28"/>
    </row>
  </sheetData>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Munka7"/>
  <dimension ref="A1:AA94"/>
  <sheetViews>
    <sheetView showGridLines="0" zoomScaleNormal="100" workbookViewId="0">
      <pane xSplit="2" ySplit="3" topLeftCell="C4" activePane="bottomRight" state="frozen"/>
      <selection activeCell="E8" sqref="E8"/>
      <selection pane="topRight" activeCell="E8" sqref="E8"/>
      <selection pane="bottomLeft" activeCell="E8" sqref="E8"/>
      <selection pane="bottomRight" activeCell="B91" sqref="B91:E91"/>
    </sheetView>
  </sheetViews>
  <sheetFormatPr baseColWidth="10" defaultColWidth="9.28515625" defaultRowHeight="15" x14ac:dyDescent="0.25"/>
  <cols>
    <col min="1" max="1" width="8.28515625" customWidth="1"/>
    <col min="2" max="2" width="17.28515625" customWidth="1"/>
    <col min="3" max="3" width="56.140625" style="69" bestFit="1" customWidth="1"/>
    <col min="4" max="10" width="19.28515625" customWidth="1"/>
    <col min="11" max="13" width="19.28515625" style="148" customWidth="1"/>
    <col min="14" max="15" width="19.28515625" customWidth="1"/>
    <col min="16" max="16" width="10.28515625" bestFit="1" customWidth="1"/>
    <col min="17" max="18" width="10.28515625" customWidth="1"/>
    <col min="19" max="19" width="13" customWidth="1"/>
    <col min="20" max="20" width="12" customWidth="1"/>
    <col min="21" max="21" width="13" style="148" customWidth="1"/>
    <col min="22" max="22" width="29.7109375" bestFit="1" customWidth="1"/>
    <col min="23" max="23" width="74.140625" bestFit="1" customWidth="1"/>
    <col min="24" max="24" width="19.28515625" customWidth="1"/>
    <col min="27" max="27" width="10.28515625" bestFit="1" customWidth="1"/>
  </cols>
  <sheetData>
    <row r="1" spans="1:27" s="47" customFormat="1" ht="48" customHeight="1" thickBot="1" x14ac:dyDescent="0.3">
      <c r="A1" s="50"/>
      <c r="B1" s="51"/>
      <c r="C1" s="72"/>
      <c r="K1" s="146"/>
      <c r="L1" s="146"/>
      <c r="M1" s="146"/>
      <c r="U1" s="146"/>
    </row>
    <row r="2" spans="1:27" ht="19.5" customHeight="1" thickBot="1" x14ac:dyDescent="0.3">
      <c r="A2" s="3"/>
      <c r="B2" s="4"/>
      <c r="C2" s="1427" t="s">
        <v>841</v>
      </c>
      <c r="D2" s="3"/>
      <c r="E2" s="3"/>
      <c r="F2" s="3"/>
      <c r="G2" s="3"/>
      <c r="H2" s="3"/>
      <c r="I2" s="3"/>
      <c r="J2" s="3"/>
      <c r="K2" s="3"/>
      <c r="L2" s="3"/>
      <c r="M2" s="3"/>
      <c r="N2" s="3"/>
      <c r="O2" s="3"/>
      <c r="P2" s="3"/>
      <c r="Q2" s="3"/>
    </row>
    <row r="3" spans="1:27" s="3" customFormat="1" ht="15.75" thickBot="1" x14ac:dyDescent="0.3">
      <c r="A3" s="5"/>
      <c r="B3" s="386" t="s">
        <v>0</v>
      </c>
      <c r="C3" s="482" t="s">
        <v>1</v>
      </c>
      <c r="D3" s="744" t="s">
        <v>12</v>
      </c>
      <c r="E3" s="744" t="s">
        <v>13</v>
      </c>
      <c r="F3" s="744" t="s">
        <v>4763</v>
      </c>
      <c r="G3" s="744" t="s">
        <v>1939</v>
      </c>
      <c r="H3" s="408" t="s">
        <v>1210</v>
      </c>
      <c r="I3" s="744" t="s">
        <v>1176</v>
      </c>
      <c r="J3" s="388" t="s">
        <v>1616</v>
      </c>
      <c r="K3" s="388" t="s">
        <v>3196</v>
      </c>
      <c r="L3" s="388" t="s">
        <v>4680</v>
      </c>
      <c r="M3" s="388" t="s">
        <v>4681</v>
      </c>
      <c r="N3" s="768" t="s">
        <v>473</v>
      </c>
      <c r="O3" s="768" t="s">
        <v>474</v>
      </c>
      <c r="P3" s="387" t="s">
        <v>2</v>
      </c>
      <c r="Q3" s="387" t="s">
        <v>302</v>
      </c>
      <c r="R3" s="387" t="s">
        <v>14</v>
      </c>
      <c r="S3" s="387" t="s">
        <v>843</v>
      </c>
      <c r="T3" s="387" t="s">
        <v>3</v>
      </c>
      <c r="U3" s="1438" t="s">
        <v>4408</v>
      </c>
      <c r="V3" s="387" t="s">
        <v>116</v>
      </c>
      <c r="W3" s="389" t="s">
        <v>7</v>
      </c>
    </row>
    <row r="4" spans="1:27" ht="18" x14ac:dyDescent="0.25">
      <c r="A4" s="78"/>
      <c r="B4" s="184" t="s">
        <v>807</v>
      </c>
      <c r="C4" s="623" t="s">
        <v>2840</v>
      </c>
      <c r="D4" s="183">
        <v>20</v>
      </c>
      <c r="E4" s="183">
        <v>0.01</v>
      </c>
      <c r="F4" s="183">
        <v>20</v>
      </c>
      <c r="G4" s="183">
        <v>0.01</v>
      </c>
      <c r="H4" s="183">
        <v>100</v>
      </c>
      <c r="I4" s="183">
        <v>0.01</v>
      </c>
      <c r="J4" s="183">
        <v>1E-3</v>
      </c>
      <c r="K4" s="921">
        <v>0.01</v>
      </c>
      <c r="L4" s="183">
        <v>0.120055</v>
      </c>
      <c r="M4" s="183">
        <v>46.688200000000002</v>
      </c>
      <c r="N4" s="769" t="s">
        <v>3194</v>
      </c>
      <c r="O4" s="769" t="s">
        <v>3195</v>
      </c>
      <c r="P4" s="88" t="s">
        <v>323</v>
      </c>
      <c r="Q4" s="88">
        <v>1</v>
      </c>
      <c r="R4" s="88" t="s">
        <v>256</v>
      </c>
      <c r="S4" s="88" t="s">
        <v>257</v>
      </c>
      <c r="T4" s="88" t="s">
        <v>260</v>
      </c>
      <c r="U4" s="769" t="s">
        <v>148</v>
      </c>
      <c r="V4" s="2462"/>
      <c r="W4" s="87"/>
      <c r="AA4" s="409"/>
    </row>
    <row r="5" spans="1:27" ht="18" x14ac:dyDescent="0.25">
      <c r="A5" s="658"/>
      <c r="B5" s="670" t="s">
        <v>3064</v>
      </c>
      <c r="C5" s="674" t="s">
        <v>3065</v>
      </c>
      <c r="D5" s="672">
        <v>18</v>
      </c>
      <c r="E5" s="672">
        <v>1</v>
      </c>
      <c r="F5" s="672">
        <v>18</v>
      </c>
      <c r="G5" s="672">
        <v>1</v>
      </c>
      <c r="H5" s="672">
        <v>0.1</v>
      </c>
      <c r="I5" s="672">
        <v>1</v>
      </c>
      <c r="J5" s="672">
        <v>1</v>
      </c>
      <c r="K5" s="921">
        <v>1</v>
      </c>
      <c r="L5" s="921">
        <v>0.19939299999999999</v>
      </c>
      <c r="M5" s="921">
        <v>6.55399E-3</v>
      </c>
      <c r="N5" s="770" t="s">
        <v>3194</v>
      </c>
      <c r="O5" s="770" t="s">
        <v>3195</v>
      </c>
      <c r="P5" s="673" t="s">
        <v>323</v>
      </c>
      <c r="Q5" s="673">
        <v>1</v>
      </c>
      <c r="R5" s="673" t="s">
        <v>256</v>
      </c>
      <c r="S5" s="673" t="s">
        <v>257</v>
      </c>
      <c r="T5" s="673" t="s">
        <v>260</v>
      </c>
      <c r="U5" s="769" t="s">
        <v>148</v>
      </c>
      <c r="V5" s="2463"/>
      <c r="W5" s="671"/>
    </row>
    <row r="6" spans="1:27" ht="18" x14ac:dyDescent="0.25">
      <c r="A6" s="658"/>
      <c r="B6" s="670" t="s">
        <v>3066</v>
      </c>
      <c r="C6" s="674" t="s">
        <v>3067</v>
      </c>
      <c r="D6" s="672">
        <v>27</v>
      </c>
      <c r="E6" s="672">
        <v>1</v>
      </c>
      <c r="F6" s="672">
        <v>27</v>
      </c>
      <c r="G6" s="672">
        <v>1</v>
      </c>
      <c r="H6" s="672">
        <v>0.1</v>
      </c>
      <c r="I6" s="672">
        <v>1</v>
      </c>
      <c r="J6" s="672">
        <v>1</v>
      </c>
      <c r="K6" s="921">
        <v>1</v>
      </c>
      <c r="L6" s="921">
        <v>1.6637599999999999</v>
      </c>
      <c r="M6" s="921">
        <v>7.4804200000000001E-2</v>
      </c>
      <c r="N6" s="770" t="s">
        <v>3194</v>
      </c>
      <c r="O6" s="770" t="s">
        <v>3195</v>
      </c>
      <c r="P6" s="673" t="s">
        <v>323</v>
      </c>
      <c r="Q6" s="673">
        <v>1</v>
      </c>
      <c r="R6" s="673" t="s">
        <v>256</v>
      </c>
      <c r="S6" s="673" t="s">
        <v>257</v>
      </c>
      <c r="T6" s="673" t="s">
        <v>260</v>
      </c>
      <c r="U6" s="769" t="s">
        <v>148</v>
      </c>
      <c r="V6" s="2463"/>
      <c r="W6" s="671"/>
    </row>
    <row r="7" spans="1:27" ht="18" x14ac:dyDescent="0.25">
      <c r="A7" s="78"/>
      <c r="B7" s="92" t="s">
        <v>808</v>
      </c>
      <c r="C7" s="624" t="s">
        <v>2841</v>
      </c>
      <c r="D7" s="95" t="s">
        <v>1211</v>
      </c>
      <c r="E7" s="97">
        <v>1E-50</v>
      </c>
      <c r="F7" s="95" t="s">
        <v>1211</v>
      </c>
      <c r="G7" s="95" t="s">
        <v>1211</v>
      </c>
      <c r="H7" s="95" t="s">
        <v>1211</v>
      </c>
      <c r="I7" s="95" t="s">
        <v>1211</v>
      </c>
      <c r="J7" s="95">
        <v>0.01</v>
      </c>
      <c r="K7" s="921" t="s">
        <v>1211</v>
      </c>
      <c r="L7" s="95" t="s">
        <v>1211</v>
      </c>
      <c r="M7" s="95" t="s">
        <v>1211</v>
      </c>
      <c r="N7" s="770" t="s">
        <v>3194</v>
      </c>
      <c r="O7" s="770" t="s">
        <v>3195</v>
      </c>
      <c r="P7" s="81" t="s">
        <v>323</v>
      </c>
      <c r="Q7" s="81">
        <v>1</v>
      </c>
      <c r="R7" s="81" t="s">
        <v>256</v>
      </c>
      <c r="S7" s="81" t="s">
        <v>257</v>
      </c>
      <c r="T7" s="81" t="s">
        <v>260</v>
      </c>
      <c r="U7" s="769" t="s">
        <v>148</v>
      </c>
      <c r="V7" s="2464"/>
      <c r="W7" s="84"/>
      <c r="AA7" s="409"/>
    </row>
    <row r="8" spans="1:27" ht="18" x14ac:dyDescent="0.25">
      <c r="A8" s="78"/>
      <c r="B8" s="92" t="s">
        <v>809</v>
      </c>
      <c r="C8" s="624" t="s">
        <v>214</v>
      </c>
      <c r="D8" s="95">
        <v>68</v>
      </c>
      <c r="E8" s="95">
        <v>0.01</v>
      </c>
      <c r="F8" s="95">
        <v>68</v>
      </c>
      <c r="G8" s="2591">
        <v>0.5</v>
      </c>
      <c r="H8" s="2591">
        <v>0.01</v>
      </c>
      <c r="I8" s="95">
        <v>0.01</v>
      </c>
      <c r="J8" s="95" t="s">
        <v>1211</v>
      </c>
      <c r="K8" s="921">
        <v>0.01</v>
      </c>
      <c r="L8" s="95">
        <v>5.9720300000000002</v>
      </c>
      <c r="M8" s="95">
        <v>7.9677699999999998</v>
      </c>
      <c r="N8" s="770" t="s">
        <v>3194</v>
      </c>
      <c r="O8" s="770" t="s">
        <v>3195</v>
      </c>
      <c r="P8" s="81" t="s">
        <v>323</v>
      </c>
      <c r="Q8" s="81">
        <v>1</v>
      </c>
      <c r="R8" s="81" t="s">
        <v>256</v>
      </c>
      <c r="S8" s="81" t="s">
        <v>258</v>
      </c>
      <c r="T8" s="81" t="s">
        <v>260</v>
      </c>
      <c r="U8" s="769" t="s">
        <v>148</v>
      </c>
      <c r="V8" s="2464"/>
      <c r="W8" s="84"/>
      <c r="AA8" s="409"/>
    </row>
    <row r="9" spans="1:27" ht="18" x14ac:dyDescent="0.25">
      <c r="A9" s="78"/>
      <c r="B9" s="92" t="s">
        <v>810</v>
      </c>
      <c r="C9" s="624" t="s">
        <v>215</v>
      </c>
      <c r="D9" s="95">
        <v>146.19999999999999</v>
      </c>
      <c r="E9" s="95">
        <v>14</v>
      </c>
      <c r="F9" s="95">
        <v>62.8</v>
      </c>
      <c r="G9" s="95">
        <v>14</v>
      </c>
      <c r="H9" s="2591">
        <v>85</v>
      </c>
      <c r="I9" s="95">
        <v>40</v>
      </c>
      <c r="J9" s="95">
        <v>100</v>
      </c>
      <c r="K9" s="921">
        <v>5.6000000000000005</v>
      </c>
      <c r="L9" s="95">
        <v>5.42821</v>
      </c>
      <c r="M9" s="95">
        <v>6.7440100000000003</v>
      </c>
      <c r="N9" s="770" t="s">
        <v>3194</v>
      </c>
      <c r="O9" s="770" t="s">
        <v>3195</v>
      </c>
      <c r="P9" s="81" t="s">
        <v>323</v>
      </c>
      <c r="Q9" s="81">
        <v>1</v>
      </c>
      <c r="R9" s="81" t="s">
        <v>256</v>
      </c>
      <c r="S9" s="81" t="s">
        <v>259</v>
      </c>
      <c r="T9" s="81" t="s">
        <v>260</v>
      </c>
      <c r="U9" s="769" t="s">
        <v>148</v>
      </c>
      <c r="V9" s="2464" t="s">
        <v>1864</v>
      </c>
      <c r="W9" s="84"/>
      <c r="AA9" s="409"/>
    </row>
    <row r="10" spans="1:27" s="69" customFormat="1" ht="18" x14ac:dyDescent="0.25">
      <c r="A10" s="78"/>
      <c r="B10" s="2068" t="s">
        <v>5309</v>
      </c>
      <c r="C10" s="2277" t="s">
        <v>5310</v>
      </c>
      <c r="D10" s="95" t="s">
        <v>1211</v>
      </c>
      <c r="E10" s="2591">
        <v>65</v>
      </c>
      <c r="F10" s="95" t="s">
        <v>1211</v>
      </c>
      <c r="G10" s="2591">
        <v>65</v>
      </c>
      <c r="H10" s="2591">
        <v>260</v>
      </c>
      <c r="I10" s="2591">
        <v>400</v>
      </c>
      <c r="J10" s="2278">
        <v>100</v>
      </c>
      <c r="K10" s="921">
        <v>5.6000000000000005</v>
      </c>
      <c r="L10" s="921">
        <v>11.280799999999999</v>
      </c>
      <c r="M10" s="921">
        <v>17.7393775</v>
      </c>
      <c r="N10" s="2279" t="s">
        <v>3194</v>
      </c>
      <c r="O10" s="2279" t="s">
        <v>3195</v>
      </c>
      <c r="P10" s="2279" t="s">
        <v>323</v>
      </c>
      <c r="Q10" s="2279">
        <v>1</v>
      </c>
      <c r="R10" s="2279" t="s">
        <v>256</v>
      </c>
      <c r="S10" s="2279" t="s">
        <v>259</v>
      </c>
      <c r="T10" s="2279" t="s">
        <v>260</v>
      </c>
      <c r="U10" s="769" t="s">
        <v>148</v>
      </c>
      <c r="V10" s="2518" t="s">
        <v>5311</v>
      </c>
      <c r="W10" s="2461"/>
      <c r="Z10" s="1263"/>
    </row>
    <row r="11" spans="1:27" ht="18" x14ac:dyDescent="0.25">
      <c r="A11" s="78"/>
      <c r="B11" s="92" t="s">
        <v>811</v>
      </c>
      <c r="C11" s="624" t="s">
        <v>216</v>
      </c>
      <c r="D11" s="95">
        <v>20</v>
      </c>
      <c r="E11" s="95">
        <v>7</v>
      </c>
      <c r="F11" s="95">
        <v>20</v>
      </c>
      <c r="G11" s="95">
        <v>7</v>
      </c>
      <c r="H11" s="95">
        <v>300</v>
      </c>
      <c r="I11" s="95">
        <v>7</v>
      </c>
      <c r="J11" s="95">
        <v>7</v>
      </c>
      <c r="K11" s="921">
        <v>7</v>
      </c>
      <c r="L11" s="95">
        <v>20</v>
      </c>
      <c r="M11" s="95">
        <v>20</v>
      </c>
      <c r="N11" s="770" t="s">
        <v>3194</v>
      </c>
      <c r="O11" s="770" t="s">
        <v>3195</v>
      </c>
      <c r="P11" s="81" t="s">
        <v>323</v>
      </c>
      <c r="Q11" s="81">
        <v>1</v>
      </c>
      <c r="R11" s="81" t="s">
        <v>256</v>
      </c>
      <c r="S11" s="81" t="s">
        <v>257</v>
      </c>
      <c r="T11" s="81" t="s">
        <v>260</v>
      </c>
      <c r="U11" s="769" t="s">
        <v>148</v>
      </c>
      <c r="V11" s="2464"/>
      <c r="W11" s="84"/>
      <c r="AA11" s="409"/>
    </row>
    <row r="12" spans="1:27" ht="18" x14ac:dyDescent="0.25">
      <c r="A12" s="78"/>
      <c r="B12" s="92" t="s">
        <v>812</v>
      </c>
      <c r="C12" s="624" t="s">
        <v>217</v>
      </c>
      <c r="D12" s="95">
        <v>17</v>
      </c>
      <c r="E12" s="95">
        <v>0.01</v>
      </c>
      <c r="F12" s="95">
        <v>17</v>
      </c>
      <c r="G12" s="95">
        <v>0.01</v>
      </c>
      <c r="H12" s="95">
        <v>0.01</v>
      </c>
      <c r="I12" s="95">
        <v>0.01</v>
      </c>
      <c r="J12" s="95" t="s">
        <v>1211</v>
      </c>
      <c r="K12" s="921">
        <v>0.01</v>
      </c>
      <c r="L12" s="95">
        <v>1.02922</v>
      </c>
      <c r="M12" s="95">
        <v>5.92834E-2</v>
      </c>
      <c r="N12" s="770" t="s">
        <v>3194</v>
      </c>
      <c r="O12" s="770" t="s">
        <v>3195</v>
      </c>
      <c r="P12" s="81" t="s">
        <v>323</v>
      </c>
      <c r="Q12" s="81">
        <v>1</v>
      </c>
      <c r="R12" s="81" t="s">
        <v>256</v>
      </c>
      <c r="S12" s="81" t="s">
        <v>258</v>
      </c>
      <c r="T12" s="81" t="s">
        <v>260</v>
      </c>
      <c r="U12" s="769" t="s">
        <v>148</v>
      </c>
      <c r="V12" s="2464"/>
      <c r="W12" s="84"/>
      <c r="AA12" s="409"/>
    </row>
    <row r="13" spans="1:27" ht="18" x14ac:dyDescent="0.25">
      <c r="A13" s="78"/>
      <c r="B13" s="92" t="s">
        <v>813</v>
      </c>
      <c r="C13" s="624" t="s">
        <v>218</v>
      </c>
      <c r="D13" s="95">
        <v>58.8</v>
      </c>
      <c r="E13" s="95">
        <v>1000</v>
      </c>
      <c r="F13" s="95">
        <v>25.26</v>
      </c>
      <c r="G13" s="95">
        <v>1000</v>
      </c>
      <c r="H13" s="2591">
        <v>16600</v>
      </c>
      <c r="I13" s="95">
        <v>18000</v>
      </c>
      <c r="J13" s="95">
        <v>1700</v>
      </c>
      <c r="K13" s="921">
        <v>400</v>
      </c>
      <c r="L13" s="95">
        <v>67.707800000000006</v>
      </c>
      <c r="M13" s="95">
        <v>31239.1</v>
      </c>
      <c r="N13" s="770" t="s">
        <v>3194</v>
      </c>
      <c r="O13" s="770" t="s">
        <v>3195</v>
      </c>
      <c r="P13" s="81" t="s">
        <v>323</v>
      </c>
      <c r="Q13" s="81">
        <v>1</v>
      </c>
      <c r="R13" s="81" t="s">
        <v>256</v>
      </c>
      <c r="S13" s="81" t="s">
        <v>259</v>
      </c>
      <c r="T13" s="81" t="s">
        <v>260</v>
      </c>
      <c r="U13" s="769" t="s">
        <v>148</v>
      </c>
      <c r="V13" s="2465" t="s">
        <v>5074</v>
      </c>
      <c r="W13" s="84"/>
      <c r="AA13" s="409"/>
    </row>
    <row r="14" spans="1:27" ht="18" x14ac:dyDescent="0.25">
      <c r="A14" s="652"/>
      <c r="B14" s="655" t="s">
        <v>3044</v>
      </c>
      <c r="C14" s="657" t="s">
        <v>3045</v>
      </c>
      <c r="D14" s="656" t="s">
        <v>1211</v>
      </c>
      <c r="E14" s="656">
        <v>222</v>
      </c>
      <c r="F14" s="656" t="s">
        <v>1211</v>
      </c>
      <c r="G14" s="656">
        <v>222</v>
      </c>
      <c r="H14" s="656">
        <v>450</v>
      </c>
      <c r="I14" s="1432">
        <v>1.0000000000000001E-5</v>
      </c>
      <c r="J14" s="656">
        <v>215</v>
      </c>
      <c r="K14" s="921">
        <v>88.800000000000011</v>
      </c>
      <c r="L14" s="921">
        <v>0.17049400000000001</v>
      </c>
      <c r="M14" s="656">
        <v>11.8071</v>
      </c>
      <c r="N14" s="770" t="s">
        <v>3194</v>
      </c>
      <c r="O14" s="770" t="s">
        <v>3195</v>
      </c>
      <c r="P14" s="653" t="s">
        <v>323</v>
      </c>
      <c r="Q14" s="653">
        <v>1</v>
      </c>
      <c r="R14" s="653" t="s">
        <v>256</v>
      </c>
      <c r="S14" s="653" t="s">
        <v>259</v>
      </c>
      <c r="T14" s="653" t="s">
        <v>260</v>
      </c>
      <c r="U14" s="769" t="s">
        <v>148</v>
      </c>
      <c r="V14" s="2466" t="s">
        <v>3187</v>
      </c>
      <c r="W14" s="654"/>
      <c r="AA14" s="409"/>
    </row>
    <row r="15" spans="1:27" ht="18" x14ac:dyDescent="0.25">
      <c r="A15" s="78"/>
      <c r="B15" s="2068" t="s">
        <v>5245</v>
      </c>
      <c r="C15" s="2277" t="s">
        <v>5246</v>
      </c>
      <c r="D15" s="1428">
        <v>0.1</v>
      </c>
      <c r="E15" s="1429">
        <v>20</v>
      </c>
      <c r="F15" s="2158">
        <v>4.2999999999999997E-2</v>
      </c>
      <c r="G15" s="1429">
        <v>20</v>
      </c>
      <c r="H15" s="2592">
        <v>0.5</v>
      </c>
      <c r="I15" s="1433">
        <v>1.0000000000000001E-5</v>
      </c>
      <c r="J15" s="1430">
        <v>215</v>
      </c>
      <c r="K15" s="1431">
        <v>88.800000000000011</v>
      </c>
      <c r="L15" s="1430">
        <v>3.3766600000000001E-3</v>
      </c>
      <c r="M15" s="1430">
        <v>16.191400000000002</v>
      </c>
      <c r="N15" s="770" t="s">
        <v>3194</v>
      </c>
      <c r="O15" s="770" t="s">
        <v>3195</v>
      </c>
      <c r="P15" s="81" t="s">
        <v>323</v>
      </c>
      <c r="Q15" s="81">
        <v>1</v>
      </c>
      <c r="R15" s="81" t="s">
        <v>256</v>
      </c>
      <c r="S15" s="81" t="s">
        <v>259</v>
      </c>
      <c r="T15" s="81" t="s">
        <v>260</v>
      </c>
      <c r="U15" s="769" t="s">
        <v>148</v>
      </c>
      <c r="V15" s="2518" t="s">
        <v>5312</v>
      </c>
      <c r="W15" s="84"/>
      <c r="AA15" s="409"/>
    </row>
    <row r="16" spans="1:27" ht="18" x14ac:dyDescent="0.25">
      <c r="A16" s="78"/>
      <c r="B16" s="2068" t="s">
        <v>5247</v>
      </c>
      <c r="C16" s="2277" t="s">
        <v>5248</v>
      </c>
      <c r="D16" s="1428">
        <v>0.1</v>
      </c>
      <c r="E16" s="1429">
        <v>3</v>
      </c>
      <c r="F16" s="2158">
        <v>4.2999999999999997E-2</v>
      </c>
      <c r="G16" s="1429">
        <v>3</v>
      </c>
      <c r="H16" s="2592">
        <v>0.5</v>
      </c>
      <c r="I16" s="1430">
        <v>0.1</v>
      </c>
      <c r="J16" s="1430">
        <v>75</v>
      </c>
      <c r="K16" s="1431">
        <v>12</v>
      </c>
      <c r="L16" s="1430">
        <v>5.2544699999999998E-3</v>
      </c>
      <c r="M16" s="1430">
        <v>71.317999999999998</v>
      </c>
      <c r="N16" s="770" t="s">
        <v>3194</v>
      </c>
      <c r="O16" s="770" t="s">
        <v>3195</v>
      </c>
      <c r="P16" s="81" t="s">
        <v>323</v>
      </c>
      <c r="Q16" s="81">
        <v>1</v>
      </c>
      <c r="R16" s="81" t="s">
        <v>256</v>
      </c>
      <c r="S16" s="81" t="s">
        <v>259</v>
      </c>
      <c r="T16" s="81" t="s">
        <v>260</v>
      </c>
      <c r="U16" s="769" t="s">
        <v>148</v>
      </c>
      <c r="V16" s="2518" t="s">
        <v>5312</v>
      </c>
      <c r="W16" s="84"/>
      <c r="AA16" s="409"/>
    </row>
    <row r="17" spans="1:27" ht="18" x14ac:dyDescent="0.25">
      <c r="A17" s="78"/>
      <c r="B17" s="92" t="s">
        <v>814</v>
      </c>
      <c r="C17" s="624" t="s">
        <v>219</v>
      </c>
      <c r="D17" s="95">
        <v>2.1</v>
      </c>
      <c r="E17" s="95">
        <v>300</v>
      </c>
      <c r="F17" s="95">
        <v>0.9</v>
      </c>
      <c r="G17" s="95">
        <v>300</v>
      </c>
      <c r="H17" s="2591">
        <v>3900</v>
      </c>
      <c r="I17" s="95">
        <v>11000</v>
      </c>
      <c r="J17" s="95">
        <v>800</v>
      </c>
      <c r="K17" s="921">
        <v>120</v>
      </c>
      <c r="L17" s="95">
        <v>5.5514599999999996</v>
      </c>
      <c r="M17" s="95">
        <v>428.83800000000002</v>
      </c>
      <c r="N17" s="770" t="s">
        <v>3194</v>
      </c>
      <c r="O17" s="770" t="s">
        <v>3195</v>
      </c>
      <c r="P17" s="81" t="s">
        <v>323</v>
      </c>
      <c r="Q17" s="81">
        <v>1</v>
      </c>
      <c r="R17" s="81" t="s">
        <v>256</v>
      </c>
      <c r="S17" s="81" t="s">
        <v>259</v>
      </c>
      <c r="T17" s="81" t="s">
        <v>260</v>
      </c>
      <c r="U17" s="769" t="s">
        <v>148</v>
      </c>
      <c r="V17" s="2464"/>
      <c r="W17" s="84"/>
      <c r="AA17" s="409"/>
    </row>
    <row r="18" spans="1:27" ht="18" x14ac:dyDescent="0.25">
      <c r="A18" s="78"/>
      <c r="B18" s="92" t="s">
        <v>1733</v>
      </c>
      <c r="C18" s="624" t="s">
        <v>1136</v>
      </c>
      <c r="D18" s="95" t="s">
        <v>1211</v>
      </c>
      <c r="E18" s="95">
        <v>0.1</v>
      </c>
      <c r="F18" s="95" t="s">
        <v>1211</v>
      </c>
      <c r="G18" s="95">
        <v>0.1</v>
      </c>
      <c r="H18" s="2591">
        <v>840</v>
      </c>
      <c r="I18" s="95">
        <v>0.01</v>
      </c>
      <c r="J18" s="95">
        <v>2</v>
      </c>
      <c r="K18" s="921">
        <v>4.0000000000000008E-2</v>
      </c>
      <c r="L18" s="95">
        <v>2.8378799999999999E-2</v>
      </c>
      <c r="M18" s="95">
        <v>5792.29</v>
      </c>
      <c r="N18" s="770" t="s">
        <v>3194</v>
      </c>
      <c r="O18" s="770" t="s">
        <v>3195</v>
      </c>
      <c r="P18" s="81" t="s">
        <v>323</v>
      </c>
      <c r="Q18" s="81">
        <v>1</v>
      </c>
      <c r="R18" s="81" t="s">
        <v>256</v>
      </c>
      <c r="S18" s="81" t="s">
        <v>259</v>
      </c>
      <c r="T18" s="81" t="s">
        <v>260</v>
      </c>
      <c r="U18" s="769" t="s">
        <v>148</v>
      </c>
      <c r="V18" s="2464"/>
      <c r="W18" s="84"/>
      <c r="AA18" s="409"/>
    </row>
    <row r="19" spans="1:27" ht="18" x14ac:dyDescent="0.25">
      <c r="A19" s="78"/>
      <c r="B19" s="92" t="s">
        <v>815</v>
      </c>
      <c r="C19" s="624" t="s">
        <v>2842</v>
      </c>
      <c r="D19" s="95">
        <v>4.2</v>
      </c>
      <c r="E19" s="95">
        <v>500</v>
      </c>
      <c r="F19" s="95">
        <v>1.8</v>
      </c>
      <c r="G19" s="95">
        <v>500</v>
      </c>
      <c r="H19" s="2591">
        <v>1750</v>
      </c>
      <c r="I19" s="95">
        <v>7700</v>
      </c>
      <c r="J19" s="95">
        <v>3100</v>
      </c>
      <c r="K19" s="921">
        <v>200</v>
      </c>
      <c r="L19" s="95">
        <v>137.85599999999999</v>
      </c>
      <c r="M19" s="95">
        <v>1964.82</v>
      </c>
      <c r="N19" s="770" t="s">
        <v>3194</v>
      </c>
      <c r="O19" s="770" t="s">
        <v>3195</v>
      </c>
      <c r="P19" s="81" t="s">
        <v>323</v>
      </c>
      <c r="Q19" s="81">
        <v>1</v>
      </c>
      <c r="R19" s="81" t="s">
        <v>256</v>
      </c>
      <c r="S19" s="81" t="s">
        <v>259</v>
      </c>
      <c r="T19" s="81" t="s">
        <v>260</v>
      </c>
      <c r="U19" s="769" t="s">
        <v>4409</v>
      </c>
      <c r="V19" s="2464" t="s">
        <v>1861</v>
      </c>
      <c r="W19" s="84"/>
      <c r="AA19" s="409"/>
    </row>
    <row r="20" spans="1:27" ht="18" x14ac:dyDescent="0.25">
      <c r="A20" s="658"/>
      <c r="B20" s="670" t="s">
        <v>3046</v>
      </c>
      <c r="C20" s="662" t="s">
        <v>3628</v>
      </c>
      <c r="D20" s="660">
        <v>37.799999999999997</v>
      </c>
      <c r="E20" s="660">
        <v>250</v>
      </c>
      <c r="F20" s="660">
        <v>16.239999999999998</v>
      </c>
      <c r="G20" s="660">
        <v>250</v>
      </c>
      <c r="H20" s="95">
        <v>0.1</v>
      </c>
      <c r="I20" s="95">
        <v>0.1</v>
      </c>
      <c r="J20" s="95">
        <v>0.1</v>
      </c>
      <c r="K20" s="183">
        <v>100</v>
      </c>
      <c r="L20" s="183">
        <v>17.844000000000001</v>
      </c>
      <c r="M20" s="95">
        <v>19.602</v>
      </c>
      <c r="N20" s="770" t="s">
        <v>3194</v>
      </c>
      <c r="O20" s="770" t="s">
        <v>3195</v>
      </c>
      <c r="P20" s="661" t="s">
        <v>323</v>
      </c>
      <c r="Q20" s="661">
        <v>1</v>
      </c>
      <c r="R20" s="661" t="s">
        <v>256</v>
      </c>
      <c r="S20" s="661" t="s">
        <v>259</v>
      </c>
      <c r="T20" s="661" t="s">
        <v>260</v>
      </c>
      <c r="U20" s="769" t="s">
        <v>4409</v>
      </c>
      <c r="V20" s="2467" t="s">
        <v>5187</v>
      </c>
      <c r="W20" s="659"/>
    </row>
    <row r="21" spans="1:27" ht="18" x14ac:dyDescent="0.25">
      <c r="A21" s="78"/>
      <c r="B21" s="92" t="s">
        <v>4002</v>
      </c>
      <c r="C21" s="995" t="s">
        <v>4001</v>
      </c>
      <c r="D21" s="95">
        <v>0.1</v>
      </c>
      <c r="E21" s="1148">
        <v>500</v>
      </c>
      <c r="F21" s="2158">
        <v>4.2999999999999997E-2</v>
      </c>
      <c r="G21" s="1148">
        <v>500</v>
      </c>
      <c r="H21" s="2591">
        <v>1</v>
      </c>
      <c r="I21" s="95">
        <v>2</v>
      </c>
      <c r="J21" s="95">
        <v>850</v>
      </c>
      <c r="K21" s="921">
        <v>148</v>
      </c>
      <c r="L21" s="95">
        <v>0.196606</v>
      </c>
      <c r="M21" s="95">
        <v>198.74700000000001</v>
      </c>
      <c r="N21" s="770" t="s">
        <v>3194</v>
      </c>
      <c r="O21" s="770" t="s">
        <v>3195</v>
      </c>
      <c r="P21" s="81" t="s">
        <v>323</v>
      </c>
      <c r="Q21" s="81">
        <v>1</v>
      </c>
      <c r="R21" s="81" t="s">
        <v>256</v>
      </c>
      <c r="S21" s="81" t="s">
        <v>259</v>
      </c>
      <c r="T21" s="81" t="s">
        <v>260</v>
      </c>
      <c r="U21" s="769" t="s">
        <v>4409</v>
      </c>
      <c r="V21" s="2518" t="s">
        <v>5375</v>
      </c>
      <c r="W21" s="84"/>
      <c r="AA21" s="409"/>
    </row>
    <row r="22" spans="1:27" ht="18" x14ac:dyDescent="0.25">
      <c r="A22" s="78"/>
      <c r="B22" s="92" t="s">
        <v>816</v>
      </c>
      <c r="C22" s="624" t="s">
        <v>2843</v>
      </c>
      <c r="D22" s="95">
        <v>0.1</v>
      </c>
      <c r="E22" s="95">
        <v>1</v>
      </c>
      <c r="F22" s="2158">
        <v>4.2999999999999997E-2</v>
      </c>
      <c r="G22" s="95">
        <v>1</v>
      </c>
      <c r="H22" s="2591">
        <v>1</v>
      </c>
      <c r="I22" s="95">
        <v>6</v>
      </c>
      <c r="J22" s="95">
        <v>3</v>
      </c>
      <c r="K22" s="921">
        <v>0.4</v>
      </c>
      <c r="L22" s="95">
        <v>8.1148399999999996E-2</v>
      </c>
      <c r="M22" s="95">
        <v>3.8197000000000001</v>
      </c>
      <c r="N22" s="770" t="s">
        <v>3194</v>
      </c>
      <c r="O22" s="770" t="s">
        <v>3195</v>
      </c>
      <c r="P22" s="81" t="s">
        <v>323</v>
      </c>
      <c r="Q22" s="81">
        <v>1</v>
      </c>
      <c r="R22" s="81" t="s">
        <v>256</v>
      </c>
      <c r="S22" s="81" t="s">
        <v>259</v>
      </c>
      <c r="T22" s="81" t="s">
        <v>260</v>
      </c>
      <c r="U22" s="769" t="s">
        <v>4409</v>
      </c>
      <c r="V22" s="2464" t="s">
        <v>1861</v>
      </c>
      <c r="W22" s="84"/>
      <c r="AA22" s="409"/>
    </row>
    <row r="23" spans="1:27" s="117" customFormat="1" ht="18" x14ac:dyDescent="0.25">
      <c r="B23" s="92" t="s">
        <v>2171</v>
      </c>
      <c r="C23" s="624" t="s">
        <v>2844</v>
      </c>
      <c r="D23" s="95">
        <v>0.1</v>
      </c>
      <c r="E23" s="95">
        <v>33</v>
      </c>
      <c r="F23" s="2158">
        <v>4.2999999999999997E-2</v>
      </c>
      <c r="G23" s="95">
        <v>33</v>
      </c>
      <c r="H23" s="95">
        <v>4</v>
      </c>
      <c r="I23" s="95">
        <v>250</v>
      </c>
      <c r="J23" s="95">
        <v>50</v>
      </c>
      <c r="K23" s="921">
        <v>13.200000000000001</v>
      </c>
      <c r="L23" s="95">
        <v>0.36059099999999999</v>
      </c>
      <c r="M23" s="95">
        <v>5.3464600000000004</v>
      </c>
      <c r="N23" s="770" t="s">
        <v>3194</v>
      </c>
      <c r="O23" s="770" t="s">
        <v>3195</v>
      </c>
      <c r="P23" s="81" t="s">
        <v>323</v>
      </c>
      <c r="Q23" s="81">
        <v>1</v>
      </c>
      <c r="R23" s="81" t="s">
        <v>256</v>
      </c>
      <c r="S23" s="81" t="s">
        <v>259</v>
      </c>
      <c r="T23" s="81" t="s">
        <v>260</v>
      </c>
      <c r="U23" s="769" t="s">
        <v>4409</v>
      </c>
      <c r="V23" s="2464" t="s">
        <v>1861</v>
      </c>
      <c r="W23" s="84"/>
    </row>
    <row r="24" spans="1:27" s="117" customFormat="1" ht="18" x14ac:dyDescent="0.25">
      <c r="B24" s="92" t="s">
        <v>2172</v>
      </c>
      <c r="C24" s="624" t="s">
        <v>2845</v>
      </c>
      <c r="D24" s="95">
        <v>0.1</v>
      </c>
      <c r="E24" s="95">
        <v>20</v>
      </c>
      <c r="F24" s="2158">
        <v>4.2999999999999997E-2</v>
      </c>
      <c r="G24" s="95">
        <v>20</v>
      </c>
      <c r="H24" s="95">
        <v>3</v>
      </c>
      <c r="I24" s="95">
        <v>150</v>
      </c>
      <c r="J24" s="95">
        <v>30</v>
      </c>
      <c r="K24" s="921">
        <v>8</v>
      </c>
      <c r="L24" s="95">
        <v>7.4271000000000004E-2</v>
      </c>
      <c r="M24" s="95">
        <v>1.25274</v>
      </c>
      <c r="N24" s="770" t="s">
        <v>3194</v>
      </c>
      <c r="O24" s="770" t="s">
        <v>3195</v>
      </c>
      <c r="P24" s="81" t="s">
        <v>323</v>
      </c>
      <c r="Q24" s="81">
        <v>1</v>
      </c>
      <c r="R24" s="81" t="s">
        <v>256</v>
      </c>
      <c r="S24" s="81" t="s">
        <v>259</v>
      </c>
      <c r="T24" s="81" t="s">
        <v>260</v>
      </c>
      <c r="U24" s="769" t="s">
        <v>4409</v>
      </c>
      <c r="V24" s="2464" t="s">
        <v>1861</v>
      </c>
      <c r="W24" s="84"/>
    </row>
    <row r="25" spans="1:27" s="117" customFormat="1" ht="18" x14ac:dyDescent="0.25">
      <c r="B25" s="92" t="s">
        <v>2195</v>
      </c>
      <c r="C25" s="624" t="s">
        <v>2846</v>
      </c>
      <c r="D25" s="95">
        <v>0.1</v>
      </c>
      <c r="E25" s="95">
        <v>1</v>
      </c>
      <c r="F25" s="2158">
        <v>4.2999999999999997E-2</v>
      </c>
      <c r="G25" s="95">
        <v>1</v>
      </c>
      <c r="H25" s="95">
        <v>17</v>
      </c>
      <c r="I25" s="95">
        <v>10</v>
      </c>
      <c r="J25" s="95">
        <v>50</v>
      </c>
      <c r="K25" s="921">
        <v>0.4</v>
      </c>
      <c r="L25" s="95">
        <v>8.8330199999999998E-2</v>
      </c>
      <c r="M25" s="95">
        <v>9.3552400000000002</v>
      </c>
      <c r="N25" s="770" t="s">
        <v>3194</v>
      </c>
      <c r="O25" s="770" t="s">
        <v>3195</v>
      </c>
      <c r="P25" s="81" t="s">
        <v>323</v>
      </c>
      <c r="Q25" s="81">
        <v>1</v>
      </c>
      <c r="R25" s="81" t="s">
        <v>256</v>
      </c>
      <c r="S25" s="81" t="s">
        <v>259</v>
      </c>
      <c r="T25" s="81" t="s">
        <v>260</v>
      </c>
      <c r="U25" s="769" t="s">
        <v>4409</v>
      </c>
      <c r="V25" s="2464" t="s">
        <v>1861</v>
      </c>
      <c r="W25" s="84"/>
    </row>
    <row r="26" spans="1:27" ht="18" x14ac:dyDescent="0.25">
      <c r="A26" s="78"/>
      <c r="B26" s="92" t="s">
        <v>817</v>
      </c>
      <c r="C26" s="624" t="s">
        <v>2847</v>
      </c>
      <c r="D26" s="95">
        <v>0.1</v>
      </c>
      <c r="E26" s="95">
        <v>0.3</v>
      </c>
      <c r="F26" s="2158">
        <v>4.2999999999999997E-2</v>
      </c>
      <c r="G26" s="95">
        <v>0.3</v>
      </c>
      <c r="H26" s="2591">
        <v>860</v>
      </c>
      <c r="I26" s="95">
        <v>2</v>
      </c>
      <c r="J26" s="95">
        <v>50</v>
      </c>
      <c r="K26" s="921">
        <v>0.12</v>
      </c>
      <c r="L26" s="95">
        <v>5.4288900000000001E-2</v>
      </c>
      <c r="M26" s="95">
        <v>287.13200000000001</v>
      </c>
      <c r="N26" s="770" t="s">
        <v>3194</v>
      </c>
      <c r="O26" s="770" t="s">
        <v>3195</v>
      </c>
      <c r="P26" s="81" t="s">
        <v>323</v>
      </c>
      <c r="Q26" s="81">
        <v>1</v>
      </c>
      <c r="R26" s="81" t="s">
        <v>256</v>
      </c>
      <c r="S26" s="81" t="s">
        <v>259</v>
      </c>
      <c r="T26" s="81" t="s">
        <v>260</v>
      </c>
      <c r="U26" s="769" t="s">
        <v>4409</v>
      </c>
      <c r="V26" s="2464" t="s">
        <v>1861</v>
      </c>
      <c r="W26" s="84"/>
      <c r="AA26" s="409"/>
    </row>
    <row r="27" spans="1:27" ht="18" x14ac:dyDescent="0.25">
      <c r="A27" s="78"/>
      <c r="B27" s="92" t="s">
        <v>818</v>
      </c>
      <c r="C27" s="624" t="s">
        <v>2848</v>
      </c>
      <c r="D27" s="95">
        <v>0.1</v>
      </c>
      <c r="E27" s="95">
        <v>0.2</v>
      </c>
      <c r="F27" s="2158">
        <v>4.2999999999999997E-2</v>
      </c>
      <c r="G27" s="95">
        <v>0.2</v>
      </c>
      <c r="H27" s="2591">
        <v>210</v>
      </c>
      <c r="I27" s="95">
        <v>0.5</v>
      </c>
      <c r="J27" s="95">
        <v>10</v>
      </c>
      <c r="K27" s="921">
        <v>8.0000000000000016E-2</v>
      </c>
      <c r="L27" s="95">
        <v>2.4021199999999999E-2</v>
      </c>
      <c r="M27" s="95">
        <v>11.9176</v>
      </c>
      <c r="N27" s="770" t="s">
        <v>3194</v>
      </c>
      <c r="O27" s="770" t="s">
        <v>3195</v>
      </c>
      <c r="P27" s="81" t="s">
        <v>323</v>
      </c>
      <c r="Q27" s="81">
        <v>1</v>
      </c>
      <c r="R27" s="81" t="s">
        <v>256</v>
      </c>
      <c r="S27" s="81" t="s">
        <v>259</v>
      </c>
      <c r="T27" s="81" t="s">
        <v>260</v>
      </c>
      <c r="U27" s="769" t="s">
        <v>4409</v>
      </c>
      <c r="V27" s="2464" t="s">
        <v>1861</v>
      </c>
      <c r="W27" s="84"/>
      <c r="AA27" s="409"/>
    </row>
    <row r="28" spans="1:27" s="69" customFormat="1" ht="18" x14ac:dyDescent="0.25">
      <c r="A28" s="2280"/>
      <c r="B28" s="2068" t="s">
        <v>4854</v>
      </c>
      <c r="C28" s="2277" t="s">
        <v>4855</v>
      </c>
      <c r="D28" s="2278">
        <v>0</v>
      </c>
      <c r="E28" s="2278">
        <v>0</v>
      </c>
      <c r="F28" s="2278" t="s">
        <v>1211</v>
      </c>
      <c r="G28" s="2278" t="s">
        <v>1211</v>
      </c>
      <c r="H28" s="2278" t="s">
        <v>1211</v>
      </c>
      <c r="I28" s="2278" t="s">
        <v>1211</v>
      </c>
      <c r="J28" s="2278" t="s">
        <v>1211</v>
      </c>
      <c r="K28" s="2278" t="s">
        <v>1211</v>
      </c>
      <c r="L28" s="921">
        <v>0.131192</v>
      </c>
      <c r="M28" s="2278">
        <v>198.26332500000001</v>
      </c>
      <c r="N28" s="2279" t="s">
        <v>3194</v>
      </c>
      <c r="O28" s="2279" t="s">
        <v>3195</v>
      </c>
      <c r="P28" s="2279" t="s">
        <v>323</v>
      </c>
      <c r="Q28" s="2279">
        <v>1</v>
      </c>
      <c r="R28" s="2279" t="s">
        <v>256</v>
      </c>
      <c r="S28" s="2279" t="s">
        <v>259</v>
      </c>
      <c r="T28" s="2279" t="s">
        <v>260</v>
      </c>
      <c r="U28" s="769" t="s">
        <v>4409</v>
      </c>
      <c r="V28" s="2465" t="s">
        <v>5075</v>
      </c>
      <c r="W28" s="2461"/>
      <c r="Y28" s="1263"/>
    </row>
    <row r="29" spans="1:27" ht="18" x14ac:dyDescent="0.25">
      <c r="A29" s="78"/>
      <c r="B29" s="92" t="s">
        <v>819</v>
      </c>
      <c r="C29" s="624" t="s">
        <v>2849</v>
      </c>
      <c r="D29" s="95">
        <v>24</v>
      </c>
      <c r="E29" s="95">
        <v>1</v>
      </c>
      <c r="F29" s="95">
        <v>24</v>
      </c>
      <c r="G29" s="95">
        <v>1</v>
      </c>
      <c r="H29" s="2591">
        <v>950</v>
      </c>
      <c r="I29" s="95">
        <v>1</v>
      </c>
      <c r="J29" s="95">
        <v>30</v>
      </c>
      <c r="K29" s="921">
        <v>1</v>
      </c>
      <c r="L29" s="95">
        <v>20.355599999999999</v>
      </c>
      <c r="M29" s="95">
        <v>89.423500000000004</v>
      </c>
      <c r="N29" s="770" t="s">
        <v>3194</v>
      </c>
      <c r="O29" s="770" t="s">
        <v>3195</v>
      </c>
      <c r="P29" s="81" t="s">
        <v>338</v>
      </c>
      <c r="Q29" s="81">
        <v>1</v>
      </c>
      <c r="R29" s="81" t="s">
        <v>256</v>
      </c>
      <c r="S29" s="81" t="s">
        <v>257</v>
      </c>
      <c r="T29" s="81" t="s">
        <v>260</v>
      </c>
      <c r="U29" s="770" t="s">
        <v>254</v>
      </c>
      <c r="V29" s="2464"/>
      <c r="W29" s="84"/>
      <c r="AA29" s="409"/>
    </row>
    <row r="30" spans="1:27" s="117" customFormat="1" ht="18" x14ac:dyDescent="0.25">
      <c r="B30" s="92" t="s">
        <v>2168</v>
      </c>
      <c r="C30" s="624" t="s">
        <v>2850</v>
      </c>
      <c r="D30" s="95" t="s">
        <v>1211</v>
      </c>
      <c r="E30" s="95">
        <v>0.1</v>
      </c>
      <c r="F30" s="95" t="s">
        <v>1211</v>
      </c>
      <c r="G30" s="95">
        <v>0.1</v>
      </c>
      <c r="H30" s="95">
        <v>1.0000000000000001E-5</v>
      </c>
      <c r="I30" s="95">
        <v>0.1</v>
      </c>
      <c r="J30" s="95">
        <v>5</v>
      </c>
      <c r="K30" s="921">
        <v>0.1</v>
      </c>
      <c r="L30" s="95">
        <v>2.7101500000000001E-3</v>
      </c>
      <c r="M30" s="95" t="s">
        <v>1211</v>
      </c>
      <c r="N30" s="770" t="s">
        <v>3194</v>
      </c>
      <c r="O30" s="770" t="s">
        <v>3195</v>
      </c>
      <c r="P30" s="81" t="s">
        <v>338</v>
      </c>
      <c r="Q30" s="81">
        <v>1</v>
      </c>
      <c r="R30" s="81" t="s">
        <v>256</v>
      </c>
      <c r="S30" s="81" t="s">
        <v>257</v>
      </c>
      <c r="T30" s="81" t="s">
        <v>260</v>
      </c>
      <c r="U30" s="770" t="s">
        <v>254</v>
      </c>
      <c r="V30" s="2464" t="s">
        <v>2169</v>
      </c>
      <c r="W30" s="84"/>
    </row>
    <row r="31" spans="1:27" s="117" customFormat="1" ht="18" x14ac:dyDescent="0.25">
      <c r="B31" s="92" t="s">
        <v>2170</v>
      </c>
      <c r="C31" s="624" t="s">
        <v>2851</v>
      </c>
      <c r="D31" s="95" t="s">
        <v>1211</v>
      </c>
      <c r="E31" s="95">
        <v>5</v>
      </c>
      <c r="F31" s="95" t="s">
        <v>1211</v>
      </c>
      <c r="G31" s="95">
        <v>5</v>
      </c>
      <c r="H31" s="95">
        <v>1.0000000000000001E-5</v>
      </c>
      <c r="I31" s="2591">
        <v>20</v>
      </c>
      <c r="J31" s="95">
        <v>30</v>
      </c>
      <c r="K31" s="921">
        <v>5</v>
      </c>
      <c r="L31" s="95" t="s">
        <v>1211</v>
      </c>
      <c r="M31" s="95" t="s">
        <v>1211</v>
      </c>
      <c r="N31" s="770" t="s">
        <v>3194</v>
      </c>
      <c r="O31" s="770" t="s">
        <v>3195</v>
      </c>
      <c r="P31" s="81" t="s">
        <v>338</v>
      </c>
      <c r="Q31" s="81">
        <v>1</v>
      </c>
      <c r="R31" s="81" t="s">
        <v>256</v>
      </c>
      <c r="S31" s="81" t="s">
        <v>257</v>
      </c>
      <c r="T31" s="81" t="s">
        <v>260</v>
      </c>
      <c r="U31" s="770" t="s">
        <v>254</v>
      </c>
      <c r="V31" s="2464" t="s">
        <v>2169</v>
      </c>
      <c r="W31" s="84"/>
    </row>
    <row r="32" spans="1:27" ht="18" x14ac:dyDescent="0.25">
      <c r="A32" s="78"/>
      <c r="B32" s="92" t="s">
        <v>820</v>
      </c>
      <c r="C32" s="624" t="s">
        <v>2852</v>
      </c>
      <c r="D32" s="95">
        <v>16</v>
      </c>
      <c r="E32" s="95">
        <v>18</v>
      </c>
      <c r="F32" s="95">
        <v>16</v>
      </c>
      <c r="G32" s="95">
        <v>18</v>
      </c>
      <c r="H32" s="95">
        <v>0.1</v>
      </c>
      <c r="I32" s="95">
        <v>18</v>
      </c>
      <c r="J32" s="95">
        <v>18</v>
      </c>
      <c r="K32" s="921">
        <v>18</v>
      </c>
      <c r="L32" s="95">
        <v>16.726400000000002</v>
      </c>
      <c r="M32" s="95">
        <v>18.270800000000001</v>
      </c>
      <c r="N32" s="770" t="s">
        <v>3194</v>
      </c>
      <c r="O32" s="770" t="s">
        <v>3195</v>
      </c>
      <c r="P32" s="81" t="s">
        <v>338</v>
      </c>
      <c r="Q32" s="81">
        <v>1</v>
      </c>
      <c r="R32" s="81" t="s">
        <v>256</v>
      </c>
      <c r="S32" s="81" t="s">
        <v>257</v>
      </c>
      <c r="T32" s="81" t="s">
        <v>260</v>
      </c>
      <c r="U32" s="770" t="s">
        <v>254</v>
      </c>
      <c r="V32" s="2464"/>
      <c r="W32" s="84"/>
      <c r="AA32" s="409"/>
    </row>
    <row r="33" spans="1:27" ht="18" x14ac:dyDescent="0.25">
      <c r="A33" s="78"/>
      <c r="B33" s="92" t="s">
        <v>821</v>
      </c>
      <c r="C33" s="624" t="s">
        <v>822</v>
      </c>
      <c r="D33" s="95">
        <v>1.8</v>
      </c>
      <c r="E33" s="95">
        <v>0.5</v>
      </c>
      <c r="F33" s="95">
        <v>1.8</v>
      </c>
      <c r="G33" s="95">
        <v>0.5</v>
      </c>
      <c r="H33" s="95">
        <v>0.5</v>
      </c>
      <c r="I33" s="95">
        <v>1</v>
      </c>
      <c r="J33" s="95">
        <v>1</v>
      </c>
      <c r="K33" s="921">
        <v>0.5</v>
      </c>
      <c r="L33" s="95">
        <v>0.41841899999999999</v>
      </c>
      <c r="M33" s="95">
        <v>6.0005700000000002E-2</v>
      </c>
      <c r="N33" s="770" t="s">
        <v>3194</v>
      </c>
      <c r="O33" s="770" t="s">
        <v>3195</v>
      </c>
      <c r="P33" s="81" t="s">
        <v>338</v>
      </c>
      <c r="Q33" s="81">
        <v>1</v>
      </c>
      <c r="R33" s="81" t="s">
        <v>256</v>
      </c>
      <c r="S33" s="81" t="s">
        <v>257</v>
      </c>
      <c r="T33" s="81" t="s">
        <v>260</v>
      </c>
      <c r="U33" s="770" t="s">
        <v>254</v>
      </c>
      <c r="V33" s="2464"/>
      <c r="W33" s="84"/>
      <c r="AA33" s="409"/>
    </row>
    <row r="34" spans="1:27" ht="18" x14ac:dyDescent="0.25">
      <c r="A34" s="78"/>
      <c r="B34" s="92" t="s">
        <v>823</v>
      </c>
      <c r="C34" s="624" t="s">
        <v>2853</v>
      </c>
      <c r="D34" s="1148">
        <v>2.71</v>
      </c>
      <c r="E34" s="2591">
        <v>0.5</v>
      </c>
      <c r="F34" s="1148">
        <v>1.07</v>
      </c>
      <c r="G34" s="2591">
        <v>0.5</v>
      </c>
      <c r="H34" s="95">
        <v>3</v>
      </c>
      <c r="I34" s="95">
        <v>2</v>
      </c>
      <c r="J34" s="95">
        <v>7</v>
      </c>
      <c r="K34" s="921">
        <v>0.4</v>
      </c>
      <c r="L34" s="95">
        <v>0.16206599999999999</v>
      </c>
      <c r="M34" s="95">
        <v>0.39696300000000001</v>
      </c>
      <c r="N34" s="770" t="s">
        <v>3194</v>
      </c>
      <c r="O34" s="770" t="s">
        <v>3195</v>
      </c>
      <c r="P34" s="81" t="s">
        <v>338</v>
      </c>
      <c r="Q34" s="81">
        <v>1</v>
      </c>
      <c r="R34" s="81" t="s">
        <v>256</v>
      </c>
      <c r="S34" s="81" t="s">
        <v>259</v>
      </c>
      <c r="T34" s="81" t="s">
        <v>260</v>
      </c>
      <c r="U34" s="770" t="s">
        <v>254</v>
      </c>
      <c r="V34" s="2464" t="s">
        <v>1629</v>
      </c>
      <c r="W34" s="84"/>
      <c r="AA34" s="409"/>
    </row>
    <row r="35" spans="1:27" s="69" customFormat="1" ht="18" x14ac:dyDescent="0.25">
      <c r="A35" s="78"/>
      <c r="B35" s="2068" t="s">
        <v>5313</v>
      </c>
      <c r="C35" s="2277" t="s">
        <v>5314</v>
      </c>
      <c r="D35" s="95" t="s">
        <v>1211</v>
      </c>
      <c r="E35" s="2591">
        <v>5</v>
      </c>
      <c r="F35" s="95" t="s">
        <v>1211</v>
      </c>
      <c r="G35" s="2591">
        <v>5</v>
      </c>
      <c r="H35" s="2591">
        <v>18</v>
      </c>
      <c r="I35" s="2591">
        <v>30</v>
      </c>
      <c r="J35" s="2278">
        <v>7</v>
      </c>
      <c r="K35" s="921">
        <v>0.4</v>
      </c>
      <c r="L35" s="921">
        <v>0.45406000000000002</v>
      </c>
      <c r="M35" s="921">
        <v>1.1923404999999998</v>
      </c>
      <c r="N35" s="2279" t="s">
        <v>3194</v>
      </c>
      <c r="O35" s="2279" t="s">
        <v>3195</v>
      </c>
      <c r="P35" s="2279" t="s">
        <v>338</v>
      </c>
      <c r="Q35" s="2279">
        <v>1</v>
      </c>
      <c r="R35" s="2279" t="s">
        <v>256</v>
      </c>
      <c r="S35" s="2279" t="s">
        <v>259</v>
      </c>
      <c r="T35" s="2279" t="s">
        <v>260</v>
      </c>
      <c r="U35" s="2279" t="s">
        <v>254</v>
      </c>
      <c r="V35" s="2518" t="s">
        <v>5315</v>
      </c>
      <c r="W35" s="2461"/>
      <c r="Z35" s="1263"/>
    </row>
    <row r="36" spans="1:27" ht="18" x14ac:dyDescent="0.25">
      <c r="A36" s="78"/>
      <c r="B36" s="92" t="s">
        <v>824</v>
      </c>
      <c r="C36" s="624" t="s">
        <v>273</v>
      </c>
      <c r="D36" s="95">
        <v>0.59</v>
      </c>
      <c r="E36" s="95">
        <v>10</v>
      </c>
      <c r="F36" s="95">
        <v>0.25</v>
      </c>
      <c r="G36" s="95">
        <v>10</v>
      </c>
      <c r="H36" s="2591">
        <v>160</v>
      </c>
      <c r="I36" s="2591">
        <v>160</v>
      </c>
      <c r="J36" s="95">
        <v>17</v>
      </c>
      <c r="K36" s="921">
        <v>4</v>
      </c>
      <c r="L36" s="95">
        <v>0.67707799999999996</v>
      </c>
      <c r="M36" s="95">
        <v>294.85500000000002</v>
      </c>
      <c r="N36" s="770" t="s">
        <v>3194</v>
      </c>
      <c r="O36" s="770" t="s">
        <v>3195</v>
      </c>
      <c r="P36" s="81" t="s">
        <v>338</v>
      </c>
      <c r="Q36" s="81">
        <v>1</v>
      </c>
      <c r="R36" s="81" t="s">
        <v>256</v>
      </c>
      <c r="S36" s="81" t="s">
        <v>259</v>
      </c>
      <c r="T36" s="81" t="s">
        <v>260</v>
      </c>
      <c r="U36" s="770" t="s">
        <v>254</v>
      </c>
      <c r="V36" s="2464"/>
      <c r="W36" s="84"/>
      <c r="AA36" s="409"/>
    </row>
    <row r="37" spans="1:27" ht="18" x14ac:dyDescent="0.25">
      <c r="A37" s="78"/>
      <c r="B37" s="92" t="s">
        <v>825</v>
      </c>
      <c r="C37" s="624" t="s">
        <v>2854</v>
      </c>
      <c r="D37" s="95">
        <v>2</v>
      </c>
      <c r="E37" s="95">
        <v>0.5</v>
      </c>
      <c r="F37" s="95">
        <v>2</v>
      </c>
      <c r="G37" s="95">
        <v>0.5</v>
      </c>
      <c r="H37" s="2591">
        <v>300</v>
      </c>
      <c r="I37" s="95">
        <v>2</v>
      </c>
      <c r="J37" s="95">
        <v>0.5</v>
      </c>
      <c r="K37" s="921">
        <v>0.5</v>
      </c>
      <c r="L37" s="95">
        <v>2.7919499999999999</v>
      </c>
      <c r="M37" s="95">
        <v>23.9466</v>
      </c>
      <c r="N37" s="770" t="s">
        <v>3194</v>
      </c>
      <c r="O37" s="770" t="s">
        <v>3195</v>
      </c>
      <c r="P37" s="81" t="s">
        <v>794</v>
      </c>
      <c r="Q37" s="81">
        <v>1</v>
      </c>
      <c r="R37" s="81" t="s">
        <v>256</v>
      </c>
      <c r="S37" s="81" t="s">
        <v>257</v>
      </c>
      <c r="T37" s="81" t="s">
        <v>260</v>
      </c>
      <c r="U37" s="770" t="s">
        <v>255</v>
      </c>
      <c r="V37" s="2464"/>
      <c r="W37" s="84"/>
      <c r="AA37" s="409"/>
    </row>
    <row r="38" spans="1:27" ht="18" x14ac:dyDescent="0.25">
      <c r="A38" s="78"/>
      <c r="B38" s="92" t="s">
        <v>2091</v>
      </c>
      <c r="C38" s="624" t="s">
        <v>2855</v>
      </c>
      <c r="D38" s="1428">
        <v>0.1</v>
      </c>
      <c r="E38" s="1429">
        <v>60</v>
      </c>
      <c r="F38" s="2158">
        <v>4.2999999999999997E-2</v>
      </c>
      <c r="G38" s="1429">
        <v>60</v>
      </c>
      <c r="H38" s="2592">
        <v>0.5</v>
      </c>
      <c r="I38" s="95">
        <v>30</v>
      </c>
      <c r="J38" s="1430">
        <v>370</v>
      </c>
      <c r="K38" s="1431">
        <v>88.800000000000011</v>
      </c>
      <c r="L38" s="1430">
        <v>8.0565499999999998E-2</v>
      </c>
      <c r="M38" s="1430" t="s">
        <v>1211</v>
      </c>
      <c r="N38" s="770" t="s">
        <v>3194</v>
      </c>
      <c r="O38" s="770" t="s">
        <v>3195</v>
      </c>
      <c r="P38" s="81" t="s">
        <v>794</v>
      </c>
      <c r="Q38" s="81">
        <v>1</v>
      </c>
      <c r="R38" s="81" t="s">
        <v>256</v>
      </c>
      <c r="S38" s="81" t="s">
        <v>259</v>
      </c>
      <c r="T38" s="81" t="s">
        <v>260</v>
      </c>
      <c r="U38" s="770" t="s">
        <v>255</v>
      </c>
      <c r="V38" s="2518" t="s">
        <v>5312</v>
      </c>
      <c r="W38" s="84"/>
      <c r="AA38" s="409"/>
    </row>
    <row r="39" spans="1:27" ht="18" x14ac:dyDescent="0.25">
      <c r="A39" s="78"/>
      <c r="B39" s="92" t="s">
        <v>826</v>
      </c>
      <c r="C39" s="624" t="s">
        <v>2856</v>
      </c>
      <c r="D39" s="95">
        <v>0.45</v>
      </c>
      <c r="E39" s="95">
        <v>0.01</v>
      </c>
      <c r="F39" s="95">
        <v>0.45</v>
      </c>
      <c r="G39" s="95">
        <v>0.01</v>
      </c>
      <c r="H39" s="95">
        <v>0.01</v>
      </c>
      <c r="I39" s="95">
        <v>0.03</v>
      </c>
      <c r="J39" s="95">
        <v>0.03</v>
      </c>
      <c r="K39" s="921">
        <v>0.01</v>
      </c>
      <c r="L39" s="95">
        <v>1.1166499999999999E-2</v>
      </c>
      <c r="M39" s="95">
        <v>1.70213E-3</v>
      </c>
      <c r="N39" s="770" t="s">
        <v>3194</v>
      </c>
      <c r="O39" s="770" t="s">
        <v>3195</v>
      </c>
      <c r="P39" s="81" t="s">
        <v>794</v>
      </c>
      <c r="Q39" s="81">
        <v>1</v>
      </c>
      <c r="R39" s="81" t="s">
        <v>256</v>
      </c>
      <c r="S39" s="81" t="s">
        <v>257</v>
      </c>
      <c r="T39" s="81" t="s">
        <v>260</v>
      </c>
      <c r="U39" s="770" t="s">
        <v>255</v>
      </c>
      <c r="V39" s="2464"/>
      <c r="W39" s="84"/>
      <c r="AA39" s="409"/>
    </row>
    <row r="40" spans="1:27" ht="18" x14ac:dyDescent="0.25">
      <c r="A40" s="78"/>
      <c r="B40" s="92" t="s">
        <v>827</v>
      </c>
      <c r="C40" s="624" t="s">
        <v>2857</v>
      </c>
      <c r="D40" s="1148">
        <v>0.02</v>
      </c>
      <c r="E40" s="2591">
        <v>0.1</v>
      </c>
      <c r="F40" s="1148">
        <v>0.25</v>
      </c>
      <c r="G40" s="2591">
        <v>0.1</v>
      </c>
      <c r="H40" s="2591">
        <v>0.3</v>
      </c>
      <c r="I40" s="95">
        <v>0.5</v>
      </c>
      <c r="J40" s="95">
        <v>2</v>
      </c>
      <c r="K40" s="921">
        <v>0.2</v>
      </c>
      <c r="L40" s="95">
        <v>4.1748E-2</v>
      </c>
      <c r="M40" s="95">
        <v>0.113092</v>
      </c>
      <c r="N40" s="770" t="s">
        <v>3194</v>
      </c>
      <c r="O40" s="770" t="s">
        <v>3195</v>
      </c>
      <c r="P40" s="81" t="s">
        <v>794</v>
      </c>
      <c r="Q40" s="81">
        <v>1</v>
      </c>
      <c r="R40" s="81" t="s">
        <v>256</v>
      </c>
      <c r="S40" s="81" t="s">
        <v>259</v>
      </c>
      <c r="T40" s="81" t="s">
        <v>260</v>
      </c>
      <c r="U40" s="770" t="s">
        <v>255</v>
      </c>
      <c r="V40" s="2464" t="s">
        <v>1629</v>
      </c>
      <c r="W40" s="84"/>
      <c r="AA40" s="409"/>
    </row>
    <row r="41" spans="1:27" s="69" customFormat="1" ht="18" x14ac:dyDescent="0.25">
      <c r="A41" s="78"/>
      <c r="B41" s="2068" t="s">
        <v>5316</v>
      </c>
      <c r="C41" s="2277" t="s">
        <v>5317</v>
      </c>
      <c r="D41" s="95" t="s">
        <v>1211</v>
      </c>
      <c r="E41" s="2591">
        <v>1</v>
      </c>
      <c r="F41" s="95" t="s">
        <v>1211</v>
      </c>
      <c r="G41" s="2591">
        <v>1</v>
      </c>
      <c r="H41" s="2591">
        <v>5</v>
      </c>
      <c r="I41" s="2591">
        <v>5</v>
      </c>
      <c r="J41" s="2278">
        <v>2</v>
      </c>
      <c r="K41" s="921">
        <v>0.2</v>
      </c>
      <c r="L41" s="921">
        <v>9.4807100000000005E-2</v>
      </c>
      <c r="M41" s="921">
        <v>0.33840949999999997</v>
      </c>
      <c r="N41" s="2279" t="s">
        <v>3194</v>
      </c>
      <c r="O41" s="2279" t="s">
        <v>3195</v>
      </c>
      <c r="P41" s="2279" t="s">
        <v>794</v>
      </c>
      <c r="Q41" s="2279">
        <v>1</v>
      </c>
      <c r="R41" s="2279" t="s">
        <v>256</v>
      </c>
      <c r="S41" s="2279" t="s">
        <v>259</v>
      </c>
      <c r="T41" s="2279" t="s">
        <v>260</v>
      </c>
      <c r="U41" s="2279" t="s">
        <v>255</v>
      </c>
      <c r="V41" s="2518" t="s">
        <v>5315</v>
      </c>
      <c r="W41" s="2461"/>
      <c r="Z41" s="1263"/>
    </row>
    <row r="42" spans="1:27" ht="18" x14ac:dyDescent="0.25">
      <c r="A42" s="78"/>
      <c r="B42" s="92" t="s">
        <v>828</v>
      </c>
      <c r="C42" s="624" t="s">
        <v>2858</v>
      </c>
      <c r="D42" s="95">
        <v>5.8999999999999997E-2</v>
      </c>
      <c r="E42" s="95">
        <v>2</v>
      </c>
      <c r="F42" s="95">
        <v>2.5000000000000001E-2</v>
      </c>
      <c r="G42" s="95">
        <v>2</v>
      </c>
      <c r="H42" s="95">
        <v>25</v>
      </c>
      <c r="I42" s="95">
        <v>45</v>
      </c>
      <c r="J42" s="95">
        <v>3</v>
      </c>
      <c r="K42" s="921">
        <v>0.8</v>
      </c>
      <c r="L42" s="95">
        <v>8.2158499999999995E-2</v>
      </c>
      <c r="M42" s="95">
        <v>38.113</v>
      </c>
      <c r="N42" s="770" t="s">
        <v>3194</v>
      </c>
      <c r="O42" s="770" t="s">
        <v>3195</v>
      </c>
      <c r="P42" s="81" t="s">
        <v>794</v>
      </c>
      <c r="Q42" s="81">
        <v>1</v>
      </c>
      <c r="R42" s="81" t="s">
        <v>256</v>
      </c>
      <c r="S42" s="81" t="s">
        <v>259</v>
      </c>
      <c r="T42" s="81" t="s">
        <v>260</v>
      </c>
      <c r="U42" s="770" t="s">
        <v>255</v>
      </c>
      <c r="V42" s="2464"/>
      <c r="W42" s="84"/>
      <c r="AA42" s="409"/>
    </row>
    <row r="43" spans="1:27" ht="18" x14ac:dyDescent="0.25">
      <c r="A43" s="78"/>
      <c r="B43" s="92" t="s">
        <v>829</v>
      </c>
      <c r="C43" s="624" t="s">
        <v>2859</v>
      </c>
      <c r="D43" s="95" t="s">
        <v>1211</v>
      </c>
      <c r="E43" s="95">
        <v>2</v>
      </c>
      <c r="F43" s="95" t="s">
        <v>1211</v>
      </c>
      <c r="G43" s="95">
        <v>2</v>
      </c>
      <c r="H43" s="95" t="s">
        <v>1211</v>
      </c>
      <c r="I43" s="95">
        <v>2</v>
      </c>
      <c r="J43" s="95">
        <v>2</v>
      </c>
      <c r="K43" s="921" t="s">
        <v>1211</v>
      </c>
      <c r="L43" s="95">
        <v>0.189027</v>
      </c>
      <c r="M43" s="95" t="s">
        <v>1211</v>
      </c>
      <c r="N43" s="770" t="s">
        <v>3194</v>
      </c>
      <c r="O43" s="770" t="s">
        <v>3195</v>
      </c>
      <c r="P43" s="81" t="s">
        <v>830</v>
      </c>
      <c r="Q43" s="81">
        <v>1</v>
      </c>
      <c r="R43" s="81" t="s">
        <v>256</v>
      </c>
      <c r="S43" s="81" t="s">
        <v>257</v>
      </c>
      <c r="T43" s="81" t="s">
        <v>804</v>
      </c>
      <c r="U43" s="770" t="s">
        <v>4410</v>
      </c>
      <c r="V43" s="2464"/>
      <c r="W43" s="84"/>
      <c r="AA43" s="409"/>
    </row>
    <row r="44" spans="1:27" ht="18" x14ac:dyDescent="0.25">
      <c r="A44" s="78"/>
      <c r="B44" s="92" t="s">
        <v>831</v>
      </c>
      <c r="C44" s="624" t="s">
        <v>2860</v>
      </c>
      <c r="D44" s="95" t="s">
        <v>1211</v>
      </c>
      <c r="E44" s="95">
        <v>0.01</v>
      </c>
      <c r="F44" s="95" t="s">
        <v>1211</v>
      </c>
      <c r="G44" s="95">
        <v>0.01</v>
      </c>
      <c r="H44" s="2591">
        <v>42</v>
      </c>
      <c r="I44" s="95">
        <v>2.5</v>
      </c>
      <c r="J44" s="95">
        <v>0.5</v>
      </c>
      <c r="K44" s="921">
        <v>0.01</v>
      </c>
      <c r="L44" s="95">
        <v>5.1850300000000002E-3</v>
      </c>
      <c r="M44" s="95">
        <v>22.529399999999999</v>
      </c>
      <c r="N44" s="770" t="s">
        <v>3194</v>
      </c>
      <c r="O44" s="770" t="s">
        <v>3195</v>
      </c>
      <c r="P44" s="81" t="s">
        <v>323</v>
      </c>
      <c r="Q44" s="81">
        <v>1</v>
      </c>
      <c r="R44" s="81" t="s">
        <v>256</v>
      </c>
      <c r="S44" s="81" t="s">
        <v>257</v>
      </c>
      <c r="T44" s="81" t="s">
        <v>260</v>
      </c>
      <c r="U44" s="770" t="s">
        <v>148</v>
      </c>
      <c r="V44" s="2464"/>
      <c r="W44" s="84"/>
      <c r="AA44" s="409"/>
    </row>
    <row r="45" spans="1:27" ht="18" x14ac:dyDescent="0.25">
      <c r="A45" s="78"/>
      <c r="B45" s="92" t="s">
        <v>832</v>
      </c>
      <c r="C45" s="624" t="s">
        <v>2861</v>
      </c>
      <c r="D45" s="95" t="s">
        <v>1211</v>
      </c>
      <c r="E45" s="95">
        <v>0.01</v>
      </c>
      <c r="F45" s="95" t="s">
        <v>1211</v>
      </c>
      <c r="G45" s="95">
        <v>0.01</v>
      </c>
      <c r="H45" s="2591">
        <v>0.01</v>
      </c>
      <c r="I45" s="95">
        <v>0.01</v>
      </c>
      <c r="J45" s="95">
        <v>1</v>
      </c>
      <c r="K45" s="921">
        <v>0.01</v>
      </c>
      <c r="L45" s="95">
        <v>2.23644E-2</v>
      </c>
      <c r="M45" s="95">
        <v>1.1309400000000001E-2</v>
      </c>
      <c r="N45" s="770" t="s">
        <v>3194</v>
      </c>
      <c r="O45" s="770" t="s">
        <v>3195</v>
      </c>
      <c r="P45" s="81" t="s">
        <v>323</v>
      </c>
      <c r="Q45" s="81">
        <v>1</v>
      </c>
      <c r="R45" s="81" t="s">
        <v>256</v>
      </c>
      <c r="S45" s="81" t="s">
        <v>257</v>
      </c>
      <c r="T45" s="81" t="s">
        <v>260</v>
      </c>
      <c r="U45" s="770" t="s">
        <v>148</v>
      </c>
      <c r="V45" s="2464"/>
      <c r="W45" s="84"/>
      <c r="AA45" s="409"/>
    </row>
    <row r="46" spans="1:27" ht="18" x14ac:dyDescent="0.25">
      <c r="A46" s="78"/>
      <c r="B46" s="92" t="s">
        <v>833</v>
      </c>
      <c r="C46" s="625" t="s">
        <v>2862</v>
      </c>
      <c r="D46" s="560">
        <v>90</v>
      </c>
      <c r="E46" s="560">
        <v>74</v>
      </c>
      <c r="F46" s="560">
        <v>90</v>
      </c>
      <c r="G46" s="560">
        <v>74</v>
      </c>
      <c r="H46" s="2591">
        <v>750</v>
      </c>
      <c r="I46" s="560">
        <v>123</v>
      </c>
      <c r="J46" s="560">
        <v>55</v>
      </c>
      <c r="K46" s="921">
        <v>74</v>
      </c>
      <c r="L46" s="560">
        <v>50.853499999999997</v>
      </c>
      <c r="M46" s="560">
        <v>85.420299999999997</v>
      </c>
      <c r="N46" s="770" t="s">
        <v>3194</v>
      </c>
      <c r="O46" s="770" t="s">
        <v>3195</v>
      </c>
      <c r="P46" s="81" t="s">
        <v>1135</v>
      </c>
      <c r="Q46" s="81">
        <v>1</v>
      </c>
      <c r="R46" s="81" t="s">
        <v>256</v>
      </c>
      <c r="S46" s="81" t="s">
        <v>257</v>
      </c>
      <c r="T46" s="81" t="s">
        <v>260</v>
      </c>
      <c r="U46" s="770" t="s">
        <v>4411</v>
      </c>
      <c r="V46" s="2464"/>
      <c r="W46" s="84"/>
      <c r="AA46" s="409"/>
    </row>
    <row r="47" spans="1:27" ht="18" x14ac:dyDescent="0.25">
      <c r="A47" s="78"/>
      <c r="B47" s="92" t="s">
        <v>834</v>
      </c>
      <c r="C47" s="624" t="s">
        <v>2413</v>
      </c>
      <c r="D47" s="95">
        <v>28.2</v>
      </c>
      <c r="E47" s="95">
        <v>460</v>
      </c>
      <c r="F47" s="95">
        <v>8.1999999999999993</v>
      </c>
      <c r="G47" s="95">
        <v>460</v>
      </c>
      <c r="H47" s="2591">
        <v>6500</v>
      </c>
      <c r="I47" s="95">
        <v>6500</v>
      </c>
      <c r="J47" s="95">
        <v>1100</v>
      </c>
      <c r="K47" s="921">
        <v>184</v>
      </c>
      <c r="L47" s="95">
        <v>38.165100000000002</v>
      </c>
      <c r="M47" s="95">
        <v>9719.8700000000008</v>
      </c>
      <c r="N47" s="770" t="s">
        <v>3194</v>
      </c>
      <c r="O47" s="770" t="s">
        <v>3195</v>
      </c>
      <c r="P47" s="81" t="s">
        <v>362</v>
      </c>
      <c r="Q47" s="81">
        <v>1</v>
      </c>
      <c r="R47" s="81" t="s">
        <v>256</v>
      </c>
      <c r="S47" s="81" t="s">
        <v>259</v>
      </c>
      <c r="T47" s="81" t="s">
        <v>260</v>
      </c>
      <c r="U47" s="770" t="s">
        <v>4412</v>
      </c>
      <c r="V47" s="2464"/>
      <c r="W47" s="84"/>
      <c r="AA47" s="409"/>
    </row>
    <row r="48" spans="1:27" ht="18" x14ac:dyDescent="0.25">
      <c r="A48" s="78"/>
      <c r="B48" s="92" t="s">
        <v>1159</v>
      </c>
      <c r="C48" s="624" t="s">
        <v>2863</v>
      </c>
      <c r="D48" s="95">
        <v>109.56</v>
      </c>
      <c r="E48" s="95">
        <v>35</v>
      </c>
      <c r="F48" s="95">
        <v>109.56</v>
      </c>
      <c r="G48" s="95">
        <v>35</v>
      </c>
      <c r="H48" s="2591">
        <v>260</v>
      </c>
      <c r="I48" s="95">
        <v>130</v>
      </c>
      <c r="J48" s="95">
        <v>120</v>
      </c>
      <c r="K48" s="921">
        <v>35</v>
      </c>
      <c r="L48" s="95">
        <v>108.624</v>
      </c>
      <c r="M48" s="95">
        <v>136.98099999999999</v>
      </c>
      <c r="N48" s="770" t="s">
        <v>3194</v>
      </c>
      <c r="O48" s="770" t="s">
        <v>3195</v>
      </c>
      <c r="P48" s="81" t="s">
        <v>1047</v>
      </c>
      <c r="Q48" s="81">
        <v>1</v>
      </c>
      <c r="R48" s="81" t="s">
        <v>256</v>
      </c>
      <c r="S48" s="81" t="s">
        <v>257</v>
      </c>
      <c r="T48" s="81" t="s">
        <v>260</v>
      </c>
      <c r="U48" s="770" t="s">
        <v>1114</v>
      </c>
      <c r="V48" s="2464"/>
      <c r="W48" s="84" t="s">
        <v>1063</v>
      </c>
      <c r="AA48" s="409"/>
    </row>
    <row r="49" spans="1:27" ht="18" x14ac:dyDescent="0.25">
      <c r="A49" s="78"/>
      <c r="B49" s="92" t="s">
        <v>1160</v>
      </c>
      <c r="C49" s="624" t="s">
        <v>2864</v>
      </c>
      <c r="D49" s="95">
        <v>300</v>
      </c>
      <c r="E49" s="95">
        <v>150</v>
      </c>
      <c r="F49" s="95">
        <v>300</v>
      </c>
      <c r="G49" s="95">
        <v>150</v>
      </c>
      <c r="H49" s="2591">
        <v>670</v>
      </c>
      <c r="I49" s="95">
        <v>300</v>
      </c>
      <c r="J49" s="95">
        <v>300</v>
      </c>
      <c r="K49" s="921">
        <v>150</v>
      </c>
      <c r="L49" s="95">
        <v>297.71800000000002</v>
      </c>
      <c r="M49" s="95">
        <v>366.82600000000002</v>
      </c>
      <c r="N49" s="770" t="s">
        <v>3194</v>
      </c>
      <c r="O49" s="770" t="s">
        <v>3195</v>
      </c>
      <c r="P49" s="81" t="s">
        <v>1049</v>
      </c>
      <c r="Q49" s="81">
        <v>1</v>
      </c>
      <c r="R49" s="81" t="s">
        <v>256</v>
      </c>
      <c r="S49" s="81" t="s">
        <v>257</v>
      </c>
      <c r="T49" s="81" t="s">
        <v>260</v>
      </c>
      <c r="U49" s="770" t="s">
        <v>142</v>
      </c>
      <c r="V49" s="2464"/>
      <c r="W49" s="84" t="s">
        <v>1064</v>
      </c>
      <c r="AA49" s="409"/>
    </row>
    <row r="50" spans="1:27" ht="18" x14ac:dyDescent="0.25">
      <c r="A50" s="78"/>
      <c r="B50" s="92" t="s">
        <v>999</v>
      </c>
      <c r="C50" s="624" t="s">
        <v>985</v>
      </c>
      <c r="D50" s="95">
        <v>150</v>
      </c>
      <c r="E50" s="95">
        <v>150</v>
      </c>
      <c r="F50" s="95">
        <v>150</v>
      </c>
      <c r="G50" s="95">
        <v>150</v>
      </c>
      <c r="H50" s="2591">
        <v>45</v>
      </c>
      <c r="I50" s="95">
        <v>150</v>
      </c>
      <c r="J50" s="95">
        <v>150</v>
      </c>
      <c r="K50" s="921">
        <v>150</v>
      </c>
      <c r="L50" s="95">
        <v>149.82900000000001</v>
      </c>
      <c r="M50" s="95">
        <v>155.31299999999999</v>
      </c>
      <c r="N50" s="770" t="s">
        <v>3194</v>
      </c>
      <c r="O50" s="770" t="s">
        <v>3195</v>
      </c>
      <c r="P50" s="81" t="s">
        <v>986</v>
      </c>
      <c r="Q50" s="81">
        <v>1</v>
      </c>
      <c r="R50" s="81" t="s">
        <v>256</v>
      </c>
      <c r="S50" s="81" t="s">
        <v>257</v>
      </c>
      <c r="T50" s="81" t="s">
        <v>260</v>
      </c>
      <c r="U50" s="770" t="s">
        <v>987</v>
      </c>
      <c r="V50" s="2464"/>
      <c r="W50" s="84"/>
      <c r="AA50" s="409"/>
    </row>
    <row r="51" spans="1:27" ht="18" x14ac:dyDescent="0.25">
      <c r="A51" s="78"/>
      <c r="B51" s="92" t="s">
        <v>835</v>
      </c>
      <c r="C51" s="624" t="s">
        <v>357</v>
      </c>
      <c r="D51" s="95">
        <v>15</v>
      </c>
      <c r="E51" s="95">
        <v>15</v>
      </c>
      <c r="F51" s="95">
        <v>15</v>
      </c>
      <c r="G51" s="95">
        <v>15</v>
      </c>
      <c r="H51" s="2591">
        <v>20</v>
      </c>
      <c r="I51" s="95">
        <v>15</v>
      </c>
      <c r="J51" s="95">
        <v>7</v>
      </c>
      <c r="K51" s="921">
        <v>15</v>
      </c>
      <c r="L51" s="95">
        <v>14.8386</v>
      </c>
      <c r="M51" s="95">
        <v>20.398700000000002</v>
      </c>
      <c r="N51" s="770" t="s">
        <v>3194</v>
      </c>
      <c r="O51" s="770" t="s">
        <v>3195</v>
      </c>
      <c r="P51" s="81" t="s">
        <v>836</v>
      </c>
      <c r="Q51" s="81">
        <v>1</v>
      </c>
      <c r="R51" s="81" t="s">
        <v>256</v>
      </c>
      <c r="S51" s="81" t="s">
        <v>257</v>
      </c>
      <c r="T51" s="81" t="s">
        <v>260</v>
      </c>
      <c r="U51" s="770" t="s">
        <v>988</v>
      </c>
      <c r="V51" s="2464"/>
      <c r="W51" s="84"/>
      <c r="AA51" s="409"/>
    </row>
    <row r="52" spans="1:27" ht="18" x14ac:dyDescent="0.25">
      <c r="A52" s="78"/>
      <c r="B52" s="92" t="s">
        <v>1045</v>
      </c>
      <c r="C52" s="624" t="s">
        <v>1046</v>
      </c>
      <c r="D52" s="95">
        <v>16</v>
      </c>
      <c r="E52" s="95">
        <v>15</v>
      </c>
      <c r="F52" s="95">
        <v>16</v>
      </c>
      <c r="G52" s="95">
        <v>15</v>
      </c>
      <c r="H52" s="2591">
        <v>20</v>
      </c>
      <c r="I52" s="95">
        <v>16</v>
      </c>
      <c r="J52" s="95">
        <v>5</v>
      </c>
      <c r="K52" s="921">
        <v>15</v>
      </c>
      <c r="L52" s="95">
        <v>16.007999999999999</v>
      </c>
      <c r="M52" s="95">
        <v>16.0748</v>
      </c>
      <c r="N52" s="770" t="s">
        <v>3194</v>
      </c>
      <c r="O52" s="770" t="s">
        <v>3195</v>
      </c>
      <c r="P52" s="81" t="s">
        <v>1048</v>
      </c>
      <c r="Q52" s="81">
        <v>1</v>
      </c>
      <c r="R52" s="81" t="s">
        <v>256</v>
      </c>
      <c r="S52" s="81" t="s">
        <v>257</v>
      </c>
      <c r="T52" s="81" t="s">
        <v>260</v>
      </c>
      <c r="U52" s="770" t="s">
        <v>477</v>
      </c>
      <c r="V52" s="2464"/>
      <c r="W52" s="84"/>
      <c r="AA52" s="409"/>
    </row>
    <row r="53" spans="1:27" ht="18.75" customHeight="1" x14ac:dyDescent="0.25">
      <c r="B53" s="99" t="s">
        <v>1611</v>
      </c>
      <c r="C53" s="624" t="s">
        <v>2865</v>
      </c>
      <c r="D53" s="95" t="s">
        <v>1211</v>
      </c>
      <c r="E53" s="97">
        <v>1E-50</v>
      </c>
      <c r="F53" s="95" t="s">
        <v>1211</v>
      </c>
      <c r="G53" s="97" t="s">
        <v>1211</v>
      </c>
      <c r="H53" s="97" t="s">
        <v>1211</v>
      </c>
      <c r="I53" s="97" t="s">
        <v>1211</v>
      </c>
      <c r="J53" s="97" t="s">
        <v>1211</v>
      </c>
      <c r="K53" s="183" t="s">
        <v>1211</v>
      </c>
      <c r="L53" s="97">
        <v>3.4531599999999998E-3</v>
      </c>
      <c r="M53" s="97">
        <v>9.7045699999999999E-2</v>
      </c>
      <c r="N53" s="770" t="s">
        <v>3194</v>
      </c>
      <c r="O53" s="770" t="s">
        <v>3195</v>
      </c>
      <c r="P53" s="81" t="s">
        <v>838</v>
      </c>
      <c r="Q53" s="81">
        <v>1</v>
      </c>
      <c r="R53" s="81" t="s">
        <v>256</v>
      </c>
      <c r="S53" s="81" t="s">
        <v>257</v>
      </c>
      <c r="T53" s="81" t="s">
        <v>260</v>
      </c>
      <c r="U53" s="770" t="s">
        <v>2934</v>
      </c>
      <c r="V53" s="2464"/>
      <c r="W53" s="96"/>
      <c r="AA53" s="409"/>
    </row>
    <row r="54" spans="1:27" ht="18" x14ac:dyDescent="0.25">
      <c r="B54" s="92" t="s">
        <v>840</v>
      </c>
      <c r="C54" s="624" t="s">
        <v>2866</v>
      </c>
      <c r="D54" s="95" t="s">
        <v>1211</v>
      </c>
      <c r="E54" s="97">
        <v>1E-50</v>
      </c>
      <c r="F54" s="95" t="s">
        <v>1211</v>
      </c>
      <c r="G54" s="95" t="s">
        <v>1211</v>
      </c>
      <c r="H54" s="95" t="s">
        <v>1211</v>
      </c>
      <c r="I54" s="95" t="s">
        <v>1211</v>
      </c>
      <c r="J54" s="95" t="s">
        <v>1211</v>
      </c>
      <c r="K54" s="183" t="s">
        <v>1211</v>
      </c>
      <c r="L54" s="95" t="s">
        <v>1211</v>
      </c>
      <c r="M54" s="95" t="s">
        <v>1211</v>
      </c>
      <c r="N54" s="770" t="s">
        <v>3194</v>
      </c>
      <c r="O54" s="770" t="s">
        <v>3195</v>
      </c>
      <c r="P54" s="81" t="s">
        <v>838</v>
      </c>
      <c r="Q54" s="81">
        <v>1</v>
      </c>
      <c r="R54" s="81" t="s">
        <v>256</v>
      </c>
      <c r="S54" s="81" t="s">
        <v>259</v>
      </c>
      <c r="T54" s="81" t="s">
        <v>260</v>
      </c>
      <c r="U54" s="770" t="s">
        <v>2934</v>
      </c>
      <c r="V54" s="2464"/>
      <c r="W54" s="96"/>
      <c r="AA54" s="409"/>
    </row>
    <row r="55" spans="1:27" ht="18" x14ac:dyDescent="0.25">
      <c r="B55" s="92" t="s">
        <v>839</v>
      </c>
      <c r="C55" s="624" t="s">
        <v>2867</v>
      </c>
      <c r="D55" s="95" t="s">
        <v>1211</v>
      </c>
      <c r="E55" s="97">
        <v>1E-50</v>
      </c>
      <c r="F55" s="95" t="s">
        <v>1211</v>
      </c>
      <c r="G55" s="95" t="s">
        <v>1211</v>
      </c>
      <c r="H55" s="95" t="s">
        <v>1211</v>
      </c>
      <c r="I55" s="95" t="s">
        <v>1211</v>
      </c>
      <c r="J55" s="95" t="s">
        <v>1211</v>
      </c>
      <c r="K55" s="183" t="s">
        <v>1211</v>
      </c>
      <c r="L55" s="95" t="s">
        <v>1211</v>
      </c>
      <c r="M55" s="95" t="s">
        <v>1211</v>
      </c>
      <c r="N55" s="770" t="s">
        <v>3194</v>
      </c>
      <c r="O55" s="770" t="s">
        <v>3195</v>
      </c>
      <c r="P55" s="81" t="s">
        <v>838</v>
      </c>
      <c r="Q55" s="81">
        <v>1</v>
      </c>
      <c r="R55" s="81" t="s">
        <v>256</v>
      </c>
      <c r="S55" s="81" t="s">
        <v>259</v>
      </c>
      <c r="T55" s="81" t="s">
        <v>260</v>
      </c>
      <c r="U55" s="770" t="s">
        <v>2934</v>
      </c>
      <c r="V55" s="2464"/>
      <c r="W55" s="96"/>
      <c r="AA55" s="409"/>
    </row>
    <row r="56" spans="1:27" ht="18.75" customHeight="1" x14ac:dyDescent="0.25">
      <c r="B56" s="99" t="s">
        <v>466</v>
      </c>
      <c r="C56" s="624" t="s">
        <v>2868</v>
      </c>
      <c r="D56" s="1435">
        <v>0.01</v>
      </c>
      <c r="E56" s="1435">
        <v>0.01</v>
      </c>
      <c r="F56" s="1435">
        <v>3.0000000000000001E-3</v>
      </c>
      <c r="G56" s="95" t="s">
        <v>1211</v>
      </c>
      <c r="H56" s="95" t="s">
        <v>1211</v>
      </c>
      <c r="I56" s="95" t="s">
        <v>1211</v>
      </c>
      <c r="J56" s="95" t="s">
        <v>1211</v>
      </c>
      <c r="K56" s="183" t="s">
        <v>1211</v>
      </c>
      <c r="L56" s="95">
        <v>9.3972799999999992E-3</v>
      </c>
      <c r="M56" s="95">
        <v>3.0684000000000002E-3</v>
      </c>
      <c r="N56" s="770" t="s">
        <v>3194</v>
      </c>
      <c r="O56" s="770" t="s">
        <v>3195</v>
      </c>
      <c r="P56" s="81" t="s">
        <v>838</v>
      </c>
      <c r="Q56" s="81">
        <v>1</v>
      </c>
      <c r="R56" s="81" t="s">
        <v>256</v>
      </c>
      <c r="S56" s="81" t="s">
        <v>259</v>
      </c>
      <c r="T56" s="81" t="s">
        <v>260</v>
      </c>
      <c r="U56" s="770" t="s">
        <v>2934</v>
      </c>
      <c r="V56" s="2464"/>
      <c r="W56" s="96"/>
      <c r="AA56" s="409"/>
    </row>
    <row r="57" spans="1:27" ht="18" x14ac:dyDescent="0.25">
      <c r="B57" s="92" t="s">
        <v>465</v>
      </c>
      <c r="C57" s="624" t="s">
        <v>2869</v>
      </c>
      <c r="D57" s="95" t="s">
        <v>1211</v>
      </c>
      <c r="E57" s="97">
        <v>1E-50</v>
      </c>
      <c r="F57" s="95" t="s">
        <v>1211</v>
      </c>
      <c r="G57" s="95" t="s">
        <v>1211</v>
      </c>
      <c r="H57" s="95" t="s">
        <v>1211</v>
      </c>
      <c r="I57" s="95" t="s">
        <v>1211</v>
      </c>
      <c r="J57" s="95" t="s">
        <v>1211</v>
      </c>
      <c r="K57" s="183" t="s">
        <v>1211</v>
      </c>
      <c r="L57" s="95" t="s">
        <v>1211</v>
      </c>
      <c r="M57" s="95" t="s">
        <v>1211</v>
      </c>
      <c r="N57" s="770" t="s">
        <v>3194</v>
      </c>
      <c r="O57" s="770" t="s">
        <v>3195</v>
      </c>
      <c r="P57" s="81" t="s">
        <v>838</v>
      </c>
      <c r="Q57" s="81">
        <v>1</v>
      </c>
      <c r="R57" s="81" t="s">
        <v>256</v>
      </c>
      <c r="S57" s="81" t="s">
        <v>259</v>
      </c>
      <c r="T57" s="81" t="s">
        <v>260</v>
      </c>
      <c r="U57" s="770" t="s">
        <v>2934</v>
      </c>
      <c r="V57" s="2464"/>
      <c r="W57" s="96"/>
      <c r="AA57" s="409"/>
    </row>
    <row r="58" spans="1:27" ht="18" x14ac:dyDescent="0.25">
      <c r="B58" s="92" t="s">
        <v>464</v>
      </c>
      <c r="C58" s="624" t="s">
        <v>2870</v>
      </c>
      <c r="D58" s="95" t="s">
        <v>1211</v>
      </c>
      <c r="E58" s="97">
        <v>1E-50</v>
      </c>
      <c r="F58" s="95" t="s">
        <v>1211</v>
      </c>
      <c r="G58" s="95" t="s">
        <v>1211</v>
      </c>
      <c r="H58" s="95" t="s">
        <v>1211</v>
      </c>
      <c r="I58" s="95" t="s">
        <v>1211</v>
      </c>
      <c r="J58" s="95" t="s">
        <v>1211</v>
      </c>
      <c r="K58" s="183" t="s">
        <v>1211</v>
      </c>
      <c r="L58" s="95" t="s">
        <v>1211</v>
      </c>
      <c r="M58" s="95" t="s">
        <v>1211</v>
      </c>
      <c r="N58" s="770" t="s">
        <v>3194</v>
      </c>
      <c r="O58" s="770" t="s">
        <v>3195</v>
      </c>
      <c r="P58" s="81" t="s">
        <v>838</v>
      </c>
      <c r="Q58" s="81">
        <v>1</v>
      </c>
      <c r="R58" s="81" t="s">
        <v>256</v>
      </c>
      <c r="S58" s="81" t="s">
        <v>259</v>
      </c>
      <c r="T58" s="81" t="s">
        <v>260</v>
      </c>
      <c r="U58" s="770" t="s">
        <v>2934</v>
      </c>
      <c r="V58" s="2464"/>
      <c r="W58" s="96"/>
      <c r="AA58" s="409"/>
    </row>
    <row r="59" spans="1:27" s="3" customFormat="1" ht="18" x14ac:dyDescent="0.25">
      <c r="A59" s="5"/>
      <c r="B59" s="98" t="s">
        <v>847</v>
      </c>
      <c r="C59" s="624" t="s">
        <v>4781</v>
      </c>
      <c r="D59" s="95" t="s">
        <v>1211</v>
      </c>
      <c r="E59" s="97">
        <v>1E-50</v>
      </c>
      <c r="F59" s="95" t="s">
        <v>1211</v>
      </c>
      <c r="G59" s="97" t="s">
        <v>1211</v>
      </c>
      <c r="H59" s="97" t="s">
        <v>1211</v>
      </c>
      <c r="I59" s="97" t="s">
        <v>1211</v>
      </c>
      <c r="J59" s="97" t="s">
        <v>1211</v>
      </c>
      <c r="K59" s="183" t="s">
        <v>1211</v>
      </c>
      <c r="L59" s="95" t="s">
        <v>1211</v>
      </c>
      <c r="M59" s="95" t="s">
        <v>1211</v>
      </c>
      <c r="N59" s="770" t="s">
        <v>3194</v>
      </c>
      <c r="O59" s="770" t="s">
        <v>3195</v>
      </c>
      <c r="P59" s="81" t="s">
        <v>471</v>
      </c>
      <c r="Q59" s="81">
        <v>1</v>
      </c>
      <c r="R59" s="81" t="s">
        <v>256</v>
      </c>
      <c r="S59" s="81" t="s">
        <v>259</v>
      </c>
      <c r="T59" s="81" t="s">
        <v>260</v>
      </c>
      <c r="U59" s="770" t="s">
        <v>2934</v>
      </c>
      <c r="V59" s="2464"/>
      <c r="W59" s="96"/>
      <c r="AA59" s="410"/>
    </row>
    <row r="60" spans="1:27" s="3" customFormat="1" ht="18" x14ac:dyDescent="0.25">
      <c r="A60" s="5"/>
      <c r="B60" s="98" t="s">
        <v>848</v>
      </c>
      <c r="C60" s="624" t="s">
        <v>4782</v>
      </c>
      <c r="D60" s="95" t="s">
        <v>1211</v>
      </c>
      <c r="E60" s="97">
        <v>1E-50</v>
      </c>
      <c r="F60" s="95" t="s">
        <v>1211</v>
      </c>
      <c r="G60" s="97" t="s">
        <v>1211</v>
      </c>
      <c r="H60" s="97" t="s">
        <v>1211</v>
      </c>
      <c r="I60" s="97" t="s">
        <v>1211</v>
      </c>
      <c r="J60" s="97" t="s">
        <v>1211</v>
      </c>
      <c r="K60" s="183" t="s">
        <v>1211</v>
      </c>
      <c r="L60" s="95" t="s">
        <v>1211</v>
      </c>
      <c r="M60" s="95" t="s">
        <v>1211</v>
      </c>
      <c r="N60" s="770" t="s">
        <v>3194</v>
      </c>
      <c r="O60" s="770" t="s">
        <v>3195</v>
      </c>
      <c r="P60" s="81" t="s">
        <v>471</v>
      </c>
      <c r="Q60" s="81">
        <v>1</v>
      </c>
      <c r="R60" s="81" t="s">
        <v>256</v>
      </c>
      <c r="S60" s="81" t="s">
        <v>259</v>
      </c>
      <c r="T60" s="81" t="s">
        <v>260</v>
      </c>
      <c r="U60" s="770" t="s">
        <v>2934</v>
      </c>
      <c r="V60" s="2464"/>
      <c r="W60" s="96"/>
      <c r="AA60" s="410"/>
    </row>
    <row r="61" spans="1:27" s="69" customFormat="1" ht="18" x14ac:dyDescent="0.25">
      <c r="B61" s="1403" t="s">
        <v>4286</v>
      </c>
      <c r="C61" s="625" t="s">
        <v>4287</v>
      </c>
      <c r="D61" s="560" t="s">
        <v>1211</v>
      </c>
      <c r="E61" s="97">
        <v>1E-50</v>
      </c>
      <c r="F61" s="560" t="s">
        <v>1211</v>
      </c>
      <c r="G61" s="1352" t="s">
        <v>1211</v>
      </c>
      <c r="H61" s="1352" t="s">
        <v>1211</v>
      </c>
      <c r="I61" s="1352" t="s">
        <v>1211</v>
      </c>
      <c r="J61" s="1148" t="s">
        <v>1211</v>
      </c>
      <c r="K61" s="921" t="s">
        <v>1211</v>
      </c>
      <c r="L61" s="1148" t="s">
        <v>1211</v>
      </c>
      <c r="M61" s="1148" t="s">
        <v>1211</v>
      </c>
      <c r="N61" s="558" t="s">
        <v>3194</v>
      </c>
      <c r="O61" s="558" t="s">
        <v>3195</v>
      </c>
      <c r="P61" s="558" t="s">
        <v>4288</v>
      </c>
      <c r="Q61" s="558">
        <v>1</v>
      </c>
      <c r="R61" s="558" t="s">
        <v>256</v>
      </c>
      <c r="S61" s="558" t="s">
        <v>259</v>
      </c>
      <c r="T61" s="558" t="s">
        <v>260</v>
      </c>
      <c r="U61" s="770" t="s">
        <v>2935</v>
      </c>
      <c r="V61" s="2468"/>
      <c r="W61" s="1355"/>
    </row>
    <row r="62" spans="1:27" s="69" customFormat="1" ht="18" x14ac:dyDescent="0.25">
      <c r="B62" s="1403" t="s">
        <v>4289</v>
      </c>
      <c r="C62" s="625" t="s">
        <v>4290</v>
      </c>
      <c r="D62" s="560" t="s">
        <v>1211</v>
      </c>
      <c r="E62" s="97">
        <v>1E-50</v>
      </c>
      <c r="F62" s="560" t="s">
        <v>1211</v>
      </c>
      <c r="G62" s="1352" t="s">
        <v>1211</v>
      </c>
      <c r="H62" s="1352" t="s">
        <v>1211</v>
      </c>
      <c r="I62" s="1352" t="s">
        <v>1211</v>
      </c>
      <c r="J62" s="1148" t="s">
        <v>1211</v>
      </c>
      <c r="K62" s="921" t="s">
        <v>1211</v>
      </c>
      <c r="L62" s="1148" t="s">
        <v>1211</v>
      </c>
      <c r="M62" s="1148" t="s">
        <v>1211</v>
      </c>
      <c r="N62" s="558" t="s">
        <v>3194</v>
      </c>
      <c r="O62" s="558" t="s">
        <v>3195</v>
      </c>
      <c r="P62" s="558" t="s">
        <v>4288</v>
      </c>
      <c r="Q62" s="558">
        <v>1</v>
      </c>
      <c r="R62" s="558" t="s">
        <v>256</v>
      </c>
      <c r="S62" s="558" t="s">
        <v>259</v>
      </c>
      <c r="T62" s="558" t="s">
        <v>260</v>
      </c>
      <c r="U62" s="770" t="s">
        <v>2935</v>
      </c>
      <c r="V62" s="2468"/>
      <c r="W62" s="1355"/>
    </row>
    <row r="63" spans="1:27" s="69" customFormat="1" ht="18" x14ac:dyDescent="0.25">
      <c r="B63" s="1403" t="s">
        <v>4291</v>
      </c>
      <c r="C63" s="625" t="s">
        <v>4292</v>
      </c>
      <c r="D63" s="1435">
        <v>0.01</v>
      </c>
      <c r="E63" s="1435">
        <v>0.01</v>
      </c>
      <c r="F63" s="1435">
        <v>3.0000000000000001E-3</v>
      </c>
      <c r="G63" s="1352" t="s">
        <v>1211</v>
      </c>
      <c r="H63" s="1352" t="s">
        <v>1211</v>
      </c>
      <c r="I63" s="1352" t="s">
        <v>1211</v>
      </c>
      <c r="J63" s="1148" t="s">
        <v>1211</v>
      </c>
      <c r="K63" s="921" t="s">
        <v>1211</v>
      </c>
      <c r="L63" s="1148">
        <v>9.0573400000000005E-3</v>
      </c>
      <c r="M63" s="1148">
        <v>3.9260199999999998</v>
      </c>
      <c r="N63" s="558" t="s">
        <v>3194</v>
      </c>
      <c r="O63" s="558" t="s">
        <v>3195</v>
      </c>
      <c r="P63" s="558" t="s">
        <v>4288</v>
      </c>
      <c r="Q63" s="558">
        <v>1</v>
      </c>
      <c r="R63" s="558" t="s">
        <v>256</v>
      </c>
      <c r="S63" s="558" t="s">
        <v>259</v>
      </c>
      <c r="T63" s="558" t="s">
        <v>260</v>
      </c>
      <c r="U63" s="770" t="s">
        <v>2935</v>
      </c>
      <c r="V63" s="2468"/>
      <c r="W63" s="1355"/>
    </row>
    <row r="64" spans="1:27" s="69" customFormat="1" ht="18" x14ac:dyDescent="0.25">
      <c r="B64" s="1403" t="s">
        <v>4293</v>
      </c>
      <c r="C64" s="625" t="s">
        <v>4294</v>
      </c>
      <c r="D64" s="560" t="s">
        <v>1211</v>
      </c>
      <c r="E64" s="97">
        <v>1E-50</v>
      </c>
      <c r="F64" s="560" t="s">
        <v>1211</v>
      </c>
      <c r="G64" s="1352" t="s">
        <v>1211</v>
      </c>
      <c r="H64" s="1352" t="s">
        <v>1211</v>
      </c>
      <c r="I64" s="1352" t="s">
        <v>1211</v>
      </c>
      <c r="J64" s="1148" t="s">
        <v>1211</v>
      </c>
      <c r="K64" s="921" t="s">
        <v>1211</v>
      </c>
      <c r="L64" s="1148" t="s">
        <v>1211</v>
      </c>
      <c r="M64" s="1148" t="s">
        <v>1211</v>
      </c>
      <c r="N64" s="558" t="s">
        <v>3194</v>
      </c>
      <c r="O64" s="558" t="s">
        <v>3195</v>
      </c>
      <c r="P64" s="558" t="s">
        <v>4288</v>
      </c>
      <c r="Q64" s="558">
        <v>1</v>
      </c>
      <c r="R64" s="558" t="s">
        <v>256</v>
      </c>
      <c r="S64" s="558" t="s">
        <v>259</v>
      </c>
      <c r="T64" s="558" t="s">
        <v>260</v>
      </c>
      <c r="U64" s="770" t="s">
        <v>2935</v>
      </c>
      <c r="V64" s="2468"/>
      <c r="W64" s="1355"/>
    </row>
    <row r="65" spans="2:27" s="69" customFormat="1" ht="18" x14ac:dyDescent="0.25">
      <c r="B65" s="1403" t="s">
        <v>4295</v>
      </c>
      <c r="C65" s="625" t="s">
        <v>4296</v>
      </c>
      <c r="D65" s="560" t="s">
        <v>1211</v>
      </c>
      <c r="E65" s="97">
        <v>1E-50</v>
      </c>
      <c r="F65" s="560" t="s">
        <v>1211</v>
      </c>
      <c r="G65" s="1352" t="s">
        <v>1211</v>
      </c>
      <c r="H65" s="1352" t="s">
        <v>1211</v>
      </c>
      <c r="I65" s="1352" t="s">
        <v>1211</v>
      </c>
      <c r="J65" s="1148" t="s">
        <v>1211</v>
      </c>
      <c r="K65" s="921" t="s">
        <v>1211</v>
      </c>
      <c r="L65" s="1148" t="s">
        <v>1211</v>
      </c>
      <c r="M65" s="1148" t="s">
        <v>1211</v>
      </c>
      <c r="N65" s="558" t="s">
        <v>3194</v>
      </c>
      <c r="O65" s="558" t="s">
        <v>3195</v>
      </c>
      <c r="P65" s="558" t="s">
        <v>4288</v>
      </c>
      <c r="Q65" s="558">
        <v>1</v>
      </c>
      <c r="R65" s="558" t="s">
        <v>256</v>
      </c>
      <c r="S65" s="558" t="s">
        <v>259</v>
      </c>
      <c r="T65" s="558" t="s">
        <v>260</v>
      </c>
      <c r="U65" s="770" t="s">
        <v>2935</v>
      </c>
      <c r="V65" s="2468"/>
      <c r="W65" s="1355"/>
    </row>
    <row r="66" spans="2:27" s="69" customFormat="1" ht="18" x14ac:dyDescent="0.25">
      <c r="B66" s="1403" t="s">
        <v>4297</v>
      </c>
      <c r="C66" s="625" t="s">
        <v>4298</v>
      </c>
      <c r="D66" s="560" t="s">
        <v>1211</v>
      </c>
      <c r="E66" s="97">
        <v>1E-50</v>
      </c>
      <c r="F66" s="560" t="s">
        <v>1211</v>
      </c>
      <c r="G66" s="1352" t="s">
        <v>1211</v>
      </c>
      <c r="H66" s="1352" t="s">
        <v>1211</v>
      </c>
      <c r="I66" s="1352" t="s">
        <v>1211</v>
      </c>
      <c r="J66" s="1436" t="s">
        <v>1211</v>
      </c>
      <c r="K66" s="921" t="s">
        <v>1211</v>
      </c>
      <c r="L66" s="1148" t="s">
        <v>1211</v>
      </c>
      <c r="M66" s="1148" t="s">
        <v>1211</v>
      </c>
      <c r="N66" s="558" t="s">
        <v>3194</v>
      </c>
      <c r="O66" s="558" t="s">
        <v>3195</v>
      </c>
      <c r="P66" s="558" t="s">
        <v>4288</v>
      </c>
      <c r="Q66" s="558">
        <v>1</v>
      </c>
      <c r="R66" s="558" t="s">
        <v>256</v>
      </c>
      <c r="S66" s="558" t="s">
        <v>259</v>
      </c>
      <c r="T66" s="558" t="s">
        <v>260</v>
      </c>
      <c r="U66" s="770" t="s">
        <v>2935</v>
      </c>
      <c r="V66" s="2468"/>
      <c r="W66" s="1355"/>
    </row>
    <row r="67" spans="2:27" s="69" customFormat="1" ht="18" x14ac:dyDescent="0.25">
      <c r="B67" s="1403" t="s">
        <v>4299</v>
      </c>
      <c r="C67" s="625" t="s">
        <v>4300</v>
      </c>
      <c r="D67" s="560" t="s">
        <v>1211</v>
      </c>
      <c r="E67" s="97">
        <v>1E-50</v>
      </c>
      <c r="F67" s="560" t="s">
        <v>1211</v>
      </c>
      <c r="G67" s="1352" t="s">
        <v>1211</v>
      </c>
      <c r="H67" s="1352" t="s">
        <v>1211</v>
      </c>
      <c r="I67" s="1352" t="s">
        <v>1211</v>
      </c>
      <c r="J67" s="1436" t="s">
        <v>1211</v>
      </c>
      <c r="K67" s="921" t="s">
        <v>1211</v>
      </c>
      <c r="L67" s="1148" t="s">
        <v>1211</v>
      </c>
      <c r="M67" s="1148" t="s">
        <v>1211</v>
      </c>
      <c r="N67" s="558" t="s">
        <v>3194</v>
      </c>
      <c r="O67" s="558" t="s">
        <v>3195</v>
      </c>
      <c r="P67" s="558" t="s">
        <v>4288</v>
      </c>
      <c r="Q67" s="558">
        <v>1</v>
      </c>
      <c r="R67" s="558" t="s">
        <v>256</v>
      </c>
      <c r="S67" s="558" t="s">
        <v>259</v>
      </c>
      <c r="T67" s="558" t="s">
        <v>260</v>
      </c>
      <c r="U67" s="770" t="s">
        <v>2935</v>
      </c>
      <c r="V67" s="2468"/>
      <c r="W67" s="1355"/>
    </row>
    <row r="68" spans="2:27" ht="18.75" customHeight="1" x14ac:dyDescent="0.25">
      <c r="B68" s="99" t="s">
        <v>1000</v>
      </c>
      <c r="C68" s="624" t="s">
        <v>2871</v>
      </c>
      <c r="D68" s="95" t="s">
        <v>1211</v>
      </c>
      <c r="E68" s="97">
        <v>1E-50</v>
      </c>
      <c r="F68" s="95" t="s">
        <v>1211</v>
      </c>
      <c r="G68" s="97" t="s">
        <v>1211</v>
      </c>
      <c r="H68" s="97" t="s">
        <v>1211</v>
      </c>
      <c r="I68" s="97" t="s">
        <v>1211</v>
      </c>
      <c r="J68" s="97" t="s">
        <v>1211</v>
      </c>
      <c r="K68" s="183" t="s">
        <v>1211</v>
      </c>
      <c r="L68" s="97" t="s">
        <v>1211</v>
      </c>
      <c r="M68" s="97" t="s">
        <v>1211</v>
      </c>
      <c r="N68" s="770" t="s">
        <v>3194</v>
      </c>
      <c r="O68" s="770" t="s">
        <v>3195</v>
      </c>
      <c r="P68" s="81" t="s">
        <v>362</v>
      </c>
      <c r="Q68" s="81">
        <v>1</v>
      </c>
      <c r="R68" s="81" t="s">
        <v>256</v>
      </c>
      <c r="S68" s="81" t="s">
        <v>259</v>
      </c>
      <c r="T68" s="81" t="s">
        <v>260</v>
      </c>
      <c r="U68" s="770" t="s">
        <v>4412</v>
      </c>
      <c r="V68" s="2464"/>
      <c r="W68" s="96"/>
      <c r="AA68" s="409"/>
    </row>
    <row r="69" spans="2:27" ht="18.75" customHeight="1" x14ac:dyDescent="0.25">
      <c r="B69" s="99" t="s">
        <v>1134</v>
      </c>
      <c r="C69" s="624" t="s">
        <v>2872</v>
      </c>
      <c r="D69" s="95" t="s">
        <v>1211</v>
      </c>
      <c r="E69" s="97">
        <v>1E-50</v>
      </c>
      <c r="F69" s="95" t="s">
        <v>1211</v>
      </c>
      <c r="G69" s="97" t="s">
        <v>1211</v>
      </c>
      <c r="H69" s="2593">
        <v>55</v>
      </c>
      <c r="I69" s="97" t="s">
        <v>1211</v>
      </c>
      <c r="J69" s="97" t="s">
        <v>1211</v>
      </c>
      <c r="K69" s="183" t="s">
        <v>1211</v>
      </c>
      <c r="L69" s="97" t="s">
        <v>1211</v>
      </c>
      <c r="M69" s="97" t="s">
        <v>1211</v>
      </c>
      <c r="N69" s="770" t="s">
        <v>3194</v>
      </c>
      <c r="O69" s="770" t="s">
        <v>3195</v>
      </c>
      <c r="P69" s="81" t="s">
        <v>362</v>
      </c>
      <c r="Q69" s="81">
        <v>1</v>
      </c>
      <c r="R69" s="81" t="s">
        <v>256</v>
      </c>
      <c r="S69" s="81" t="s">
        <v>259</v>
      </c>
      <c r="T69" s="81" t="s">
        <v>260</v>
      </c>
      <c r="U69" s="770" t="s">
        <v>4412</v>
      </c>
      <c r="V69" s="2464"/>
      <c r="W69" s="96"/>
      <c r="AA69" s="409"/>
    </row>
    <row r="70" spans="2:27" s="69" customFormat="1" ht="18.75" customHeight="1" x14ac:dyDescent="0.25">
      <c r="B70" s="1353" t="s">
        <v>4216</v>
      </c>
      <c r="C70" s="625" t="s">
        <v>4217</v>
      </c>
      <c r="D70" s="1354" t="s">
        <v>1211</v>
      </c>
      <c r="E70" s="1352">
        <v>1E-50</v>
      </c>
      <c r="F70" s="1354" t="s">
        <v>1211</v>
      </c>
      <c r="G70" s="1352" t="s">
        <v>1211</v>
      </c>
      <c r="H70" s="2593">
        <v>500</v>
      </c>
      <c r="I70" s="1352" t="s">
        <v>1211</v>
      </c>
      <c r="J70" s="1352" t="s">
        <v>1211</v>
      </c>
      <c r="K70" s="921" t="s">
        <v>1211</v>
      </c>
      <c r="L70" s="1352" t="s">
        <v>1211</v>
      </c>
      <c r="M70" s="1352" t="s">
        <v>1211</v>
      </c>
      <c r="N70" s="558" t="s">
        <v>3194</v>
      </c>
      <c r="O70" s="558" t="s">
        <v>3195</v>
      </c>
      <c r="P70" s="558" t="s">
        <v>362</v>
      </c>
      <c r="Q70" s="558">
        <v>1</v>
      </c>
      <c r="R70" s="558" t="s">
        <v>256</v>
      </c>
      <c r="S70" s="558" t="s">
        <v>259</v>
      </c>
      <c r="T70" s="558" t="s">
        <v>260</v>
      </c>
      <c r="U70" s="770" t="s">
        <v>4412</v>
      </c>
      <c r="V70" s="2468"/>
      <c r="W70" s="1355"/>
      <c r="AA70" s="1263"/>
    </row>
    <row r="71" spans="2:27" ht="18.75" customHeight="1" x14ac:dyDescent="0.25">
      <c r="B71" s="93" t="s">
        <v>358</v>
      </c>
      <c r="C71" s="624" t="s">
        <v>2873</v>
      </c>
      <c r="D71" s="95" t="s">
        <v>1211</v>
      </c>
      <c r="E71" s="97">
        <v>1E-50</v>
      </c>
      <c r="F71" s="95" t="s">
        <v>1211</v>
      </c>
      <c r="G71" s="97" t="s">
        <v>1211</v>
      </c>
      <c r="H71" s="2593">
        <v>300</v>
      </c>
      <c r="I71" s="97" t="s">
        <v>1211</v>
      </c>
      <c r="J71" s="97" t="s">
        <v>1211</v>
      </c>
      <c r="K71" s="183" t="s">
        <v>1211</v>
      </c>
      <c r="L71" s="97" t="s">
        <v>1211</v>
      </c>
      <c r="M71" s="97" t="s">
        <v>1211</v>
      </c>
      <c r="N71" s="770" t="s">
        <v>3194</v>
      </c>
      <c r="O71" s="770" t="s">
        <v>3195</v>
      </c>
      <c r="P71" s="81" t="s">
        <v>362</v>
      </c>
      <c r="Q71" s="81">
        <v>1</v>
      </c>
      <c r="R71" s="81" t="s">
        <v>256</v>
      </c>
      <c r="S71" s="81" t="s">
        <v>259</v>
      </c>
      <c r="T71" s="81" t="s">
        <v>260</v>
      </c>
      <c r="U71" s="770" t="s">
        <v>4412</v>
      </c>
      <c r="V71" s="2464"/>
      <c r="W71" s="96"/>
      <c r="AA71" s="409"/>
    </row>
    <row r="72" spans="2:27" ht="18" x14ac:dyDescent="0.25">
      <c r="B72" s="99" t="s">
        <v>1115</v>
      </c>
      <c r="C72" s="624" t="s">
        <v>2874</v>
      </c>
      <c r="D72" s="95" t="s">
        <v>1211</v>
      </c>
      <c r="E72" s="97">
        <v>1E-50</v>
      </c>
      <c r="F72" s="95" t="s">
        <v>1211</v>
      </c>
      <c r="G72" s="97" t="s">
        <v>1211</v>
      </c>
      <c r="H72" s="2593">
        <v>5</v>
      </c>
      <c r="I72" s="97" t="s">
        <v>1211</v>
      </c>
      <c r="J72" s="97" t="s">
        <v>1211</v>
      </c>
      <c r="K72" s="183" t="s">
        <v>1211</v>
      </c>
      <c r="L72" s="97" t="s">
        <v>1211</v>
      </c>
      <c r="M72" s="97" t="s">
        <v>1211</v>
      </c>
      <c r="N72" s="770" t="s">
        <v>3194</v>
      </c>
      <c r="O72" s="770" t="s">
        <v>3195</v>
      </c>
      <c r="P72" s="81" t="s">
        <v>362</v>
      </c>
      <c r="Q72" s="81">
        <v>1</v>
      </c>
      <c r="R72" s="81" t="s">
        <v>256</v>
      </c>
      <c r="S72" s="81" t="s">
        <v>259</v>
      </c>
      <c r="T72" s="81" t="s">
        <v>260</v>
      </c>
      <c r="U72" s="770" t="s">
        <v>4412</v>
      </c>
      <c r="V72" s="2464"/>
      <c r="W72" s="96"/>
      <c r="AA72" s="409"/>
    </row>
    <row r="73" spans="2:27" ht="18.75" x14ac:dyDescent="0.35">
      <c r="B73" s="2484" t="s">
        <v>5088</v>
      </c>
      <c r="C73" s="2485" t="s">
        <v>5089</v>
      </c>
      <c r="D73" s="2486">
        <v>9.9999999999999995E-7</v>
      </c>
      <c r="E73" s="2486">
        <v>9.9999999999999995E-7</v>
      </c>
      <c r="F73" s="2486">
        <v>9.9999999999999995E-7</v>
      </c>
      <c r="G73" s="2486">
        <v>9.9999999999999995E-7</v>
      </c>
      <c r="H73" s="2486">
        <v>9.9999999999999995E-7</v>
      </c>
      <c r="I73" s="2486">
        <v>9.9999999999999995E-7</v>
      </c>
      <c r="J73" s="2486">
        <v>9.9999999999999995E-7</v>
      </c>
      <c r="K73" s="2486">
        <v>9.9999999999999995E-7</v>
      </c>
      <c r="L73" s="2486">
        <v>9.9999999999999995E-7</v>
      </c>
      <c r="M73" s="2486">
        <v>9.9999999999999995E-7</v>
      </c>
      <c r="N73" s="2279" t="s">
        <v>3194</v>
      </c>
      <c r="O73" s="2279" t="s">
        <v>3195</v>
      </c>
      <c r="P73" s="2487" t="s">
        <v>5090</v>
      </c>
      <c r="Q73" s="2488">
        <v>4</v>
      </c>
      <c r="R73" s="2488" t="s">
        <v>256</v>
      </c>
      <c r="S73" s="2488" t="s">
        <v>257</v>
      </c>
      <c r="T73" s="2488" t="s">
        <v>260</v>
      </c>
      <c r="U73" s="2489" t="s">
        <v>5091</v>
      </c>
      <c r="V73" s="2490" t="s">
        <v>5091</v>
      </c>
      <c r="W73" s="2491"/>
    </row>
    <row r="74" spans="2:27" ht="18.75" x14ac:dyDescent="0.35">
      <c r="B74" s="2484" t="s">
        <v>5092</v>
      </c>
      <c r="C74" s="2485" t="s">
        <v>5093</v>
      </c>
      <c r="D74" s="2486">
        <v>9.9999999999999995E-7</v>
      </c>
      <c r="E74" s="2486">
        <v>9.9999999999999995E-7</v>
      </c>
      <c r="F74" s="2486">
        <v>9.9999999999999995E-7</v>
      </c>
      <c r="G74" s="2486">
        <v>9.9999999999999995E-7</v>
      </c>
      <c r="H74" s="2486">
        <v>9.9999999999999995E-7</v>
      </c>
      <c r="I74" s="2486">
        <v>9.9999999999999995E-7</v>
      </c>
      <c r="J74" s="2486">
        <v>9.9999999999999995E-7</v>
      </c>
      <c r="K74" s="2486">
        <v>9.9999999999999995E-7</v>
      </c>
      <c r="L74" s="2486">
        <v>9.9999999999999995E-7</v>
      </c>
      <c r="M74" s="2486">
        <v>9.9999999999999995E-7</v>
      </c>
      <c r="N74" s="2279" t="s">
        <v>3194</v>
      </c>
      <c r="O74" s="2279" t="s">
        <v>3195</v>
      </c>
      <c r="P74" s="2487" t="s">
        <v>5090</v>
      </c>
      <c r="Q74" s="2488">
        <v>4</v>
      </c>
      <c r="R74" s="2488" t="s">
        <v>256</v>
      </c>
      <c r="S74" s="2488" t="s">
        <v>259</v>
      </c>
      <c r="T74" s="2488" t="s">
        <v>260</v>
      </c>
      <c r="U74" s="2489" t="s">
        <v>5091</v>
      </c>
      <c r="V74" s="2490" t="s">
        <v>5091</v>
      </c>
      <c r="W74" s="2491"/>
    </row>
    <row r="75" spans="2:27" ht="18.75" x14ac:dyDescent="0.35">
      <c r="B75" s="2484" t="s">
        <v>5094</v>
      </c>
      <c r="C75" s="2485" t="s">
        <v>5095</v>
      </c>
      <c r="D75" s="2486">
        <v>9.9999999999999995E-7</v>
      </c>
      <c r="E75" s="2486">
        <v>9.9999999999999995E-7</v>
      </c>
      <c r="F75" s="2486">
        <v>9.9999999999999995E-7</v>
      </c>
      <c r="G75" s="2486">
        <v>9.9999999999999995E-7</v>
      </c>
      <c r="H75" s="2486">
        <v>9.9999999999999995E-7</v>
      </c>
      <c r="I75" s="2486">
        <v>9.9999999999999995E-7</v>
      </c>
      <c r="J75" s="2486">
        <v>9.9999999999999995E-7</v>
      </c>
      <c r="K75" s="2486">
        <v>9.9999999999999995E-7</v>
      </c>
      <c r="L75" s="2486">
        <v>9.9999999999999995E-7</v>
      </c>
      <c r="M75" s="2486">
        <v>9.9999999999999995E-7</v>
      </c>
      <c r="N75" s="2279" t="s">
        <v>3194</v>
      </c>
      <c r="O75" s="2279" t="s">
        <v>3195</v>
      </c>
      <c r="P75" s="2487" t="s">
        <v>5090</v>
      </c>
      <c r="Q75" s="2488">
        <v>4</v>
      </c>
      <c r="R75" s="2488" t="s">
        <v>256</v>
      </c>
      <c r="S75" s="2488" t="s">
        <v>257</v>
      </c>
      <c r="T75" s="2488" t="s">
        <v>260</v>
      </c>
      <c r="U75" s="2489" t="s">
        <v>5091</v>
      </c>
      <c r="V75" s="2490" t="s">
        <v>5091</v>
      </c>
      <c r="W75" s="2491"/>
    </row>
    <row r="76" spans="2:27" ht="18.75" x14ac:dyDescent="0.35">
      <c r="B76" s="2484" t="s">
        <v>5096</v>
      </c>
      <c r="C76" s="2485" t="s">
        <v>5097</v>
      </c>
      <c r="D76" s="2486">
        <v>9.9999999999999995E-7</v>
      </c>
      <c r="E76" s="2486">
        <v>9.9999999999999995E-7</v>
      </c>
      <c r="F76" s="2486">
        <v>9.9999999999999995E-7</v>
      </c>
      <c r="G76" s="2486">
        <v>9.9999999999999995E-7</v>
      </c>
      <c r="H76" s="2486">
        <v>9.9999999999999995E-7</v>
      </c>
      <c r="I76" s="2486">
        <v>9.9999999999999995E-7</v>
      </c>
      <c r="J76" s="2486">
        <v>9.9999999999999995E-7</v>
      </c>
      <c r="K76" s="2486">
        <v>9.9999999999999995E-7</v>
      </c>
      <c r="L76" s="2486">
        <v>9.9999999999999995E-7</v>
      </c>
      <c r="M76" s="2486">
        <v>9.9999999999999995E-7</v>
      </c>
      <c r="N76" s="2279" t="s">
        <v>3194</v>
      </c>
      <c r="O76" s="2279" t="s">
        <v>3195</v>
      </c>
      <c r="P76" s="2487" t="s">
        <v>5090</v>
      </c>
      <c r="Q76" s="2488">
        <v>4</v>
      </c>
      <c r="R76" s="2488" t="s">
        <v>256</v>
      </c>
      <c r="S76" s="2488" t="s">
        <v>259</v>
      </c>
      <c r="T76" s="2488" t="s">
        <v>260</v>
      </c>
      <c r="U76" s="2489" t="s">
        <v>5091</v>
      </c>
      <c r="V76" s="2490" t="s">
        <v>5091</v>
      </c>
      <c r="W76" s="2491"/>
    </row>
    <row r="77" spans="2:27" ht="18.75" x14ac:dyDescent="0.25">
      <c r="B77" s="963" t="s">
        <v>4959</v>
      </c>
      <c r="C77" s="964" t="s">
        <v>1287</v>
      </c>
      <c r="D77" s="965">
        <v>83.626000000000005</v>
      </c>
      <c r="E77" s="965">
        <v>83.626000000000005</v>
      </c>
      <c r="F77" s="965">
        <v>83.626000000000005</v>
      </c>
      <c r="G77" s="965">
        <v>83.90024906587459</v>
      </c>
      <c r="H77" s="965">
        <v>146.34549999999999</v>
      </c>
      <c r="I77" s="965">
        <v>83.626000000000005</v>
      </c>
      <c r="J77" s="965">
        <v>83.626000000000005</v>
      </c>
      <c r="K77" s="965">
        <v>83.626000000000005</v>
      </c>
      <c r="L77" s="965">
        <v>83.626000000000005</v>
      </c>
      <c r="M77" s="965">
        <v>83.626000000000005</v>
      </c>
      <c r="N77" s="966" t="s">
        <v>3194</v>
      </c>
      <c r="O77" s="966" t="s">
        <v>3195</v>
      </c>
      <c r="P77" s="1040" t="s">
        <v>3571</v>
      </c>
      <c r="Q77" s="966">
        <v>1</v>
      </c>
      <c r="R77" s="966" t="s">
        <v>256</v>
      </c>
      <c r="S77" s="966" t="s">
        <v>257</v>
      </c>
      <c r="T77" s="966" t="s">
        <v>260</v>
      </c>
      <c r="U77" s="2279" t="s">
        <v>4961</v>
      </c>
      <c r="V77" s="2469"/>
      <c r="W77" s="967" t="s">
        <v>1288</v>
      </c>
      <c r="AA77" s="409"/>
    </row>
    <row r="78" spans="2:27" s="69" customFormat="1" ht="18" x14ac:dyDescent="0.25">
      <c r="B78" s="1262" t="s">
        <v>3942</v>
      </c>
      <c r="C78" s="995" t="s">
        <v>3943</v>
      </c>
      <c r="D78" s="1148">
        <v>0.18</v>
      </c>
      <c r="E78" s="1148">
        <v>0.5</v>
      </c>
      <c r="F78" s="1148">
        <v>0.18</v>
      </c>
      <c r="G78" s="1148">
        <v>0.5</v>
      </c>
      <c r="H78" s="2591">
        <v>0.01</v>
      </c>
      <c r="I78" s="1148">
        <v>0.5</v>
      </c>
      <c r="J78" s="1148">
        <v>0.5</v>
      </c>
      <c r="K78" s="1148">
        <v>0.5</v>
      </c>
      <c r="L78" s="1148">
        <v>0.645791</v>
      </c>
      <c r="M78" s="1148">
        <v>0.99993100000000001</v>
      </c>
      <c r="N78" s="770">
        <v>0</v>
      </c>
      <c r="O78" s="770">
        <v>1</v>
      </c>
      <c r="P78" s="770" t="s">
        <v>1976</v>
      </c>
      <c r="Q78" s="770">
        <v>2</v>
      </c>
      <c r="R78" s="770" t="s">
        <v>256</v>
      </c>
      <c r="S78" s="770" t="s">
        <v>257</v>
      </c>
      <c r="T78" s="770" t="s">
        <v>260</v>
      </c>
      <c r="U78" s="770" t="s">
        <v>4413</v>
      </c>
      <c r="V78" s="2470"/>
      <c r="W78" s="1145"/>
      <c r="AA78" s="1263"/>
    </row>
    <row r="79" spans="2:27" ht="18" x14ac:dyDescent="0.25">
      <c r="B79" s="2068" t="s">
        <v>4723</v>
      </c>
      <c r="C79" s="2069" t="s">
        <v>4724</v>
      </c>
      <c r="D79" s="2071">
        <v>900</v>
      </c>
      <c r="E79" s="2071">
        <v>1000</v>
      </c>
      <c r="F79" s="2071">
        <v>900</v>
      </c>
      <c r="G79" s="2071">
        <v>1000</v>
      </c>
      <c r="H79" s="2593">
        <v>730</v>
      </c>
      <c r="I79" s="2071">
        <v>1000</v>
      </c>
      <c r="J79" s="2071">
        <v>1000</v>
      </c>
      <c r="K79" s="2071">
        <v>1000</v>
      </c>
      <c r="L79" s="2071">
        <v>1000</v>
      </c>
      <c r="M79" s="2071">
        <v>800</v>
      </c>
      <c r="N79" s="2070" t="s">
        <v>3194</v>
      </c>
      <c r="O79" s="2070" t="s">
        <v>3195</v>
      </c>
      <c r="P79" s="2070" t="s">
        <v>1976</v>
      </c>
      <c r="Q79" s="2070">
        <v>0</v>
      </c>
      <c r="R79" s="2070" t="s">
        <v>509</v>
      </c>
      <c r="S79" s="2070" t="s">
        <v>257</v>
      </c>
      <c r="T79" s="2070" t="s">
        <v>260</v>
      </c>
      <c r="U79" s="2070" t="s">
        <v>2133</v>
      </c>
      <c r="V79" s="2471"/>
      <c r="W79" s="2073"/>
    </row>
    <row r="80" spans="2:27" s="69" customFormat="1" ht="18.75" x14ac:dyDescent="0.35">
      <c r="B80" s="989" t="s">
        <v>438</v>
      </c>
      <c r="C80" s="990" t="s">
        <v>3312</v>
      </c>
      <c r="D80" s="1226">
        <v>0.1258</v>
      </c>
      <c r="E80" s="1226">
        <v>0.1258</v>
      </c>
      <c r="F80" s="1226">
        <v>0.1258</v>
      </c>
      <c r="G80" s="1226">
        <v>0.1258</v>
      </c>
      <c r="H80" s="2592">
        <v>8</v>
      </c>
      <c r="I80" s="1226">
        <v>0.1258</v>
      </c>
      <c r="J80" s="1226">
        <v>0.1258</v>
      </c>
      <c r="K80" s="1226">
        <v>0.1258</v>
      </c>
      <c r="L80" s="1226">
        <v>0.1258</v>
      </c>
      <c r="M80" s="1226">
        <v>0.1258</v>
      </c>
      <c r="N80" s="770" t="s">
        <v>3194</v>
      </c>
      <c r="O80" s="770" t="s">
        <v>3195</v>
      </c>
      <c r="P80" s="991" t="s">
        <v>3473</v>
      </c>
      <c r="Q80" s="992">
        <v>1</v>
      </c>
      <c r="R80" s="992" t="s">
        <v>439</v>
      </c>
      <c r="S80" s="992" t="s">
        <v>257</v>
      </c>
      <c r="T80" s="992" t="s">
        <v>804</v>
      </c>
      <c r="U80" s="770" t="s">
        <v>4411</v>
      </c>
      <c r="V80" s="2470"/>
      <c r="W80" s="994"/>
    </row>
    <row r="81" spans="2:23" s="69" customFormat="1" ht="18.75" x14ac:dyDescent="0.35">
      <c r="B81" s="989" t="s">
        <v>440</v>
      </c>
      <c r="C81" s="995" t="s">
        <v>3313</v>
      </c>
      <c r="D81" s="770">
        <v>5.3E-3</v>
      </c>
      <c r="E81" s="770">
        <v>5.3E-3</v>
      </c>
      <c r="F81" s="770">
        <v>5.3E-3</v>
      </c>
      <c r="G81" s="770">
        <v>5.3E-3</v>
      </c>
      <c r="H81" s="2594">
        <v>90</v>
      </c>
      <c r="I81" s="770">
        <v>5.3E-3</v>
      </c>
      <c r="J81" s="770">
        <v>5.3E-3</v>
      </c>
      <c r="K81" s="770">
        <v>5.3E-3</v>
      </c>
      <c r="L81" s="770">
        <v>1.7299999999999999E-2</v>
      </c>
      <c r="M81" s="770">
        <v>1.7299999999999999E-2</v>
      </c>
      <c r="N81" s="770" t="s">
        <v>3194</v>
      </c>
      <c r="O81" s="770" t="s">
        <v>3195</v>
      </c>
      <c r="P81" s="996" t="s">
        <v>3474</v>
      </c>
      <c r="Q81" s="992">
        <v>1</v>
      </c>
      <c r="R81" s="992" t="s">
        <v>439</v>
      </c>
      <c r="S81" s="992" t="s">
        <v>257</v>
      </c>
      <c r="T81" s="992" t="s">
        <v>804</v>
      </c>
      <c r="U81" s="770" t="s">
        <v>148</v>
      </c>
      <c r="V81" s="2470"/>
      <c r="W81" s="994"/>
    </row>
    <row r="82" spans="2:23" s="69" customFormat="1" ht="18.75" x14ac:dyDescent="0.35">
      <c r="B82" s="989" t="s">
        <v>441</v>
      </c>
      <c r="C82" s="995" t="s">
        <v>3314</v>
      </c>
      <c r="D82" s="770">
        <v>5.4999999999999997E-3</v>
      </c>
      <c r="E82" s="770">
        <v>5.4999999999999997E-3</v>
      </c>
      <c r="F82" s="770">
        <v>5.4999999999999997E-3</v>
      </c>
      <c r="G82" s="770">
        <v>5.4999999999999997E-3</v>
      </c>
      <c r="H82" s="2594">
        <v>0.05</v>
      </c>
      <c r="I82" s="770">
        <v>5.4999999999999997E-3</v>
      </c>
      <c r="J82" s="770">
        <v>5.4999999999999997E-3</v>
      </c>
      <c r="K82" s="770">
        <v>5.4999999999999997E-3</v>
      </c>
      <c r="L82" s="770">
        <v>7.9000000000000008E-3</v>
      </c>
      <c r="M82" s="770">
        <v>7.9000000000000008E-3</v>
      </c>
      <c r="N82" s="770" t="s">
        <v>3194</v>
      </c>
      <c r="O82" s="770" t="s">
        <v>3195</v>
      </c>
      <c r="P82" s="997" t="s">
        <v>3474</v>
      </c>
      <c r="Q82" s="992">
        <v>1</v>
      </c>
      <c r="R82" s="992" t="s">
        <v>439</v>
      </c>
      <c r="S82" s="992" t="s">
        <v>257</v>
      </c>
      <c r="T82" s="992" t="s">
        <v>804</v>
      </c>
      <c r="U82" s="770" t="s">
        <v>148</v>
      </c>
      <c r="V82" s="2470"/>
      <c r="W82" s="994"/>
    </row>
    <row r="83" spans="2:23" s="69" customFormat="1" ht="18.75" x14ac:dyDescent="0.35">
      <c r="B83" s="989" t="s">
        <v>442</v>
      </c>
      <c r="C83" s="993" t="s">
        <v>3315</v>
      </c>
      <c r="D83" s="1226">
        <v>3.0244</v>
      </c>
      <c r="E83" s="1226">
        <v>3.0244</v>
      </c>
      <c r="F83" s="1226">
        <v>3.0244</v>
      </c>
      <c r="G83" s="1226">
        <v>3.0244</v>
      </c>
      <c r="H83" s="1227" t="s">
        <v>1211</v>
      </c>
      <c r="I83" s="1226">
        <v>3.0244</v>
      </c>
      <c r="J83" s="1226">
        <v>3.0244</v>
      </c>
      <c r="K83" s="1226">
        <v>3.0244</v>
      </c>
      <c r="L83" s="1226">
        <v>2.9916999999999998</v>
      </c>
      <c r="M83" s="1226">
        <v>2.9916999999999998</v>
      </c>
      <c r="N83" s="770" t="s">
        <v>3194</v>
      </c>
      <c r="O83" s="770" t="s">
        <v>3195</v>
      </c>
      <c r="P83" s="998" t="s">
        <v>3475</v>
      </c>
      <c r="Q83" s="999">
        <v>1</v>
      </c>
      <c r="R83" s="999" t="s">
        <v>439</v>
      </c>
      <c r="S83" s="999" t="s">
        <v>257</v>
      </c>
      <c r="T83" s="999" t="s">
        <v>804</v>
      </c>
      <c r="U83" s="999" t="s">
        <v>4410</v>
      </c>
      <c r="V83" s="2470"/>
      <c r="W83" s="994"/>
    </row>
    <row r="84" spans="2:23" s="69" customFormat="1" ht="18.75" x14ac:dyDescent="0.35">
      <c r="B84" s="989" t="s">
        <v>1050</v>
      </c>
      <c r="C84" s="1000" t="s">
        <v>3316</v>
      </c>
      <c r="D84" s="1227" t="s">
        <v>1211</v>
      </c>
      <c r="E84" s="97">
        <v>1E-50</v>
      </c>
      <c r="F84" s="1227" t="s">
        <v>1211</v>
      </c>
      <c r="G84" s="1227" t="s">
        <v>1211</v>
      </c>
      <c r="H84" s="2595">
        <v>4.0000000000000001E-3</v>
      </c>
      <c r="I84" s="1227" t="s">
        <v>1211</v>
      </c>
      <c r="J84" s="1227" t="s">
        <v>1211</v>
      </c>
      <c r="K84" s="1227" t="s">
        <v>1211</v>
      </c>
      <c r="L84" s="1227" t="s">
        <v>1211</v>
      </c>
      <c r="M84" s="1227" t="s">
        <v>1211</v>
      </c>
      <c r="N84" s="770" t="s">
        <v>3194</v>
      </c>
      <c r="O84" s="770" t="s">
        <v>3195</v>
      </c>
      <c r="P84" s="1001" t="s">
        <v>3476</v>
      </c>
      <c r="Q84" s="999">
        <v>1</v>
      </c>
      <c r="R84" s="999" t="s">
        <v>439</v>
      </c>
      <c r="S84" s="999" t="s">
        <v>257</v>
      </c>
      <c r="T84" s="999" t="s">
        <v>804</v>
      </c>
      <c r="U84" s="999" t="s">
        <v>254</v>
      </c>
      <c r="V84" s="2470"/>
      <c r="W84" s="994"/>
    </row>
    <row r="85" spans="2:23" s="69" customFormat="1" ht="19.5" thickBot="1" x14ac:dyDescent="0.4">
      <c r="B85" s="94" t="s">
        <v>443</v>
      </c>
      <c r="C85" s="968" t="s">
        <v>3317</v>
      </c>
      <c r="D85" s="1228">
        <v>11.542299999999999</v>
      </c>
      <c r="E85" s="1228">
        <v>11.542299999999999</v>
      </c>
      <c r="F85" s="1228">
        <v>11.542299999999999</v>
      </c>
      <c r="G85" s="1228">
        <v>11.542299999999999</v>
      </c>
      <c r="H85" s="2596">
        <v>7.0000000000000007E-2</v>
      </c>
      <c r="I85" s="1228">
        <v>11.542299999999999</v>
      </c>
      <c r="J85" s="1228">
        <v>11.542299999999999</v>
      </c>
      <c r="K85" s="1228">
        <v>11.542299999999999</v>
      </c>
      <c r="L85" s="1228">
        <v>11.854799999999999</v>
      </c>
      <c r="M85" s="1228">
        <v>11.854799999999999</v>
      </c>
      <c r="N85" s="1002" t="s">
        <v>3194</v>
      </c>
      <c r="O85" s="1002" t="s">
        <v>3195</v>
      </c>
      <c r="P85" s="1003" t="s">
        <v>3522</v>
      </c>
      <c r="Q85" s="771">
        <v>1</v>
      </c>
      <c r="R85" s="771" t="s">
        <v>439</v>
      </c>
      <c r="S85" s="771" t="s">
        <v>257</v>
      </c>
      <c r="T85" s="771" t="s">
        <v>804</v>
      </c>
      <c r="U85" s="1439" t="s">
        <v>254</v>
      </c>
      <c r="V85" s="900"/>
      <c r="W85" s="540"/>
    </row>
    <row r="86" spans="2:23" s="69" customFormat="1" ht="18" x14ac:dyDescent="0.35">
      <c r="B86" s="955" t="s">
        <v>3467</v>
      </c>
      <c r="C86" s="956" t="s">
        <v>2875</v>
      </c>
      <c r="D86" s="962">
        <v>0.04</v>
      </c>
      <c r="E86" s="962">
        <v>0.04</v>
      </c>
      <c r="F86" s="962">
        <v>0.04</v>
      </c>
      <c r="G86" s="962">
        <v>0.04</v>
      </c>
      <c r="H86" s="962">
        <v>0.04</v>
      </c>
      <c r="I86" s="962">
        <v>0.04</v>
      </c>
      <c r="J86" s="962">
        <v>0.04</v>
      </c>
      <c r="K86" s="962">
        <v>0.04</v>
      </c>
      <c r="L86" s="962">
        <v>0.04</v>
      </c>
      <c r="M86" s="962">
        <v>0.04</v>
      </c>
      <c r="N86" s="931">
        <v>0</v>
      </c>
      <c r="O86" s="931">
        <v>100</v>
      </c>
      <c r="P86" s="962" t="s">
        <v>1858</v>
      </c>
      <c r="Q86" s="962">
        <v>1</v>
      </c>
      <c r="R86" s="962" t="s">
        <v>439</v>
      </c>
      <c r="S86" s="962" t="s">
        <v>257</v>
      </c>
      <c r="T86" s="962" t="s">
        <v>3477</v>
      </c>
      <c r="U86" s="1440" t="s">
        <v>4411</v>
      </c>
      <c r="V86" s="930"/>
      <c r="W86" s="959"/>
    </row>
    <row r="87" spans="2:23" s="69" customFormat="1" ht="18" x14ac:dyDescent="0.35">
      <c r="B87" s="957" t="s">
        <v>3468</v>
      </c>
      <c r="C87" s="958" t="s">
        <v>2876</v>
      </c>
      <c r="D87" s="961" t="s">
        <v>1211</v>
      </c>
      <c r="E87" s="97">
        <v>1E-50</v>
      </c>
      <c r="F87" s="961" t="s">
        <v>1211</v>
      </c>
      <c r="G87" s="961" t="s">
        <v>1211</v>
      </c>
      <c r="H87" s="961" t="s">
        <v>1211</v>
      </c>
      <c r="I87" s="961" t="s">
        <v>1211</v>
      </c>
      <c r="J87" s="961" t="s">
        <v>1211</v>
      </c>
      <c r="K87" s="961" t="s">
        <v>1211</v>
      </c>
      <c r="L87" s="961" t="s">
        <v>1211</v>
      </c>
      <c r="M87" s="961" t="s">
        <v>1211</v>
      </c>
      <c r="N87" s="516">
        <v>0</v>
      </c>
      <c r="O87" s="516">
        <v>100</v>
      </c>
      <c r="P87" s="961" t="s">
        <v>1858</v>
      </c>
      <c r="Q87" s="961">
        <v>1</v>
      </c>
      <c r="R87" s="961" t="s">
        <v>439</v>
      </c>
      <c r="S87" s="961" t="s">
        <v>257</v>
      </c>
      <c r="T87" s="961" t="s">
        <v>3477</v>
      </c>
      <c r="U87" s="770" t="s">
        <v>148</v>
      </c>
      <c r="V87" s="897"/>
      <c r="W87" s="960"/>
    </row>
    <row r="88" spans="2:23" s="69" customFormat="1" ht="18" x14ac:dyDescent="0.35">
      <c r="B88" s="957" t="s">
        <v>3469</v>
      </c>
      <c r="C88" s="958" t="s">
        <v>2877</v>
      </c>
      <c r="D88" s="961" t="s">
        <v>1211</v>
      </c>
      <c r="E88" s="97">
        <v>1E-50</v>
      </c>
      <c r="F88" s="961" t="s">
        <v>1211</v>
      </c>
      <c r="G88" s="961" t="s">
        <v>1211</v>
      </c>
      <c r="H88" s="961" t="s">
        <v>1211</v>
      </c>
      <c r="I88" s="961" t="s">
        <v>1211</v>
      </c>
      <c r="J88" s="961" t="s">
        <v>1211</v>
      </c>
      <c r="K88" s="961" t="s">
        <v>1211</v>
      </c>
      <c r="L88" s="961" t="s">
        <v>1211</v>
      </c>
      <c r="M88" s="961" t="s">
        <v>1211</v>
      </c>
      <c r="N88" s="516">
        <v>0</v>
      </c>
      <c r="O88" s="516">
        <v>100</v>
      </c>
      <c r="P88" s="961" t="s">
        <v>1858</v>
      </c>
      <c r="Q88" s="961">
        <v>1</v>
      </c>
      <c r="R88" s="961" t="s">
        <v>439</v>
      </c>
      <c r="S88" s="961" t="s">
        <v>257</v>
      </c>
      <c r="T88" s="961" t="s">
        <v>3477</v>
      </c>
      <c r="U88" s="770" t="s">
        <v>148</v>
      </c>
      <c r="V88" s="897"/>
      <c r="W88" s="960"/>
    </row>
    <row r="89" spans="2:23" s="69" customFormat="1" ht="18" x14ac:dyDescent="0.35">
      <c r="B89" s="957" t="s">
        <v>3470</v>
      </c>
      <c r="C89" s="958" t="s">
        <v>2878</v>
      </c>
      <c r="D89" s="961">
        <v>20.95</v>
      </c>
      <c r="E89" s="961">
        <v>20.95</v>
      </c>
      <c r="F89" s="961">
        <v>20.95</v>
      </c>
      <c r="G89" s="961">
        <v>20.95</v>
      </c>
      <c r="H89" s="961">
        <v>20.95</v>
      </c>
      <c r="I89" s="961">
        <v>20.95</v>
      </c>
      <c r="J89" s="961">
        <v>20.95</v>
      </c>
      <c r="K89" s="961">
        <v>20.95</v>
      </c>
      <c r="L89" s="961">
        <v>20.95</v>
      </c>
      <c r="M89" s="961">
        <v>20.95</v>
      </c>
      <c r="N89" s="516">
        <v>0</v>
      </c>
      <c r="O89" s="516">
        <v>100</v>
      </c>
      <c r="P89" s="961" t="s">
        <v>1858</v>
      </c>
      <c r="Q89" s="961">
        <v>1</v>
      </c>
      <c r="R89" s="961" t="s">
        <v>439</v>
      </c>
      <c r="S89" s="961" t="s">
        <v>257</v>
      </c>
      <c r="T89" s="961" t="s">
        <v>3477</v>
      </c>
      <c r="U89" s="999" t="s">
        <v>4410</v>
      </c>
      <c r="V89" s="897"/>
      <c r="W89" s="960"/>
    </row>
    <row r="90" spans="2:23" s="69" customFormat="1" ht="18" x14ac:dyDescent="0.35">
      <c r="B90" s="957" t="s">
        <v>3471</v>
      </c>
      <c r="C90" s="958" t="s">
        <v>2879</v>
      </c>
      <c r="D90" s="961" t="s">
        <v>1211</v>
      </c>
      <c r="E90" s="97">
        <v>1E-50</v>
      </c>
      <c r="F90" s="961" t="s">
        <v>1211</v>
      </c>
      <c r="G90" s="961" t="s">
        <v>1211</v>
      </c>
      <c r="H90" s="961" t="s">
        <v>1211</v>
      </c>
      <c r="I90" s="961" t="s">
        <v>1211</v>
      </c>
      <c r="J90" s="961" t="s">
        <v>1211</v>
      </c>
      <c r="K90" s="961" t="s">
        <v>1211</v>
      </c>
      <c r="L90" s="961" t="s">
        <v>1211</v>
      </c>
      <c r="M90" s="961" t="s">
        <v>1211</v>
      </c>
      <c r="N90" s="516">
        <v>0</v>
      </c>
      <c r="O90" s="516">
        <v>100</v>
      </c>
      <c r="P90" s="961" t="s">
        <v>1858</v>
      </c>
      <c r="Q90" s="961">
        <v>1</v>
      </c>
      <c r="R90" s="961" t="s">
        <v>439</v>
      </c>
      <c r="S90" s="961" t="s">
        <v>257</v>
      </c>
      <c r="T90" s="961" t="s">
        <v>3477</v>
      </c>
      <c r="U90" s="999" t="s">
        <v>254</v>
      </c>
      <c r="V90" s="897"/>
      <c r="W90" s="960"/>
    </row>
    <row r="91" spans="2:23" s="69" customFormat="1" ht="18.75" thickBot="1" x14ac:dyDescent="0.4">
      <c r="B91" s="94" t="s">
        <v>3472</v>
      </c>
      <c r="C91" s="969" t="s">
        <v>2880</v>
      </c>
      <c r="D91" s="970">
        <v>79.010000000000005</v>
      </c>
      <c r="E91" s="970">
        <v>79.010000000000005</v>
      </c>
      <c r="F91" s="970">
        <v>79.010000000000005</v>
      </c>
      <c r="G91" s="970">
        <v>79.010000000000005</v>
      </c>
      <c r="H91" s="970">
        <v>79.010000000000005</v>
      </c>
      <c r="I91" s="970">
        <v>79.010000000000005</v>
      </c>
      <c r="J91" s="970">
        <v>79.010000000000005</v>
      </c>
      <c r="K91" s="970">
        <v>79.010000000000005</v>
      </c>
      <c r="L91" s="970">
        <v>79.010000000000005</v>
      </c>
      <c r="M91" s="970">
        <v>79.010000000000005</v>
      </c>
      <c r="N91" s="771">
        <v>0</v>
      </c>
      <c r="O91" s="771">
        <v>100</v>
      </c>
      <c r="P91" s="970" t="s">
        <v>1858</v>
      </c>
      <c r="Q91" s="970">
        <v>1</v>
      </c>
      <c r="R91" s="970" t="s">
        <v>439</v>
      </c>
      <c r="S91" s="970" t="s">
        <v>257</v>
      </c>
      <c r="T91" s="970" t="s">
        <v>3477</v>
      </c>
      <c r="U91" s="1439" t="s">
        <v>254</v>
      </c>
      <c r="V91" s="900"/>
      <c r="W91" s="540"/>
    </row>
    <row r="94" spans="2:23" x14ac:dyDescent="0.25">
      <c r="K94"/>
      <c r="L94"/>
      <c r="M94"/>
    </row>
  </sheetData>
  <phoneticPr fontId="33" type="noConversion"/>
  <conditionalFormatting sqref="K4:K5 K21:K22">
    <cfRule type="cellIs" dxfId="155" priority="40" operator="equal">
      <formula>0</formula>
    </cfRule>
  </conditionalFormatting>
  <conditionalFormatting sqref="K6">
    <cfRule type="cellIs" dxfId="154" priority="39" operator="equal">
      <formula>0</formula>
    </cfRule>
  </conditionalFormatting>
  <conditionalFormatting sqref="K7:K9 K11:K13">
    <cfRule type="cellIs" dxfId="153" priority="38" operator="equal">
      <formula>0</formula>
    </cfRule>
  </conditionalFormatting>
  <conditionalFormatting sqref="K14">
    <cfRule type="cellIs" dxfId="152" priority="37" operator="equal">
      <formula>0</formula>
    </cfRule>
  </conditionalFormatting>
  <conditionalFormatting sqref="K15">
    <cfRule type="cellIs" dxfId="151" priority="36" operator="equal">
      <formula>0</formula>
    </cfRule>
  </conditionalFormatting>
  <conditionalFormatting sqref="K16:K19">
    <cfRule type="cellIs" dxfId="150" priority="35" operator="equal">
      <formula>0</formula>
    </cfRule>
  </conditionalFormatting>
  <conditionalFormatting sqref="K44">
    <cfRule type="cellIs" dxfId="149" priority="33" operator="equal">
      <formula>0</formula>
    </cfRule>
  </conditionalFormatting>
  <conditionalFormatting sqref="K23:K27 K29:K34 K36:K40 K42:K47">
    <cfRule type="cellIs" dxfId="148" priority="30" operator="equal">
      <formula>0</formula>
    </cfRule>
    <cfRule type="cellIs" dxfId="147" priority="31" operator="equal">
      <formula>0</formula>
    </cfRule>
    <cfRule type="cellIs" dxfId="146" priority="32" operator="equal">
      <formula>0</formula>
    </cfRule>
  </conditionalFormatting>
  <conditionalFormatting sqref="K45">
    <cfRule type="cellIs" dxfId="145" priority="29" operator="equal">
      <formula>0</formula>
    </cfRule>
  </conditionalFormatting>
  <conditionalFormatting sqref="K48:K52">
    <cfRule type="cellIs" dxfId="144" priority="26" operator="equal">
      <formula>0</formula>
    </cfRule>
    <cfRule type="cellIs" dxfId="143" priority="27" operator="equal">
      <formula>0</formula>
    </cfRule>
    <cfRule type="cellIs" dxfId="142" priority="28" operator="equal">
      <formula>0</formula>
    </cfRule>
  </conditionalFormatting>
  <conditionalFormatting sqref="C61 C63 C65 C67">
    <cfRule type="cellIs" dxfId="141" priority="19" operator="equal">
      <formula>0</formula>
    </cfRule>
  </conditionalFormatting>
  <conditionalFormatting sqref="C62 C64 C66">
    <cfRule type="cellIs" dxfId="140" priority="18" operator="equal">
      <formula>0</formula>
    </cfRule>
  </conditionalFormatting>
  <conditionalFormatting sqref="L5:M5">
    <cfRule type="cellIs" dxfId="139" priority="3" operator="equal">
      <formula>0</formula>
    </cfRule>
  </conditionalFormatting>
  <conditionalFormatting sqref="L6:M6">
    <cfRule type="cellIs" dxfId="138" priority="2" operator="equal">
      <formula>0</formula>
    </cfRule>
  </conditionalFormatting>
  <conditionalFormatting sqref="L14">
    <cfRule type="cellIs" dxfId="137" priority="1" operator="equal">
      <formula>0</formula>
    </cfRule>
  </conditionalFormatting>
  <pageMargins left="0.7" right="0.7" top="0.75" bottom="0.75" header="0.3" footer="0.3"/>
  <pageSetup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Munka5"/>
  <dimension ref="B1:G4"/>
  <sheetViews>
    <sheetView showGridLines="0" workbookViewId="0">
      <selection activeCell="D23" sqref="D23"/>
    </sheetView>
  </sheetViews>
  <sheetFormatPr baseColWidth="10" defaultColWidth="9.28515625" defaultRowHeight="15" x14ac:dyDescent="0.25"/>
  <cols>
    <col min="1" max="1" width="16.7109375" customWidth="1"/>
    <col min="2" max="2" width="7.5703125" bestFit="1" customWidth="1"/>
    <col min="3" max="3" width="19.28515625" customWidth="1"/>
    <col min="4" max="4" width="51.7109375" customWidth="1"/>
    <col min="5" max="5" width="4.7109375" bestFit="1" customWidth="1"/>
    <col min="6" max="6" width="5" bestFit="1" customWidth="1"/>
    <col min="7" max="7" width="22.28515625" customWidth="1"/>
  </cols>
  <sheetData>
    <row r="1" spans="2:7" s="47" customFormat="1" ht="57.75" customHeight="1" thickBot="1" x14ac:dyDescent="0.3"/>
    <row r="2" spans="2:7" ht="15.75" thickBot="1" x14ac:dyDescent="0.3">
      <c r="B2" s="4"/>
      <c r="C2" s="61" t="s">
        <v>115</v>
      </c>
      <c r="D2" s="62" t="s">
        <v>118</v>
      </c>
      <c r="E2" s="4"/>
      <c r="F2" s="4"/>
      <c r="G2" s="4"/>
    </row>
    <row r="3" spans="2:7" x14ac:dyDescent="0.25">
      <c r="B3" s="56" t="s">
        <v>0</v>
      </c>
      <c r="C3" s="57" t="s">
        <v>1</v>
      </c>
      <c r="D3" s="57" t="s">
        <v>5</v>
      </c>
      <c r="E3" s="58" t="s">
        <v>2</v>
      </c>
      <c r="F3" s="59" t="s">
        <v>116</v>
      </c>
      <c r="G3" s="60" t="s">
        <v>117</v>
      </c>
    </row>
    <row r="4" spans="2:7" x14ac:dyDescent="0.25">
      <c r="B4" s="6"/>
      <c r="C4" s="6"/>
      <c r="D4" s="6"/>
      <c r="E4" s="6"/>
      <c r="F4" s="6"/>
      <c r="G4" s="6"/>
    </row>
  </sheetData>
  <phoneticPr fontId="33" type="noConversion"/>
  <pageMargins left="0.7" right="0.7" top="0.75" bottom="0.75" header="0.3" footer="0.3"/>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Munka6"/>
  <dimension ref="B1:G4"/>
  <sheetViews>
    <sheetView showGridLines="0" workbookViewId="0">
      <selection activeCell="C2" sqref="C2"/>
    </sheetView>
  </sheetViews>
  <sheetFormatPr baseColWidth="10" defaultColWidth="9.28515625" defaultRowHeight="15" x14ac:dyDescent="0.25"/>
  <cols>
    <col min="2" max="2" width="15.28515625" customWidth="1"/>
    <col min="3" max="3" width="24.7109375" customWidth="1"/>
    <col min="4" max="4" width="20.7109375" customWidth="1"/>
    <col min="7" max="7" width="23.28515625" customWidth="1"/>
  </cols>
  <sheetData>
    <row r="1" spans="2:7" s="47" customFormat="1" ht="43.5" customHeight="1" thickBot="1" x14ac:dyDescent="0.3"/>
    <row r="2" spans="2:7" ht="15.75" thickBot="1" x14ac:dyDescent="0.3">
      <c r="B2" s="4"/>
      <c r="C2" s="2" t="s">
        <v>115</v>
      </c>
      <c r="D2" s="14"/>
      <c r="E2" s="4"/>
      <c r="F2" s="4"/>
      <c r="G2" s="4"/>
    </row>
    <row r="3" spans="2:7" x14ac:dyDescent="0.25">
      <c r="B3" s="15" t="s">
        <v>0</v>
      </c>
      <c r="C3" s="16" t="s">
        <v>1</v>
      </c>
      <c r="D3" s="16" t="s">
        <v>5</v>
      </c>
      <c r="E3" s="17" t="s">
        <v>2</v>
      </c>
      <c r="F3" s="18" t="s">
        <v>116</v>
      </c>
      <c r="G3" s="19" t="s">
        <v>117</v>
      </c>
    </row>
    <row r="4" spans="2:7" x14ac:dyDescent="0.25">
      <c r="B4" s="6"/>
      <c r="C4" s="6"/>
      <c r="D4" s="6"/>
      <c r="E4" s="6"/>
      <c r="F4" s="6"/>
      <c r="G4" s="6"/>
    </row>
  </sheetData>
  <phoneticPr fontId="33" type="noConversion"/>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Munka9"/>
  <dimension ref="A1:R761"/>
  <sheetViews>
    <sheetView showGridLines="0" zoomScaleNormal="100" workbookViewId="0">
      <pane ySplit="1" topLeftCell="A2" activePane="bottomLeft" state="frozen"/>
      <selection pane="bottomLeft"/>
    </sheetView>
  </sheetViews>
  <sheetFormatPr baseColWidth="10" defaultColWidth="9.28515625" defaultRowHeight="15" outlineLevelRow="1" x14ac:dyDescent="0.25"/>
  <cols>
    <col min="1" max="1" width="3.5703125" style="131" customWidth="1"/>
    <col min="2" max="2" width="23.28515625" style="131" customWidth="1"/>
    <col min="3" max="3" width="70.28515625" style="131" customWidth="1"/>
    <col min="4" max="4" width="80" style="131" customWidth="1"/>
    <col min="5" max="5" width="13.7109375" style="303" bestFit="1" customWidth="1"/>
    <col min="6" max="6" width="14.5703125" style="131" bestFit="1" customWidth="1"/>
    <col min="7" max="7" width="10" style="131" bestFit="1" customWidth="1"/>
    <col min="8" max="8" width="58.28515625" style="131" bestFit="1" customWidth="1"/>
    <col min="9" max="9" width="55.28515625" style="131" bestFit="1" customWidth="1"/>
    <col min="10" max="10" width="33.28515625" style="131" bestFit="1" customWidth="1"/>
    <col min="11" max="11" width="29.28515625" style="131" bestFit="1" customWidth="1"/>
    <col min="12" max="12" width="26.28515625" style="131" customWidth="1"/>
    <col min="13" max="16384" width="9.28515625" style="131"/>
  </cols>
  <sheetData>
    <row r="1" spans="1:18" s="288" customFormat="1" ht="62.25" customHeight="1" thickBot="1" x14ac:dyDescent="0.3">
      <c r="A1" s="288" t="s">
        <v>1218</v>
      </c>
      <c r="E1" s="414"/>
    </row>
    <row r="2" spans="1:18" s="2310" customFormat="1" ht="18" customHeight="1" thickBot="1" x14ac:dyDescent="0.3">
      <c r="A2" s="4"/>
      <c r="B2" s="131"/>
      <c r="C2" s="1258" t="s">
        <v>322</v>
      </c>
      <c r="D2" s="14" t="s">
        <v>319</v>
      </c>
      <c r="E2" s="14"/>
      <c r="F2" s="131"/>
      <c r="G2" s="131"/>
      <c r="H2" s="131"/>
      <c r="I2" s="131"/>
    </row>
    <row r="3" spans="1:18" s="2310" customFormat="1" ht="18" customHeight="1" thickBot="1" x14ac:dyDescent="0.3">
      <c r="A3" s="4"/>
      <c r="B3" s="1259" t="s">
        <v>0</v>
      </c>
      <c r="C3" s="1868" t="s">
        <v>1</v>
      </c>
      <c r="D3" s="1260" t="s">
        <v>5</v>
      </c>
      <c r="E3" s="1260" t="s">
        <v>152</v>
      </c>
      <c r="F3" s="1260" t="s">
        <v>2</v>
      </c>
      <c r="G3" s="1260" t="s">
        <v>302</v>
      </c>
      <c r="H3" s="1260" t="s">
        <v>116</v>
      </c>
      <c r="I3" s="1261" t="s">
        <v>117</v>
      </c>
    </row>
    <row r="4" spans="1:18" ht="18" outlineLevel="1" x14ac:dyDescent="0.25">
      <c r="A4" s="4"/>
      <c r="B4" s="631" t="s">
        <v>1744</v>
      </c>
      <c r="C4" s="604" t="s">
        <v>281</v>
      </c>
      <c r="D4" s="604" t="s">
        <v>5377</v>
      </c>
      <c r="E4" s="632">
        <f>X_OHO+X_AHO+X_CASTO+X_MEOLO+X_AOB+X_NOB+X_AMX+X_AMETO+X_HMETO+X_ALGAE</f>
        <v>1305.5</v>
      </c>
      <c r="F4" s="603" t="s">
        <v>1181</v>
      </c>
      <c r="G4" s="603">
        <v>1</v>
      </c>
      <c r="H4" s="603"/>
      <c r="I4" s="633"/>
    </row>
    <row r="5" spans="1:18" ht="18" outlineLevel="1" x14ac:dyDescent="0.25">
      <c r="A5" s="4"/>
      <c r="B5" s="136" t="s">
        <v>4889</v>
      </c>
      <c r="C5" s="510" t="s">
        <v>3204</v>
      </c>
      <c r="D5" s="2300" t="s">
        <v>4896</v>
      </c>
      <c r="E5" s="1216">
        <f>X_OHO+X_CASTO+X_AMETO</f>
        <v>1000.3</v>
      </c>
      <c r="F5" s="83" t="s">
        <v>1181</v>
      </c>
      <c r="G5" s="83">
        <v>1</v>
      </c>
      <c r="H5" s="83"/>
      <c r="I5" s="297"/>
    </row>
    <row r="6" spans="1:18" ht="18" outlineLevel="1" x14ac:dyDescent="0.25">
      <c r="A6" s="4"/>
      <c r="B6" s="555" t="s">
        <v>1745</v>
      </c>
      <c r="C6" s="510" t="s">
        <v>2599</v>
      </c>
      <c r="D6" s="2153" t="s">
        <v>5340</v>
      </c>
      <c r="E6" s="634">
        <f>X_BIO+X_B+X_B_e+X_U+X_PHA_PAO+X_PHA_GAO+X_STO+X_E_ana+X_E</f>
        <v>2929.6</v>
      </c>
      <c r="F6" s="493" t="s">
        <v>1181</v>
      </c>
      <c r="G6" s="493">
        <v>1</v>
      </c>
      <c r="H6" s="493"/>
      <c r="I6" s="635"/>
    </row>
    <row r="7" spans="1:18" s="2310" customFormat="1" ht="18" outlineLevel="1" x14ac:dyDescent="0.25">
      <c r="A7" s="4"/>
      <c r="B7" s="637" t="s">
        <v>2908</v>
      </c>
      <c r="C7" s="958" t="s">
        <v>2909</v>
      </c>
      <c r="D7" s="1873" t="s">
        <v>5376</v>
      </c>
      <c r="E7" s="639">
        <f>S_B_mono+S_B_poly+S_VFA+S_MEOL</f>
        <v>2.0099999999999998</v>
      </c>
      <c r="F7" s="493" t="s">
        <v>1181</v>
      </c>
      <c r="G7" s="636">
        <v>1</v>
      </c>
      <c r="H7" s="636"/>
      <c r="I7" s="1814"/>
      <c r="R7" s="131"/>
    </row>
    <row r="8" spans="1:18" s="2310" customFormat="1" ht="18" outlineLevel="1" x14ac:dyDescent="0.25">
      <c r="A8" s="4"/>
      <c r="B8" s="637" t="s">
        <v>2910</v>
      </c>
      <c r="C8" s="958" t="s">
        <v>2911</v>
      </c>
      <c r="D8" s="958" t="s">
        <v>5421</v>
      </c>
      <c r="E8" s="639">
        <f>X_B+X_B_e+C_B</f>
        <v>79.010000000000005</v>
      </c>
      <c r="F8" s="493" t="s">
        <v>1181</v>
      </c>
      <c r="G8" s="636">
        <v>1</v>
      </c>
      <c r="H8" s="636"/>
      <c r="I8" s="1814"/>
      <c r="R8" s="131"/>
    </row>
    <row r="9" spans="1:18" ht="18" outlineLevel="1" x14ac:dyDescent="0.25">
      <c r="A9" s="4"/>
      <c r="B9" s="555" t="s">
        <v>1746</v>
      </c>
      <c r="C9" s="510" t="s">
        <v>2600</v>
      </c>
      <c r="D9" s="510" t="s">
        <v>1747</v>
      </c>
      <c r="E9" s="634">
        <f>X_BIO/i_CV_BIO</f>
        <v>919.36619718309862</v>
      </c>
      <c r="F9" s="493" t="s">
        <v>1748</v>
      </c>
      <c r="G9" s="493">
        <v>1</v>
      </c>
      <c r="H9" s="493"/>
      <c r="I9" s="635"/>
    </row>
    <row r="10" spans="1:18" ht="36" outlineLevel="1" x14ac:dyDescent="0.25">
      <c r="A10" s="4"/>
      <c r="B10" s="555" t="s">
        <v>1749</v>
      </c>
      <c r="C10" s="510" t="s">
        <v>2079</v>
      </c>
      <c r="D10" s="647" t="s">
        <v>5341</v>
      </c>
      <c r="E10" s="634">
        <f>X_VSS_BIO+X_B/i_CV_XB+X_B_e/i_CV_XBe+X_U/i_CV_XU+X_STO/i_CV_BIO+X_PHA_PAO/i_CV_PHA+X_PHA_GAO/i_CV_PHA+X_E_ana/i_CV_XE+X_E/i_CV_XE+f_H2O_HFO_VSS*X_HFO*M_MFeOH3/A_MFe+f_H2O_HAO_VSS*X_HAO*M_MAlOH3/A_MAl</f>
        <v>2123.6127577729308</v>
      </c>
      <c r="F10" s="493" t="s">
        <v>1748</v>
      </c>
      <c r="G10" s="493">
        <v>1</v>
      </c>
      <c r="H10" s="493"/>
      <c r="I10" s="635"/>
    </row>
    <row r="11" spans="1:18" ht="18" outlineLevel="1" x14ac:dyDescent="0.25">
      <c r="A11" s="4"/>
      <c r="B11" s="555" t="s">
        <v>1752</v>
      </c>
      <c r="C11" s="510" t="s">
        <v>2078</v>
      </c>
      <c r="D11" s="1874" t="s">
        <v>4962</v>
      </c>
      <c r="E11" s="634">
        <f>X_VSS+S_U/i_CV_SU+(S_B_mono+S_B_poly)/i_CV_SB+f_VFA_DM*S_VFA/i_CV_VFA+C_B/i_CV_CB+C_U/i_CV_CU</f>
        <v>2133.0662639239581</v>
      </c>
      <c r="F11" s="493" t="s">
        <v>1753</v>
      </c>
      <c r="G11" s="493">
        <v>1</v>
      </c>
      <c r="H11" s="493"/>
      <c r="I11" s="635"/>
    </row>
    <row r="12" spans="1:18" ht="18" outlineLevel="1" x14ac:dyDescent="0.25">
      <c r="A12" s="4"/>
      <c r="B12" s="555" t="s">
        <v>2080</v>
      </c>
      <c r="C12" s="510" t="s">
        <v>2601</v>
      </c>
      <c r="D12" s="510" t="s">
        <v>2591</v>
      </c>
      <c r="E12" s="634">
        <f>X_U/i_CV_XU+S_U/i_CV_SU+C_U/i_CV_CU</f>
        <v>776.79785678684163</v>
      </c>
      <c r="F12" s="493" t="s">
        <v>1753</v>
      </c>
      <c r="G12" s="493">
        <v>1</v>
      </c>
      <c r="H12" s="493"/>
      <c r="I12" s="635"/>
    </row>
    <row r="13" spans="1:18" ht="18" outlineLevel="1" x14ac:dyDescent="0.25">
      <c r="A13" s="4"/>
      <c r="B13" s="555" t="s">
        <v>1986</v>
      </c>
      <c r="C13" s="510" t="s">
        <v>2117</v>
      </c>
      <c r="D13" s="510" t="s">
        <v>4249</v>
      </c>
      <c r="E13" s="634">
        <f>X_CaCO3+X_ACP+X_STR+X_Vivi+X_BSH</f>
        <v>4.9999999999999997E-50</v>
      </c>
      <c r="F13" s="493" t="s">
        <v>1751</v>
      </c>
      <c r="G13" s="493">
        <v>1</v>
      </c>
      <c r="H13" s="493"/>
      <c r="I13" s="635"/>
    </row>
    <row r="14" spans="1:18" ht="51" outlineLevel="1" x14ac:dyDescent="0.25">
      <c r="A14" s="4"/>
      <c r="B14" s="2132" t="s">
        <v>4733</v>
      </c>
      <c r="C14" s="2035" t="s">
        <v>4734</v>
      </c>
      <c r="D14" s="2035" t="s">
        <v>4735</v>
      </c>
      <c r="E14" s="2133">
        <f>(1-f_H2O_HFO_VSS)*X_HFO*M_MFeOH3/A_MFe+(X_HFO_L_P+X_HFO_L_P_old)*A_SFHFO_L*(M_MPO4/A_MFe)+(X_HFO_H_P+X_HFO_H_P_old)*A_SFHFO_H*(M_MPO4/A_MFe)</f>
        <v>1.4297448294386249E-2</v>
      </c>
      <c r="F14" s="493" t="s">
        <v>1751</v>
      </c>
      <c r="G14" s="2134">
        <v>1</v>
      </c>
      <c r="H14" s="2134"/>
      <c r="I14" s="2135"/>
    </row>
    <row r="15" spans="1:18" s="103" customFormat="1" ht="36" outlineLevel="1" x14ac:dyDescent="0.25">
      <c r="A15" s="131"/>
      <c r="B15" s="2132" t="s">
        <v>4736</v>
      </c>
      <c r="C15" s="2035" t="s">
        <v>4737</v>
      </c>
      <c r="D15" s="2035" t="s">
        <v>4738</v>
      </c>
      <c r="E15" s="2133">
        <f>(1-f_H2O_HAO_VSS)*X_HAO*M_MAlOH3/A_MAl+(X_HAO_L_P+X_HAO_L_P_old)*A_SFHAO_L*(M_MPO4/A_MAl)+(X_HAO_H_P+X_HAO_H_P_old)*A_SFHAO_H*(M_MPO4/A_MAl)</f>
        <v>1.8894650037988993E-2</v>
      </c>
      <c r="F15" s="493" t="s">
        <v>1751</v>
      </c>
      <c r="G15" s="2134">
        <v>1</v>
      </c>
      <c r="H15" s="2134"/>
      <c r="I15" s="2135"/>
      <c r="R15" s="131"/>
    </row>
    <row r="16" spans="1:18" s="103" customFormat="1" ht="18" outlineLevel="1" x14ac:dyDescent="0.25">
      <c r="A16" s="131"/>
      <c r="B16" s="2132" t="s">
        <v>4739</v>
      </c>
      <c r="C16" s="2035" t="s">
        <v>4740</v>
      </c>
      <c r="D16" s="2035" t="s">
        <v>4741</v>
      </c>
      <c r="E16" s="2133">
        <f>X_HFO_ISS+X_HAO_ISS</f>
        <v>3.3192098332375242E-2</v>
      </c>
      <c r="F16" s="493" t="s">
        <v>1751</v>
      </c>
      <c r="G16" s="2134">
        <v>1</v>
      </c>
      <c r="H16" s="2134"/>
      <c r="I16" s="2135"/>
      <c r="R16" s="131"/>
    </row>
    <row r="17" spans="1:18" s="103" customFormat="1" ht="36" outlineLevel="1" x14ac:dyDescent="0.25">
      <c r="B17" s="2132" t="s">
        <v>4742</v>
      </c>
      <c r="C17" s="2134" t="s">
        <v>4743</v>
      </c>
      <c r="D17" s="2035" t="s">
        <v>4749</v>
      </c>
      <c r="E17" s="2133">
        <f>(f_H2O_HFO_VSS-f_H2O_HFO_TSS)*X_HFO*M_MFeOH3/A_MFe+(f_H2O_HAO_VSS-f_H2O_HAO_TSS)*X_HAO*M_MAlOH3/A_MAl</f>
        <v>9.9865764606091728E-3</v>
      </c>
      <c r="F17" s="2134" t="s">
        <v>1748</v>
      </c>
      <c r="G17" s="2134">
        <v>1</v>
      </c>
      <c r="H17" s="2038"/>
      <c r="I17" s="2136"/>
      <c r="R17" s="131"/>
    </row>
    <row r="18" spans="1:18" ht="33" customHeight="1" outlineLevel="1" x14ac:dyDescent="0.25">
      <c r="B18" s="555" t="s">
        <v>1987</v>
      </c>
      <c r="C18" s="510" t="s">
        <v>1988</v>
      </c>
      <c r="D18" s="647" t="s">
        <v>4377</v>
      </c>
      <c r="E18" s="634">
        <f>(1-f_H2O_HFO_TSS)*X_HFO*M_MFeOH3/A_MFe+(X_HFO_L_P+X_HFO_L_P_old)*A_SFHFO_L*(M_MPO4/A_MFe)+(X_HFO_H_P+X_HFO_H_P_old)*A_SFHFO_H*(M_MPO4/A_MFe)</f>
        <v>1.7549958643029814E-2</v>
      </c>
      <c r="F18" s="493" t="s">
        <v>1751</v>
      </c>
      <c r="G18" s="493">
        <v>1</v>
      </c>
      <c r="H18" s="493"/>
      <c r="I18" s="635"/>
    </row>
    <row r="19" spans="1:18" s="103" customFormat="1" ht="36" outlineLevel="1" x14ac:dyDescent="0.25">
      <c r="A19" s="131"/>
      <c r="B19" s="555" t="s">
        <v>4341</v>
      </c>
      <c r="C19" s="510" t="s">
        <v>4342</v>
      </c>
      <c r="D19" s="510" t="s">
        <v>4343</v>
      </c>
      <c r="E19" s="634">
        <f>(1-f_H2O_HAO_TSS)*X_HAO*M_MAlOH3/A_MAl+(X_HAO_L_P+X_HAO_L_P_old)*A_SFHAO_L*(M_MPO4/A_MAl)+(X_HAO_H_P+X_HAO_H_P_old)*A_SFHAO_H*(M_MPO4/A_MAl)</f>
        <v>2.5628716149954593E-2</v>
      </c>
      <c r="F19" s="493" t="s">
        <v>1751</v>
      </c>
      <c r="G19" s="493">
        <v>1</v>
      </c>
      <c r="H19" s="493"/>
      <c r="I19" s="1165"/>
    </row>
    <row r="20" spans="1:18" s="103" customFormat="1" ht="18" outlineLevel="1" x14ac:dyDescent="0.25">
      <c r="B20" s="2132" t="s">
        <v>4744</v>
      </c>
      <c r="C20" s="2134" t="s">
        <v>4745</v>
      </c>
      <c r="D20" s="2035" t="s">
        <v>4748</v>
      </c>
      <c r="E20" s="2133">
        <f>f_H2O_HFO_TSS*X_HFO*M_MFeOH3/A_MFe+f_H2O_HAO_TSS*X_HAO*M_MAlOH3/A_MAl</f>
        <v>4.8676896521996213E-3</v>
      </c>
      <c r="F20" s="2134" t="s">
        <v>1748</v>
      </c>
      <c r="G20" s="2134">
        <v>1</v>
      </c>
      <c r="H20" s="2038"/>
      <c r="I20" s="2136"/>
    </row>
    <row r="21" spans="1:18" s="103" customFormat="1" ht="18" outlineLevel="1" x14ac:dyDescent="0.25">
      <c r="A21" s="131"/>
      <c r="B21" s="555" t="s">
        <v>2940</v>
      </c>
      <c r="C21" s="647" t="s">
        <v>2941</v>
      </c>
      <c r="D21" s="647" t="s">
        <v>4344</v>
      </c>
      <c r="E21" s="648">
        <f>X_HFO_TSS+X_HAO_TSS</f>
        <v>4.3178674792984408E-2</v>
      </c>
      <c r="F21" s="646" t="s">
        <v>1751</v>
      </c>
      <c r="G21" s="646">
        <v>1</v>
      </c>
      <c r="H21" s="646"/>
      <c r="I21" s="635"/>
    </row>
    <row r="22" spans="1:18" ht="18" outlineLevel="1" x14ac:dyDescent="0.25">
      <c r="B22" s="555" t="s">
        <v>1985</v>
      </c>
      <c r="C22" s="510" t="s">
        <v>2602</v>
      </c>
      <c r="D22" s="510" t="s">
        <v>4746</v>
      </c>
      <c r="E22" s="634">
        <f>X_Me_ISS+X_precip+X_INORG+i_TSS_PP*X_PP</f>
        <v>671.00093403381629</v>
      </c>
      <c r="F22" s="493" t="s">
        <v>1751</v>
      </c>
      <c r="G22" s="493">
        <v>1</v>
      </c>
      <c r="H22" s="493"/>
      <c r="I22" s="635"/>
    </row>
    <row r="23" spans="1:18" ht="18" outlineLevel="1" x14ac:dyDescent="0.25">
      <c r="B23" s="555" t="s">
        <v>1750</v>
      </c>
      <c r="C23" s="510" t="s">
        <v>2603</v>
      </c>
      <c r="D23" s="2035" t="s">
        <v>4747</v>
      </c>
      <c r="E23" s="634">
        <f>X_VSS+X_ISS-X_Me_H2O_TSS</f>
        <v>2794.6088241170946</v>
      </c>
      <c r="F23" s="493" t="s">
        <v>1751</v>
      </c>
      <c r="G23" s="493">
        <v>1</v>
      </c>
      <c r="H23" s="493"/>
      <c r="I23" s="635"/>
    </row>
    <row r="24" spans="1:18" ht="36" outlineLevel="1" x14ac:dyDescent="0.25">
      <c r="B24" s="555" t="s">
        <v>1990</v>
      </c>
      <c r="C24" s="1875" t="s">
        <v>1989</v>
      </c>
      <c r="D24" s="1874" t="s">
        <v>3829</v>
      </c>
      <c r="E24" s="634">
        <f>X_TSS+S_U/i_CV_SU+(S_B_mono+S_B_poly)/i_CV_SB+f_VFA_DM*S_VFA/i_CV_VFA+C_B/i_CV_CB+C_U/i_CV_CU+S_NO3*M_MNO3/A_MN+S_NO2*M_MNO2/A_MN+S_PO4*M_MPO4/A_MP+S_CAT+S_AN+S_Ca+S_Mg+S_K+S_Fe2</f>
        <v>3193.0578919752725</v>
      </c>
      <c r="F24" s="493" t="s">
        <v>3855</v>
      </c>
      <c r="G24" s="493">
        <v>1</v>
      </c>
      <c r="H24" s="493"/>
      <c r="I24" s="635"/>
    </row>
    <row r="25" spans="1:18" ht="18" outlineLevel="1" x14ac:dyDescent="0.25">
      <c r="B25" s="555" t="s">
        <v>2082</v>
      </c>
      <c r="C25" s="510" t="s">
        <v>2604</v>
      </c>
      <c r="D25" s="1874" t="s">
        <v>3132</v>
      </c>
      <c r="E25" s="634">
        <f>Y_BOD_ult*(S_VFA+S_B_mono+S_B_poly+S_MEOL+C_B)</f>
        <v>1.9189999999999996</v>
      </c>
      <c r="F25" s="636" t="s">
        <v>830</v>
      </c>
      <c r="G25" s="493">
        <v>1</v>
      </c>
      <c r="H25" s="493"/>
      <c r="I25" s="635"/>
    </row>
    <row r="26" spans="1:18" ht="18" outlineLevel="1" x14ac:dyDescent="0.25">
      <c r="B26" s="555" t="s">
        <v>2083</v>
      </c>
      <c r="C26" s="510" t="s">
        <v>324</v>
      </c>
      <c r="D26" s="2153" t="s">
        <v>5342</v>
      </c>
      <c r="E26" s="634">
        <f>Y_BOD_ult*(X_BIO+X_B+X_B_e+X_PHA_PAO+X_PHA_GAO+X_STO)</f>
        <v>1548.0249999999999</v>
      </c>
      <c r="F26" s="636" t="s">
        <v>830</v>
      </c>
      <c r="G26" s="493">
        <v>1</v>
      </c>
      <c r="H26" s="493"/>
      <c r="I26" s="635"/>
    </row>
    <row r="27" spans="1:18" ht="18" outlineLevel="1" x14ac:dyDescent="0.25">
      <c r="B27" s="555" t="s">
        <v>2084</v>
      </c>
      <c r="C27" s="510" t="s">
        <v>325</v>
      </c>
      <c r="D27" s="1874" t="s">
        <v>2085</v>
      </c>
      <c r="E27" s="634">
        <f>S_BOD_ult+X_BOD_ult</f>
        <v>1549.944</v>
      </c>
      <c r="F27" s="636" t="s">
        <v>830</v>
      </c>
      <c r="G27" s="493">
        <v>1</v>
      </c>
      <c r="H27" s="493"/>
      <c r="I27" s="635"/>
    </row>
    <row r="28" spans="1:18" ht="18" outlineLevel="1" x14ac:dyDescent="0.25">
      <c r="B28" s="555" t="s">
        <v>326</v>
      </c>
      <c r="C28" s="510" t="s">
        <v>2605</v>
      </c>
      <c r="D28" s="1874" t="s">
        <v>3133</v>
      </c>
      <c r="E28" s="634">
        <f>Y_BOD_ult*(S_VFA+S_B_mono+S_B_poly+S_MEOL)*f_S_BOD5_BODult+Y_BOD_ult*C_B*f_C_BOD5_BODult</f>
        <v>1.7242499999999998</v>
      </c>
      <c r="F28" s="636" t="s">
        <v>830</v>
      </c>
      <c r="G28" s="493">
        <v>1</v>
      </c>
      <c r="H28" s="493"/>
      <c r="I28" s="635"/>
    </row>
    <row r="29" spans="1:18" ht="18" outlineLevel="1" x14ac:dyDescent="0.25">
      <c r="B29" s="555" t="s">
        <v>327</v>
      </c>
      <c r="C29" s="510" t="s">
        <v>351</v>
      </c>
      <c r="D29" s="510" t="s">
        <v>2907</v>
      </c>
      <c r="E29" s="634">
        <f>X_BOD_ult*f_X_BOD5_BODult</f>
        <v>774.01249999999993</v>
      </c>
      <c r="F29" s="636" t="s">
        <v>830</v>
      </c>
      <c r="G29" s="493">
        <v>1</v>
      </c>
      <c r="H29" s="493"/>
      <c r="I29" s="635"/>
    </row>
    <row r="30" spans="1:18" ht="18" outlineLevel="1" x14ac:dyDescent="0.25">
      <c r="B30" s="555" t="s">
        <v>328</v>
      </c>
      <c r="C30" s="510" t="s">
        <v>352</v>
      </c>
      <c r="D30" s="510" t="s">
        <v>2927</v>
      </c>
      <c r="E30" s="634">
        <f>S_BOD_5+X_BOD_5</f>
        <v>775.73674999999992</v>
      </c>
      <c r="F30" s="636" t="s">
        <v>830</v>
      </c>
      <c r="G30" s="493">
        <v>1</v>
      </c>
      <c r="H30" s="493"/>
      <c r="I30" s="635"/>
    </row>
    <row r="31" spans="1:18" ht="18" outlineLevel="1" x14ac:dyDescent="0.25">
      <c r="B31" s="555" t="s">
        <v>329</v>
      </c>
      <c r="C31" s="510" t="s">
        <v>354</v>
      </c>
      <c r="D31" s="1876" t="s">
        <v>3134</v>
      </c>
      <c r="E31" s="634">
        <f>S_U+S_B_mono+S_B_poly+S_VFA+S_MEOL</f>
        <v>9.01</v>
      </c>
      <c r="F31" s="493" t="s">
        <v>1181</v>
      </c>
      <c r="G31" s="493">
        <v>1</v>
      </c>
      <c r="H31" s="493"/>
      <c r="I31" s="635"/>
    </row>
    <row r="32" spans="1:18" ht="18" outlineLevel="1" x14ac:dyDescent="0.25">
      <c r="B32" s="555" t="s">
        <v>353</v>
      </c>
      <c r="C32" s="510" t="s">
        <v>2606</v>
      </c>
      <c r="D32" s="510" t="s">
        <v>944</v>
      </c>
      <c r="E32" s="634">
        <f>S_COD+C_B+C_U</f>
        <v>9.0299999999999994</v>
      </c>
      <c r="F32" s="493" t="s">
        <v>1181</v>
      </c>
      <c r="G32" s="493">
        <v>1</v>
      </c>
      <c r="H32" s="493"/>
      <c r="I32" s="635"/>
    </row>
    <row r="33" spans="1:9" ht="18" outlineLevel="1" x14ac:dyDescent="0.25">
      <c r="B33" s="555" t="s">
        <v>1754</v>
      </c>
      <c r="C33" s="510" t="s">
        <v>330</v>
      </c>
      <c r="D33" s="510" t="s">
        <v>1755</v>
      </c>
      <c r="E33" s="634">
        <f>S_CCOD+X_COD</f>
        <v>2938.63</v>
      </c>
      <c r="F33" s="493" t="s">
        <v>1181</v>
      </c>
      <c r="G33" s="493">
        <v>1</v>
      </c>
      <c r="H33" s="493"/>
      <c r="I33" s="635"/>
    </row>
    <row r="34" spans="1:9" s="103" customFormat="1" ht="36" outlineLevel="1" x14ac:dyDescent="0.25">
      <c r="A34" s="131"/>
      <c r="B34" s="555" t="s">
        <v>2405</v>
      </c>
      <c r="C34" s="510" t="s">
        <v>2406</v>
      </c>
      <c r="D34" s="510" t="s">
        <v>2593</v>
      </c>
      <c r="E34" s="634">
        <f>T_COD+S_H2+S_CH4+E_EQFe2*S_Fe2+(3*A_MFe/M_MVivi*E_EQFe2)*X_Vivi-E_EQNO3*S_NO3-E_EQNO2*S_NO2-E_EQN2*S_N2-S_O2</f>
        <v>2882.6207411453097</v>
      </c>
      <c r="F34" s="493" t="s">
        <v>1181</v>
      </c>
      <c r="G34" s="493">
        <v>1</v>
      </c>
      <c r="H34" s="493"/>
      <c r="I34" s="635"/>
    </row>
    <row r="35" spans="1:9" ht="54" outlineLevel="1" x14ac:dyDescent="0.25">
      <c r="B35" s="555" t="s">
        <v>1756</v>
      </c>
      <c r="C35" s="510" t="s">
        <v>337</v>
      </c>
      <c r="D35" s="510" t="s">
        <v>5395</v>
      </c>
      <c r="E35" s="634">
        <f>S_NHx+S_N_B+i_N_CB*C_B+X_N_B+X_N_Be+i_N_SU*S_U+i_N_CU*C_U+X_N_U+i_N_BIO*(X_OHO+X_CASTO+X_MEOLO+X_AOB+X_NOB+X_AMX+X_AMETO+X_HMETO)+i_N_AHO*X_AHO+i_N_XE*(X_E_ana+X_E)+i_N_XSTR*X_STR</f>
        <v>133.96120000000002</v>
      </c>
      <c r="F35" s="493" t="s">
        <v>886</v>
      </c>
      <c r="G35" s="493">
        <v>1</v>
      </c>
      <c r="H35" s="493"/>
      <c r="I35" s="635"/>
    </row>
    <row r="36" spans="1:9" ht="18" outlineLevel="1" x14ac:dyDescent="0.25">
      <c r="B36" s="555" t="s">
        <v>4385</v>
      </c>
      <c r="C36" s="1141" t="s">
        <v>4384</v>
      </c>
      <c r="D36" s="1141" t="s">
        <v>5396</v>
      </c>
      <c r="E36" s="1164">
        <f>S_N_B+i_N_CB*C_B+X_N_B+X_N_Be+i_N_BIO*X_BIO</f>
        <v>97.385100000000008</v>
      </c>
      <c r="F36" s="1143" t="s">
        <v>886</v>
      </c>
      <c r="G36" s="1143">
        <v>1</v>
      </c>
      <c r="H36" s="1143"/>
      <c r="I36" s="1165"/>
    </row>
    <row r="37" spans="1:9" s="4" customFormat="1" ht="18" outlineLevel="1" x14ac:dyDescent="0.25">
      <c r="B37" s="637" t="s">
        <v>3947</v>
      </c>
      <c r="C37" s="510" t="s">
        <v>3948</v>
      </c>
      <c r="D37" s="510" t="s">
        <v>3951</v>
      </c>
      <c r="E37" s="639">
        <f>S_NHx+S_NOx</f>
        <v>6.1</v>
      </c>
      <c r="F37" s="636" t="s">
        <v>338</v>
      </c>
      <c r="G37" s="636">
        <v>1</v>
      </c>
      <c r="H37" s="636"/>
      <c r="I37" s="1355"/>
    </row>
    <row r="38" spans="1:9" ht="18" outlineLevel="1" x14ac:dyDescent="0.25">
      <c r="B38" s="555" t="s">
        <v>1757</v>
      </c>
      <c r="C38" s="510" t="s">
        <v>339</v>
      </c>
      <c r="D38" s="510" t="s">
        <v>3949</v>
      </c>
      <c r="E38" s="634">
        <f>T_KN+S_NOx</f>
        <v>139.06120000000001</v>
      </c>
      <c r="F38" s="493" t="s">
        <v>886</v>
      </c>
      <c r="G38" s="493">
        <v>1</v>
      </c>
      <c r="H38" s="493"/>
      <c r="I38" s="635"/>
    </row>
    <row r="39" spans="1:9" ht="18" outlineLevel="1" x14ac:dyDescent="0.25">
      <c r="B39" s="2132" t="s">
        <v>4968</v>
      </c>
      <c r="C39" s="2300" t="s">
        <v>4963</v>
      </c>
      <c r="D39" s="2300" t="s">
        <v>4964</v>
      </c>
      <c r="E39" s="2323">
        <f>T_KN-S_KN</f>
        <v>132.39100000000002</v>
      </c>
      <c r="F39" s="2305" t="s">
        <v>886</v>
      </c>
      <c r="G39" s="2305">
        <v>1</v>
      </c>
      <c r="H39" s="2305"/>
      <c r="I39" s="2306"/>
    </row>
    <row r="40" spans="1:9" ht="18" customHeight="1" outlineLevel="1" x14ac:dyDescent="0.25">
      <c r="B40" s="555" t="s">
        <v>3707</v>
      </c>
      <c r="C40" s="1141" t="s">
        <v>3708</v>
      </c>
      <c r="D40" s="1141" t="s">
        <v>3709</v>
      </c>
      <c r="E40" s="1164">
        <f>S_NHx+S_N_B+i_N_CB*C_B+i_N_SU*S_U+i_N_CU*C_U</f>
        <v>1.5702</v>
      </c>
      <c r="F40" s="1143" t="s">
        <v>886</v>
      </c>
      <c r="G40" s="1143">
        <v>1</v>
      </c>
      <c r="H40" s="1143"/>
      <c r="I40" s="1165"/>
    </row>
    <row r="41" spans="1:9" ht="18" outlineLevel="1" x14ac:dyDescent="0.25">
      <c r="B41" s="555" t="s">
        <v>4435</v>
      </c>
      <c r="C41" s="1141" t="s">
        <v>4436</v>
      </c>
      <c r="D41" s="1141" t="s">
        <v>4437</v>
      </c>
      <c r="E41" s="1164">
        <f>S_U*i_N_SU</f>
        <v>7.0000000000000007E-2</v>
      </c>
      <c r="F41" s="1143" t="s">
        <v>886</v>
      </c>
      <c r="G41" s="1143">
        <v>1</v>
      </c>
      <c r="H41" s="1143" t="s">
        <v>4207</v>
      </c>
      <c r="I41" s="1165"/>
    </row>
    <row r="42" spans="1:9" s="4" customFormat="1" ht="18" outlineLevel="1" x14ac:dyDescent="0.25">
      <c r="B42" s="637" t="s">
        <v>2254</v>
      </c>
      <c r="C42" s="1877" t="s">
        <v>2607</v>
      </c>
      <c r="D42" s="958" t="s">
        <v>3950</v>
      </c>
      <c r="E42" s="639">
        <f>S_NO2+S_NO3</f>
        <v>5.0999999999999996</v>
      </c>
      <c r="F42" s="636" t="s">
        <v>338</v>
      </c>
      <c r="G42" s="636">
        <v>1</v>
      </c>
      <c r="H42" s="636"/>
      <c r="I42" s="1814"/>
    </row>
    <row r="43" spans="1:9" ht="54" outlineLevel="1" x14ac:dyDescent="0.25">
      <c r="B43" s="555" t="s">
        <v>1758</v>
      </c>
      <c r="C43" s="510" t="s">
        <v>793</v>
      </c>
      <c r="D43" s="1878" t="s">
        <v>5397</v>
      </c>
      <c r="E43" s="634">
        <f>S_PO4+S_P_B+i_P_CB*C_B+X_P_B+X_P_Be+i_P_SU*S_U+X_P_U+i_P_CU*C_U+X_PP+i_P_BIO*(X_OHO+X_CASTO+X_MEOLO+X_AOB+X_NOB+X_AMX+X_AMETO+X_HMETO+X_E_ana+X_E)+i_P_AHO*X_AHO+X_HFO_P+X_HAO_P+i_P_XSTR*X_STR+i_P_XACP*X_ACP+i_P_XVivi*X_Vivi+i_P_XBSH*X_BSH</f>
        <v>99.486040000000003</v>
      </c>
      <c r="F43" s="493" t="s">
        <v>888</v>
      </c>
      <c r="G43" s="493">
        <v>1</v>
      </c>
      <c r="H43" s="493"/>
      <c r="I43" s="635"/>
    </row>
    <row r="44" spans="1:9" ht="18" outlineLevel="1" x14ac:dyDescent="0.25">
      <c r="B44" s="2132" t="s">
        <v>4965</v>
      </c>
      <c r="C44" s="2300" t="s">
        <v>4966</v>
      </c>
      <c r="D44" s="2300" t="s">
        <v>4967</v>
      </c>
      <c r="E44" s="2323">
        <f>T_P-S_P</f>
        <v>98.962000000000003</v>
      </c>
      <c r="F44" s="2305" t="s">
        <v>888</v>
      </c>
      <c r="G44" s="2305">
        <v>1</v>
      </c>
      <c r="H44" s="2305"/>
      <c r="I44" s="2306"/>
    </row>
    <row r="45" spans="1:9" ht="18" customHeight="1" outlineLevel="1" x14ac:dyDescent="0.25">
      <c r="B45" s="555" t="s">
        <v>3710</v>
      </c>
      <c r="C45" s="1141" t="s">
        <v>3711</v>
      </c>
      <c r="D45" s="1141" t="s">
        <v>3712</v>
      </c>
      <c r="E45" s="1164">
        <f>S_PO4+S_P_B+i_P_CB*C_B+i_P_SU*S_U+i_P_CU*C_U</f>
        <v>0.52404000000000006</v>
      </c>
      <c r="F45" s="1143" t="s">
        <v>888</v>
      </c>
      <c r="G45" s="1143">
        <v>1</v>
      </c>
      <c r="H45" s="1143"/>
      <c r="I45" s="1165"/>
    </row>
    <row r="46" spans="1:9" ht="18" outlineLevel="1" x14ac:dyDescent="0.25">
      <c r="B46" s="555" t="s">
        <v>1759</v>
      </c>
      <c r="C46" s="510" t="s">
        <v>470</v>
      </c>
      <c r="D46" s="510" t="s">
        <v>1760</v>
      </c>
      <c r="E46" s="759">
        <f>X_HFO_H+X_HFO_L+X_HFO_L_P+X_HFO_H_P+X_HFO_old+X_HFO_L_P_old+X_HFO_H_P_old</f>
        <v>0.01</v>
      </c>
      <c r="F46" s="493" t="s">
        <v>1931</v>
      </c>
      <c r="G46" s="493">
        <v>1</v>
      </c>
      <c r="H46" s="493"/>
      <c r="I46" s="635"/>
    </row>
    <row r="47" spans="1:9" ht="18" outlineLevel="1" x14ac:dyDescent="0.25">
      <c r="B47" s="555" t="s">
        <v>4345</v>
      </c>
      <c r="C47" s="510" t="s">
        <v>4346</v>
      </c>
      <c r="D47" s="510" t="s">
        <v>4347</v>
      </c>
      <c r="E47" s="759">
        <f>X_HAO_H+X_HAO_L+X_HAO_L_P+X_HAO_H_P+X_HAO_old+X_HAO_L_P_old+X_HAO_H_P_old</f>
        <v>0.01</v>
      </c>
      <c r="F47" s="493" t="s">
        <v>4348</v>
      </c>
      <c r="G47" s="493">
        <v>1</v>
      </c>
      <c r="H47" s="493"/>
      <c r="I47" s="1165"/>
    </row>
    <row r="48" spans="1:9" ht="18" outlineLevel="1" x14ac:dyDescent="0.25">
      <c r="B48" s="555" t="s">
        <v>1761</v>
      </c>
      <c r="C48" s="510" t="s">
        <v>1613</v>
      </c>
      <c r="D48" s="510" t="s">
        <v>1870</v>
      </c>
      <c r="E48" s="634">
        <f>X_HFO+S_Fe2+X_Vivi*3*A_MFe/M_MVivi</f>
        <v>0.01</v>
      </c>
      <c r="F48" s="493" t="s">
        <v>1931</v>
      </c>
      <c r="G48" s="493">
        <v>1</v>
      </c>
      <c r="H48" s="493"/>
      <c r="I48" s="635"/>
    </row>
    <row r="49" spans="1:14" ht="18" outlineLevel="1" x14ac:dyDescent="0.25">
      <c r="B49" s="555" t="s">
        <v>4349</v>
      </c>
      <c r="C49" s="510" t="s">
        <v>4350</v>
      </c>
      <c r="D49" s="510" t="s">
        <v>4351</v>
      </c>
      <c r="E49" s="634">
        <f>X_HAO</f>
        <v>0.01</v>
      </c>
      <c r="F49" s="493" t="s">
        <v>4348</v>
      </c>
      <c r="G49" s="493">
        <v>1</v>
      </c>
      <c r="H49" s="493"/>
      <c r="I49" s="1165"/>
    </row>
    <row r="50" spans="1:14" ht="36" outlineLevel="1" x14ac:dyDescent="0.25">
      <c r="B50" s="555" t="s">
        <v>4226</v>
      </c>
      <c r="C50" s="510" t="s">
        <v>4227</v>
      </c>
      <c r="D50" s="510" t="s">
        <v>4228</v>
      </c>
      <c r="E50" s="634">
        <f>S_Ca+i_Ca_PP*A_MCa/A_MP*X_PP+i_Ca_INORG*X_INORG+X_ACP*3*A_MCa/M_MACP+X_CaCO3*A_MCa/M_MCaCO3+X_BSH*A_MCa/M_MBSH</f>
        <v>180.76360322156796</v>
      </c>
      <c r="F50" s="82" t="s">
        <v>986</v>
      </c>
      <c r="G50" s="82">
        <v>1</v>
      </c>
      <c r="H50" s="493"/>
      <c r="I50" s="1165"/>
    </row>
    <row r="51" spans="1:14" ht="18" outlineLevel="1" x14ac:dyDescent="0.25">
      <c r="B51" s="555" t="s">
        <v>4229</v>
      </c>
      <c r="C51" s="510" t="s">
        <v>4230</v>
      </c>
      <c r="D51" s="510" t="s">
        <v>4231</v>
      </c>
      <c r="E51" s="634">
        <f>S_Mg+i_Mg_PP*A_MMg/A_MP*X_PP+i_Mg_INORG*X_INORG+X_STR*A_MMg/M_MSTR</f>
        <v>54.478624608282161</v>
      </c>
      <c r="F51" s="82" t="s">
        <v>836</v>
      </c>
      <c r="G51" s="82">
        <v>1</v>
      </c>
      <c r="H51" s="493"/>
      <c r="I51" s="1165"/>
    </row>
    <row r="52" spans="1:14" ht="18" outlineLevel="1" x14ac:dyDescent="0.25">
      <c r="B52" s="555" t="s">
        <v>1762</v>
      </c>
      <c r="C52" s="510" t="s">
        <v>2608</v>
      </c>
      <c r="D52" s="510" t="s">
        <v>4376</v>
      </c>
      <c r="E52" s="634">
        <f>(X_HFO_L_P+X_HFO_L_P_old)*A_SFHFO_L*(A_MP/A_MFe)+(X_HFO_H_P+X_HFO_H_P_old)*A_SFHFO_H*(A_MP/A_MFe)</f>
        <v>1.5529865549288207E-50</v>
      </c>
      <c r="F52" s="493" t="s">
        <v>888</v>
      </c>
      <c r="G52" s="493">
        <v>1</v>
      </c>
      <c r="H52" s="493"/>
      <c r="I52" s="635"/>
    </row>
    <row r="53" spans="1:14" ht="18" outlineLevel="1" x14ac:dyDescent="0.25">
      <c r="B53" s="555" t="s">
        <v>4352</v>
      </c>
      <c r="C53" s="510" t="s">
        <v>4353</v>
      </c>
      <c r="D53" s="510" t="s">
        <v>4354</v>
      </c>
      <c r="E53" s="634">
        <f>(X_HAO_L_P+X_HAO_L_P_old)*A_SFHAO_L*(A_MP/A_MAl)+(X_HAO_H_P+X_HAO_H_P_old)*A_SFHAO_H*(A_MP/A_MAl)</f>
        <v>2.5255184789578044E-50</v>
      </c>
      <c r="F53" s="493" t="s">
        <v>888</v>
      </c>
      <c r="G53" s="493">
        <v>1</v>
      </c>
      <c r="H53" s="493"/>
      <c r="I53" s="1165"/>
    </row>
    <row r="54" spans="1:14" ht="18" outlineLevel="1" x14ac:dyDescent="0.25">
      <c r="B54" s="1215" t="s">
        <v>3852</v>
      </c>
      <c r="C54" s="1879" t="s">
        <v>3853</v>
      </c>
      <c r="D54" s="1879" t="s">
        <v>3854</v>
      </c>
      <c r="E54" s="1216">
        <f>S_NHx-S_NOx</f>
        <v>-4.0999999999999996</v>
      </c>
      <c r="F54" s="1143" t="s">
        <v>886</v>
      </c>
      <c r="G54" s="1143">
        <v>1</v>
      </c>
      <c r="H54" s="1214"/>
      <c r="I54" s="1217"/>
    </row>
    <row r="55" spans="1:14" ht="18" customHeight="1" outlineLevel="1" x14ac:dyDescent="0.25">
      <c r="A55" s="4"/>
      <c r="B55" s="1222" t="s">
        <v>2592</v>
      </c>
      <c r="C55" s="1879" t="s">
        <v>1940</v>
      </c>
      <c r="D55" s="1879" t="s">
        <v>1941</v>
      </c>
      <c r="E55" s="1216">
        <f>X_VSS/X_TSS</f>
        <v>0.75989624717650683</v>
      </c>
      <c r="F55" s="1143" t="s">
        <v>3859</v>
      </c>
      <c r="G55" s="1143">
        <v>2</v>
      </c>
      <c r="H55" s="1214"/>
      <c r="I55" s="1223"/>
      <c r="J55" s="2310"/>
      <c r="K55" s="2310"/>
      <c r="L55" s="2310"/>
      <c r="M55" s="2310"/>
      <c r="N55" s="2310"/>
    </row>
    <row r="56" spans="1:14" ht="18" customHeight="1" outlineLevel="1" x14ac:dyDescent="0.25">
      <c r="A56" s="4"/>
      <c r="B56" s="1222" t="s">
        <v>3860</v>
      </c>
      <c r="C56" s="2203" t="s">
        <v>397</v>
      </c>
      <c r="D56" s="1879" t="s">
        <v>1281</v>
      </c>
      <c r="E56" s="1216">
        <f>S_ALK</f>
        <v>5.5299706224952441E-3</v>
      </c>
      <c r="F56" s="1143" t="s">
        <v>1873</v>
      </c>
      <c r="G56" s="1143">
        <v>1</v>
      </c>
      <c r="H56" s="1214" t="s">
        <v>11</v>
      </c>
      <c r="I56" s="1223"/>
      <c r="J56" s="2310"/>
      <c r="K56" s="2310"/>
      <c r="L56" s="2310"/>
      <c r="M56" s="2310"/>
      <c r="N56" s="2310"/>
    </row>
    <row r="57" spans="1:14" s="3" customFormat="1" ht="18" customHeight="1" outlineLevel="1" x14ac:dyDescent="0.25">
      <c r="A57" s="4"/>
      <c r="B57" s="637" t="s">
        <v>4203</v>
      </c>
      <c r="C57" s="958" t="s">
        <v>4204</v>
      </c>
      <c r="D57" s="1880" t="s">
        <v>4205</v>
      </c>
      <c r="E57" s="639">
        <f>MAX(0,f_TOC_1*T_COD-f_TOC_2)</f>
        <v>980.39417624000009</v>
      </c>
      <c r="F57" s="636" t="s">
        <v>4206</v>
      </c>
      <c r="G57" s="636">
        <v>1</v>
      </c>
      <c r="H57" s="636" t="s">
        <v>4207</v>
      </c>
      <c r="I57" s="1355"/>
    </row>
    <row r="58" spans="1:14" s="3" customFormat="1" ht="72" outlineLevel="1" x14ac:dyDescent="0.25">
      <c r="A58" s="4"/>
      <c r="B58" s="2610" t="s">
        <v>3879</v>
      </c>
      <c r="C58" s="2203" t="s">
        <v>3880</v>
      </c>
      <c r="D58" s="2612" t="s">
        <v>5386</v>
      </c>
      <c r="E58" s="2613">
        <f>(X_VSS_BIO*(i_vw_BIO+i_iw_BIO+i_wh_BIO)+i_EPS_XBIO*X_VSS_BIO*(i_vw_EPS+i_wh_EPS)+X_E/i_CV_XE*(i_vw_XE+i_wh_XE)+i_EPS_XE*X_E/i_CV_XE*(i_vw_EPS+i_wh_EPS)+X_B/i_CV_XB*(i_vw_XB+i_wh_XB)+X_B_e/i_CV_XBe*(i_vw_XBe+i_wh_XBe)+X_U/i_CV_XU*(i_vw_XU+i_wh_XU)+X_PHA_PAO/i_CV_PHA*(i_vw_PHA+i_wh_PHA)+X_PHA_GAO/i_CV_PHA*(i_vw_PHA+i_wh_PHA)+C_B/i_CV_CB*i_vw_CB+C_U/i_CV_CU*i_vw_CU)/X_VSS</f>
        <v>1.9007303998177643</v>
      </c>
      <c r="F58" s="2518" t="s">
        <v>3881</v>
      </c>
      <c r="G58" s="2518">
        <v>1</v>
      </c>
      <c r="H58" s="2518"/>
      <c r="I58" s="2461"/>
    </row>
    <row r="59" spans="1:14" s="4" customFormat="1" ht="18" outlineLevel="1" x14ac:dyDescent="0.25">
      <c r="B59" s="2634" t="s">
        <v>5325</v>
      </c>
      <c r="C59" s="2153" t="s">
        <v>5326</v>
      </c>
      <c r="D59" s="2635" t="s">
        <v>5400</v>
      </c>
      <c r="E59" s="2636">
        <f>(i_CV_BIO-i_CV_XE*f_E)/(1-f_E)</f>
        <v>1.42</v>
      </c>
      <c r="F59" s="2153" t="s">
        <v>1884</v>
      </c>
      <c r="G59" s="2153">
        <v>2</v>
      </c>
      <c r="H59" s="2153"/>
      <c r="I59" s="2637"/>
    </row>
    <row r="60" spans="1:14" s="7" customFormat="1" ht="18" outlineLevel="1" x14ac:dyDescent="0.25">
      <c r="B60" s="2513" t="s">
        <v>5102</v>
      </c>
      <c r="C60" s="2203" t="s">
        <v>5103</v>
      </c>
      <c r="D60" s="2614" t="s">
        <v>5104</v>
      </c>
      <c r="E60" s="2615">
        <f>S_PFOA+X_PFOA</f>
        <v>1.9999999999999999E-6</v>
      </c>
      <c r="F60" s="2156" t="s">
        <v>5105</v>
      </c>
      <c r="G60" s="2203">
        <v>4</v>
      </c>
      <c r="H60" s="2203" t="s">
        <v>5091</v>
      </c>
      <c r="I60" s="2514"/>
    </row>
    <row r="61" spans="1:14" s="7" customFormat="1" ht="18.75" outlineLevel="1" thickBot="1" x14ac:dyDescent="0.3">
      <c r="B61" s="2515" t="s">
        <v>5106</v>
      </c>
      <c r="C61" s="2516" t="s">
        <v>5107</v>
      </c>
      <c r="D61" s="2616" t="s">
        <v>5108</v>
      </c>
      <c r="E61" s="2617">
        <f>S_PFOS+X_PFOS</f>
        <v>1.9999999999999999E-6</v>
      </c>
      <c r="F61" s="2618" t="s">
        <v>5105</v>
      </c>
      <c r="G61" s="2516">
        <v>4</v>
      </c>
      <c r="H61" s="2516" t="s">
        <v>5091</v>
      </c>
      <c r="I61" s="2517"/>
    </row>
    <row r="62" spans="1:14" s="2310" customFormat="1" ht="18" customHeight="1" thickBot="1" x14ac:dyDescent="0.3">
      <c r="A62" s="4"/>
      <c r="B62" s="4"/>
      <c r="C62" s="4"/>
      <c r="D62" s="4"/>
      <c r="E62" s="1798"/>
      <c r="F62" s="4"/>
      <c r="G62" s="4"/>
      <c r="H62" s="4"/>
      <c r="I62" s="4"/>
    </row>
    <row r="63" spans="1:14" s="2310" customFormat="1" ht="18" customHeight="1" thickBot="1" x14ac:dyDescent="0.3">
      <c r="A63" s="4"/>
      <c r="B63" s="131"/>
      <c r="C63" s="1258" t="s">
        <v>3131</v>
      </c>
      <c r="D63" s="14" t="s">
        <v>303</v>
      </c>
      <c r="E63" s="14"/>
      <c r="F63" s="131"/>
      <c r="G63" s="131"/>
      <c r="H63" s="131"/>
      <c r="I63" s="131"/>
    </row>
    <row r="64" spans="1:14" s="2310" customFormat="1" ht="18" customHeight="1" thickBot="1" x14ac:dyDescent="0.3">
      <c r="A64" s="4"/>
      <c r="B64" s="1259" t="s">
        <v>0</v>
      </c>
      <c r="C64" s="1868" t="s">
        <v>1</v>
      </c>
      <c r="D64" s="2619" t="s">
        <v>5</v>
      </c>
      <c r="E64" s="2619" t="s">
        <v>152</v>
      </c>
      <c r="F64" s="2619" t="s">
        <v>2</v>
      </c>
      <c r="G64" s="1260" t="s">
        <v>302</v>
      </c>
      <c r="H64" s="1260" t="s">
        <v>116</v>
      </c>
      <c r="I64" s="1261" t="s">
        <v>117</v>
      </c>
    </row>
    <row r="65" spans="1:14" ht="54.75" outlineLevel="1" thickBot="1" x14ac:dyDescent="0.3">
      <c r="A65" s="4"/>
      <c r="B65" s="914" t="s">
        <v>5390</v>
      </c>
      <c r="C65" s="915" t="s">
        <v>5387</v>
      </c>
      <c r="D65" s="2620" t="s">
        <v>5388</v>
      </c>
      <c r="E65" s="2621">
        <f>(M_satSO2_KO2_EPS+η_EPS_anox*M_satSNO2_KNO2_EPS*M_inhSO2_KO2_EPS+η_EPS_anox*M_satSNO3_KNO3_EPS*M_inhSNO2_KNO2_EPS*M_inhSO2_KO2_EPS+η_EPS_ana*M_inhSNO3_KNO3_EPS*M_inhSNO2_KNO2_EPS*M_inhSO2_KiO2_EPS)*i_EPS_XBIO*X_VSS_BIO+i_EPS_XE*X_E/i_CV_XE</f>
        <v>98.087461489958343</v>
      </c>
      <c r="F65" s="2622" t="s">
        <v>5389</v>
      </c>
      <c r="G65" s="773">
        <v>2</v>
      </c>
      <c r="H65" s="773"/>
      <c r="I65" s="1799"/>
      <c r="J65" s="3"/>
      <c r="K65" s="3"/>
      <c r="L65" s="3"/>
      <c r="M65" s="3"/>
      <c r="N65" s="3"/>
    </row>
    <row r="66" spans="1:14" ht="54" outlineLevel="1" x14ac:dyDescent="0.25">
      <c r="A66" s="4"/>
      <c r="B66" s="914" t="s">
        <v>3258</v>
      </c>
      <c r="C66" s="915" t="s">
        <v>3245</v>
      </c>
      <c r="D66" s="1882" t="s">
        <v>3561</v>
      </c>
      <c r="E66" s="2611">
        <f>(M_satSO2_KO2_EPS+η_EPS_anox*M_satSNO2_KNO2_EPS*M_inhSO2_KO2_EPS+η_EPS_anox*M_satSNO3_KNO3_EPS*M_inhSNO2_KNO2_EPS*M_inhSO2_KO2_EPS+η_EPS_ana*M_inhSNO3_KNO3_EPS*M_inhSNO2_KNO2_EPS*M_inhSO2_KiO2_EPS)*i_EPS_XBIO*X_BIO/X_VSS+i_EPS_XE*X_E/X_VSS</f>
        <v>6.5588321037311242E-2</v>
      </c>
      <c r="F66" s="773" t="s">
        <v>1884</v>
      </c>
      <c r="G66" s="773">
        <v>2</v>
      </c>
      <c r="H66" s="773"/>
      <c r="I66" s="1799"/>
      <c r="J66" s="3"/>
      <c r="K66" s="3"/>
      <c r="L66" s="3"/>
      <c r="M66" s="3"/>
      <c r="N66" s="3"/>
    </row>
    <row r="67" spans="1:14" ht="18.75" outlineLevel="1" thickBot="1" x14ac:dyDescent="0.3">
      <c r="A67" s="4"/>
      <c r="B67" s="638" t="s">
        <v>3259</v>
      </c>
      <c r="C67" s="916" t="s">
        <v>3249</v>
      </c>
      <c r="D67" s="985" t="s">
        <v>3264</v>
      </c>
      <c r="E67" s="917">
        <f>1000*f_EPS_VSS</f>
        <v>65.588321037311246</v>
      </c>
      <c r="F67" s="649" t="s">
        <v>3240</v>
      </c>
      <c r="G67" s="649">
        <v>1</v>
      </c>
      <c r="H67" s="649"/>
      <c r="I67" s="1800"/>
      <c r="J67" s="3"/>
      <c r="K67" s="3"/>
      <c r="L67" s="3"/>
      <c r="M67" s="3"/>
      <c r="N67" s="3"/>
    </row>
    <row r="68" spans="1:14" s="2310" customFormat="1" ht="18" customHeight="1" thickBot="1" x14ac:dyDescent="0.3">
      <c r="A68" s="4"/>
      <c r="B68" s="4"/>
      <c r="C68" s="4"/>
      <c r="D68" s="4"/>
      <c r="E68" s="1798"/>
      <c r="F68" s="4"/>
      <c r="G68" s="4"/>
      <c r="H68" s="4"/>
      <c r="I68" s="4"/>
    </row>
    <row r="69" spans="1:14" s="2310" customFormat="1" ht="18" customHeight="1" thickBot="1" x14ac:dyDescent="0.3">
      <c r="A69" s="4"/>
      <c r="B69" s="131"/>
      <c r="C69" s="1258" t="s">
        <v>4003</v>
      </c>
      <c r="D69" s="14" t="s">
        <v>303</v>
      </c>
      <c r="E69" s="14"/>
      <c r="F69" s="131"/>
      <c r="G69" s="131"/>
      <c r="H69" s="131"/>
      <c r="I69" s="131"/>
    </row>
    <row r="70" spans="1:14" s="2310" customFormat="1" ht="18" customHeight="1" thickBot="1" x14ac:dyDescent="0.3">
      <c r="A70" s="4"/>
      <c r="B70" s="1259" t="s">
        <v>0</v>
      </c>
      <c r="C70" s="1868" t="s">
        <v>1</v>
      </c>
      <c r="D70" s="1260" t="s">
        <v>5</v>
      </c>
      <c r="E70" s="1260" t="s">
        <v>152</v>
      </c>
      <c r="F70" s="1260" t="s">
        <v>2</v>
      </c>
      <c r="G70" s="1260" t="s">
        <v>302</v>
      </c>
      <c r="H70" s="1260" t="s">
        <v>116</v>
      </c>
      <c r="I70" s="1261" t="s">
        <v>117</v>
      </c>
    </row>
    <row r="71" spans="1:14" ht="18" customHeight="1" outlineLevel="1" x14ac:dyDescent="0.25">
      <c r="A71" s="3"/>
      <c r="B71" s="2132" t="s">
        <v>5251</v>
      </c>
      <c r="C71" s="2153" t="s">
        <v>5252</v>
      </c>
      <c r="D71" s="2153" t="s">
        <v>5253</v>
      </c>
      <c r="E71" s="2587">
        <f>X_PHA_PAO+X_PHA_GAO</f>
        <v>23</v>
      </c>
      <c r="F71" s="2156" t="s">
        <v>1181</v>
      </c>
      <c r="G71" s="2156">
        <v>1</v>
      </c>
      <c r="H71" s="2156"/>
      <c r="I71" s="2306"/>
    </row>
    <row r="72" spans="1:14" ht="18" customHeight="1" outlineLevel="1" x14ac:dyDescent="0.25">
      <c r="A72" s="4"/>
      <c r="B72" s="555" t="s">
        <v>4004</v>
      </c>
      <c r="C72" s="2153" t="s">
        <v>5254</v>
      </c>
      <c r="D72" s="1141" t="s">
        <v>5251</v>
      </c>
      <c r="E72" s="1164">
        <f>X_PHA_CASTO</f>
        <v>23</v>
      </c>
      <c r="F72" s="1143" t="s">
        <v>1181</v>
      </c>
      <c r="G72" s="1143">
        <v>1</v>
      </c>
      <c r="H72" s="1143"/>
      <c r="I72" s="1165"/>
    </row>
    <row r="73" spans="1:14" s="3" customFormat="1" ht="18" customHeight="1" outlineLevel="1" x14ac:dyDescent="0.25">
      <c r="A73" s="4"/>
      <c r="B73" s="637" t="s">
        <v>4005</v>
      </c>
      <c r="C73" s="1000" t="s">
        <v>4006</v>
      </c>
      <c r="D73" s="1883" t="s">
        <v>5257</v>
      </c>
      <c r="E73" s="1293">
        <f>X_PHA_PAO/X_STC</f>
        <v>0.86956521739130432</v>
      </c>
      <c r="F73" s="1143" t="s">
        <v>282</v>
      </c>
      <c r="G73" s="993">
        <v>1</v>
      </c>
      <c r="H73" s="993"/>
      <c r="I73" s="1355"/>
    </row>
    <row r="74" spans="1:14" s="3" customFormat="1" ht="18" customHeight="1" outlineLevel="1" x14ac:dyDescent="0.25">
      <c r="A74" s="4"/>
      <c r="B74" s="637" t="s">
        <v>4007</v>
      </c>
      <c r="C74" s="1000" t="s">
        <v>4008</v>
      </c>
      <c r="D74" s="1883" t="s">
        <v>5258</v>
      </c>
      <c r="E74" s="1293">
        <f>X_PHA_GAO/X_STC</f>
        <v>0.13043478260869565</v>
      </c>
      <c r="F74" s="1143" t="s">
        <v>282</v>
      </c>
      <c r="G74" s="993">
        <v>1</v>
      </c>
      <c r="H74" s="993"/>
      <c r="I74" s="1355"/>
    </row>
    <row r="75" spans="1:14" ht="18" customHeight="1" outlineLevel="1" x14ac:dyDescent="0.25">
      <c r="A75" s="4"/>
      <c r="B75" s="555" t="s">
        <v>4009</v>
      </c>
      <c r="C75" s="2153" t="s">
        <v>5398</v>
      </c>
      <c r="D75" s="1141" t="s">
        <v>4010</v>
      </c>
      <c r="E75" s="1164">
        <f>actPAO*X_CASTO</f>
        <v>434.78260869565219</v>
      </c>
      <c r="F75" s="1143" t="s">
        <v>1181</v>
      </c>
      <c r="G75" s="1143">
        <v>1</v>
      </c>
      <c r="H75" s="1143"/>
      <c r="I75" s="1165"/>
    </row>
    <row r="76" spans="1:14" ht="18" customHeight="1" outlineLevel="1" x14ac:dyDescent="0.25">
      <c r="A76" s="4"/>
      <c r="B76" s="555" t="s">
        <v>4011</v>
      </c>
      <c r="C76" s="2153" t="s">
        <v>5399</v>
      </c>
      <c r="D76" s="1141" t="s">
        <v>4012</v>
      </c>
      <c r="E76" s="1164">
        <f>actGAO*X_CASTO</f>
        <v>65.217391304347828</v>
      </c>
      <c r="F76" s="1143" t="s">
        <v>1181</v>
      </c>
      <c r="G76" s="1143">
        <v>1</v>
      </c>
      <c r="H76" s="1143"/>
      <c r="I76" s="1165"/>
    </row>
    <row r="77" spans="1:14" s="3" customFormat="1" ht="18" customHeight="1" outlineLevel="1" x14ac:dyDescent="0.25">
      <c r="A77" s="4"/>
      <c r="B77" s="637" t="s">
        <v>4013</v>
      </c>
      <c r="C77" s="1000" t="s">
        <v>4014</v>
      </c>
      <c r="D77" s="1883" t="s">
        <v>4015</v>
      </c>
      <c r="E77" s="1293">
        <f>L_ogsatORP_GAO_T</f>
        <v>0.94784643692158232</v>
      </c>
      <c r="F77" s="1143" t="s">
        <v>282</v>
      </c>
      <c r="G77" s="993">
        <v>1</v>
      </c>
      <c r="H77" s="993"/>
      <c r="I77" s="1355"/>
    </row>
    <row r="78" spans="1:14" s="3" customFormat="1" ht="18" customHeight="1" outlineLevel="1" x14ac:dyDescent="0.25">
      <c r="A78" s="4"/>
      <c r="B78" s="637" t="s">
        <v>4016</v>
      </c>
      <c r="C78" s="1000" t="s">
        <v>4017</v>
      </c>
      <c r="D78" s="1884" t="s">
        <v>4018</v>
      </c>
      <c r="E78" s="1293">
        <f>(1-L_ogsatORP_GAO_T)</f>
        <v>5.2153563078417675E-2</v>
      </c>
      <c r="F78" s="1143" t="s">
        <v>282</v>
      </c>
      <c r="G78" s="993">
        <v>1</v>
      </c>
      <c r="H78" s="993"/>
      <c r="I78" s="1355"/>
    </row>
    <row r="79" spans="1:14" s="3" customFormat="1" ht="18" customHeight="1" outlineLevel="1" x14ac:dyDescent="0.25">
      <c r="A79" s="4"/>
      <c r="B79" s="637" t="s">
        <v>4019</v>
      </c>
      <c r="C79" s="1000" t="s">
        <v>4020</v>
      </c>
      <c r="D79" s="1883" t="s">
        <v>4021</v>
      </c>
      <c r="E79" s="1293">
        <f>(1-L_ogsatORP_GAO_T)*L_oginhORP_PAO</f>
        <v>1.0749650524059162E-10</v>
      </c>
      <c r="F79" s="1143" t="s">
        <v>282</v>
      </c>
      <c r="G79" s="993">
        <v>1</v>
      </c>
      <c r="H79" s="993"/>
      <c r="I79" s="1355"/>
    </row>
    <row r="80" spans="1:14" s="1828" customFormat="1" ht="18" customHeight="1" outlineLevel="1" x14ac:dyDescent="0.25">
      <c r="A80" s="131"/>
      <c r="B80" s="555" t="s">
        <v>4022</v>
      </c>
      <c r="C80" s="2153" t="s">
        <v>5255</v>
      </c>
      <c r="D80" s="2153" t="s">
        <v>5259</v>
      </c>
      <c r="E80" s="1724">
        <f>(Y_PAO_PHA_ox*X_PHA_PAO+Y_GAO_PHA_ox*X_PHA_GAO)/X_STC</f>
        <v>0.63391304347826094</v>
      </c>
      <c r="F80" s="1141" t="s">
        <v>4023</v>
      </c>
      <c r="G80" s="1294">
        <v>2</v>
      </c>
      <c r="H80" s="1143"/>
      <c r="I80" s="1165"/>
    </row>
    <row r="81" spans="1:9" s="1828" customFormat="1" ht="18" customHeight="1" outlineLevel="1" x14ac:dyDescent="0.25">
      <c r="A81" s="131"/>
      <c r="B81" s="608" t="s">
        <v>4024</v>
      </c>
      <c r="C81" s="2153" t="s">
        <v>5256</v>
      </c>
      <c r="D81" s="2153" t="s">
        <v>5260</v>
      </c>
      <c r="E81" s="1724">
        <f>(Y_PAO_PHA_anox*X_PHA_PAO+Y_GAO_PHA_anox*X_PHA_GAO)/X_STC</f>
        <v>0.5173913043478261</v>
      </c>
      <c r="F81" s="1141" t="s">
        <v>4023</v>
      </c>
      <c r="G81" s="1294">
        <v>2</v>
      </c>
      <c r="H81" s="1143"/>
      <c r="I81" s="1165"/>
    </row>
    <row r="82" spans="1:9" s="1828" customFormat="1" ht="18" customHeight="1" outlineLevel="1" thickBot="1" x14ac:dyDescent="0.3">
      <c r="A82" s="131"/>
      <c r="B82" s="1295" t="s">
        <v>4025</v>
      </c>
      <c r="C82" s="1885" t="s">
        <v>4026</v>
      </c>
      <c r="D82" s="1253" t="s">
        <v>5339</v>
      </c>
      <c r="E82" s="1815">
        <f>(i_CIT_PHA*X_PHA_PAO+i_CIT_PHA*X_PHA_GAO)/X_STC</f>
        <v>0.33300000000000002</v>
      </c>
      <c r="F82" s="1225" t="s">
        <v>1886</v>
      </c>
      <c r="G82" s="1191">
        <v>2</v>
      </c>
      <c r="H82" s="1191"/>
      <c r="I82" s="1816"/>
    </row>
    <row r="83" spans="1:9" s="2310" customFormat="1" ht="18" customHeight="1" thickBot="1" x14ac:dyDescent="0.3">
      <c r="A83" s="4"/>
      <c r="B83" s="4"/>
      <c r="C83" s="4"/>
      <c r="D83" s="4"/>
      <c r="E83" s="1798"/>
      <c r="F83" s="4"/>
      <c r="G83" s="4"/>
      <c r="H83" s="4"/>
      <c r="I83" s="4"/>
    </row>
    <row r="84" spans="1:9" s="2310" customFormat="1" ht="18" customHeight="1" thickBot="1" x14ac:dyDescent="0.3">
      <c r="A84" s="4"/>
      <c r="B84" s="131"/>
      <c r="C84" s="1258" t="s">
        <v>2130</v>
      </c>
      <c r="D84" s="14" t="s">
        <v>303</v>
      </c>
      <c r="E84" s="14"/>
      <c r="F84" s="131"/>
      <c r="G84" s="131"/>
      <c r="H84" s="131"/>
      <c r="I84" s="131"/>
    </row>
    <row r="85" spans="1:9" s="2310" customFormat="1" ht="18" customHeight="1" thickBot="1" x14ac:dyDescent="0.3">
      <c r="A85" s="4"/>
      <c r="B85" s="1259" t="s">
        <v>0</v>
      </c>
      <c r="C85" s="1868" t="s">
        <v>1</v>
      </c>
      <c r="D85" s="1260" t="s">
        <v>5</v>
      </c>
      <c r="E85" s="1260" t="s">
        <v>152</v>
      </c>
      <c r="F85" s="1260" t="s">
        <v>2</v>
      </c>
      <c r="G85" s="1260" t="s">
        <v>302</v>
      </c>
      <c r="H85" s="1260" t="s">
        <v>116</v>
      </c>
      <c r="I85" s="1261" t="s">
        <v>117</v>
      </c>
    </row>
    <row r="86" spans="1:9" s="3" customFormat="1" ht="18" outlineLevel="1" x14ac:dyDescent="0.25">
      <c r="A86" s="4"/>
      <c r="B86" s="135" t="s">
        <v>2131</v>
      </c>
      <c r="C86" s="1886" t="s">
        <v>2158</v>
      </c>
      <c r="D86" s="1887" t="s">
        <v>2156</v>
      </c>
      <c r="E86" s="747">
        <f>O_RPbase+(O_RPmax_SO2-O_RPbase)*S_O2/(K_ORP_SO2+S_O2)</f>
        <v>285.36585365853659</v>
      </c>
      <c r="F86" s="89" t="s">
        <v>2125</v>
      </c>
      <c r="G86" s="89">
        <v>1</v>
      </c>
      <c r="H86" s="89"/>
      <c r="I86" s="1801"/>
    </row>
    <row r="87" spans="1:9" s="3" customFormat="1" ht="18" outlineLevel="1" x14ac:dyDescent="0.25">
      <c r="A87" s="4"/>
      <c r="B87" s="513" t="s">
        <v>2132</v>
      </c>
      <c r="C87" s="1888" t="s">
        <v>2159</v>
      </c>
      <c r="D87" s="1887" t="s">
        <v>2157</v>
      </c>
      <c r="E87" s="748">
        <f>O_RPbase+(O_RPmax_SNOx-O_RPbase)*S_NOx/(K_ORP_SNOx+S_NOx)</f>
        <v>62.884615384615415</v>
      </c>
      <c r="F87" s="82" t="s">
        <v>2125</v>
      </c>
      <c r="G87" s="82">
        <v>1</v>
      </c>
      <c r="H87" s="82"/>
      <c r="I87" s="1802"/>
    </row>
    <row r="88" spans="1:9" s="3" customFormat="1" ht="18" outlineLevel="1" x14ac:dyDescent="0.25">
      <c r="A88" s="4"/>
      <c r="B88" s="2610" t="s">
        <v>5407</v>
      </c>
      <c r="C88" s="2203" t="s">
        <v>5408</v>
      </c>
      <c r="D88" s="1883" t="s">
        <v>5409</v>
      </c>
      <c r="E88" s="2613">
        <f>A_AR/r_bCODDR</f>
        <v>4.976903275857289E-4</v>
      </c>
      <c r="F88" s="2156" t="s">
        <v>282</v>
      </c>
      <c r="G88" s="2518">
        <v>1</v>
      </c>
      <c r="H88" s="2518"/>
      <c r="I88" s="2461"/>
    </row>
    <row r="89" spans="1:9" s="3" customFormat="1" ht="18" outlineLevel="1" x14ac:dyDescent="0.25">
      <c r="A89" s="4"/>
      <c r="B89" s="2610" t="s">
        <v>5410</v>
      </c>
      <c r="C89" s="2203" t="s">
        <v>5411</v>
      </c>
      <c r="D89" s="1883" t="s">
        <v>5412</v>
      </c>
      <c r="E89" s="2613">
        <f>O_RPbase*(r_atioAAR_rbCODDR)/(K_ORP_ana+r_atioAAR_rbCODDR)</f>
        <v>-2.9567114318920762</v>
      </c>
      <c r="F89" s="2518" t="s">
        <v>2125</v>
      </c>
      <c r="G89" s="2518">
        <v>1</v>
      </c>
      <c r="H89" s="2518"/>
      <c r="I89" s="2461"/>
    </row>
    <row r="90" spans="1:9" s="3" customFormat="1" ht="18.75" outlineLevel="1" thickBot="1" x14ac:dyDescent="0.3">
      <c r="A90" s="4"/>
      <c r="B90" s="2643" t="s">
        <v>2133</v>
      </c>
      <c r="C90" s="2516" t="s">
        <v>2130</v>
      </c>
      <c r="D90" s="2616" t="s">
        <v>5413</v>
      </c>
      <c r="E90" s="2644">
        <f>MAX(O_RPO2,O_RPNOx,O_RPana)</f>
        <v>285.36585365853659</v>
      </c>
      <c r="F90" s="2645" t="s">
        <v>2125</v>
      </c>
      <c r="G90" s="2645">
        <v>1</v>
      </c>
      <c r="H90" s="2645"/>
      <c r="I90" s="2646"/>
    </row>
    <row r="91" spans="1:9" s="2310" customFormat="1" ht="18" customHeight="1" thickBot="1" x14ac:dyDescent="0.3">
      <c r="A91" s="4"/>
      <c r="B91" s="4"/>
      <c r="C91" s="4"/>
      <c r="D91" s="4"/>
      <c r="E91" s="1798"/>
      <c r="F91" s="4"/>
      <c r="G91" s="4"/>
      <c r="H91" s="4"/>
      <c r="I91" s="4"/>
    </row>
    <row r="92" spans="1:9" s="2310" customFormat="1" ht="18" customHeight="1" thickBot="1" x14ac:dyDescent="0.3">
      <c r="A92" s="4"/>
      <c r="B92" s="131"/>
      <c r="C92" s="1258" t="s">
        <v>4027</v>
      </c>
      <c r="D92" s="14" t="s">
        <v>303</v>
      </c>
      <c r="E92" s="14"/>
      <c r="F92" s="131"/>
      <c r="G92" s="131"/>
      <c r="H92" s="131"/>
      <c r="I92" s="131"/>
    </row>
    <row r="93" spans="1:9" s="2310" customFormat="1" ht="18" customHeight="1" thickBot="1" x14ac:dyDescent="0.3">
      <c r="A93" s="4"/>
      <c r="B93" s="1259" t="s">
        <v>0</v>
      </c>
      <c r="C93" s="1868" t="s">
        <v>1</v>
      </c>
      <c r="D93" s="1260" t="s">
        <v>5</v>
      </c>
      <c r="E93" s="1260" t="s">
        <v>152</v>
      </c>
      <c r="F93" s="1260" t="s">
        <v>2</v>
      </c>
      <c r="G93" s="1260" t="s">
        <v>302</v>
      </c>
      <c r="H93" s="1260" t="s">
        <v>116</v>
      </c>
      <c r="I93" s="1261" t="s">
        <v>117</v>
      </c>
    </row>
    <row r="94" spans="1:9" s="3" customFormat="1" ht="18" customHeight="1" outlineLevel="1" x14ac:dyDescent="0.25">
      <c r="A94" s="4"/>
      <c r="B94" s="611" t="s">
        <v>2687</v>
      </c>
      <c r="C94" s="1889" t="s">
        <v>2688</v>
      </c>
      <c r="D94" s="1887" t="s">
        <v>4721</v>
      </c>
      <c r="E94" s="494">
        <f>(1/(1+EXP(((S_ORPswitch-o_ffsetORPswitch)-(L_ogsatORP_PAO_Half))*(L_ogsatORP_PAO_Slope))))</f>
        <v>2.0611536181902037E-9</v>
      </c>
      <c r="F94" s="702" t="s">
        <v>282</v>
      </c>
      <c r="G94" s="702">
        <v>2</v>
      </c>
      <c r="H94" s="702"/>
      <c r="I94" s="1803"/>
    </row>
    <row r="95" spans="1:9" s="3" customFormat="1" ht="30" outlineLevel="1" x14ac:dyDescent="0.25">
      <c r="A95" s="4"/>
      <c r="B95" s="611" t="s">
        <v>4028</v>
      </c>
      <c r="C95" s="1889" t="s">
        <v>4029</v>
      </c>
      <c r="D95" s="1883" t="s">
        <v>4030</v>
      </c>
      <c r="E95" s="494">
        <f>(L_ogsatORP_GAO_Half_25-L_ogsatORP_GAO_Half_15)/(25-15)</f>
        <v>-5</v>
      </c>
      <c r="F95" s="702" t="s">
        <v>4031</v>
      </c>
      <c r="G95" s="702">
        <v>1</v>
      </c>
      <c r="H95" s="702"/>
      <c r="I95" s="1803"/>
    </row>
    <row r="96" spans="1:9" s="3" customFormat="1" ht="30" outlineLevel="1" x14ac:dyDescent="0.25">
      <c r="A96" s="4"/>
      <c r="B96" s="611" t="s">
        <v>4160</v>
      </c>
      <c r="C96" s="1889" t="s">
        <v>4032</v>
      </c>
      <c r="D96" s="1883" t="s">
        <v>4033</v>
      </c>
      <c r="E96" s="494">
        <f>L_ogsatORP_GAO_Half_25-s_lORP_GAO_Half_T*25</f>
        <v>-45</v>
      </c>
      <c r="F96" s="702" t="s">
        <v>2125</v>
      </c>
      <c r="G96" s="702">
        <v>1</v>
      </c>
      <c r="H96" s="702"/>
      <c r="I96" s="1803"/>
    </row>
    <row r="97" spans="1:10" s="3" customFormat="1" ht="18" customHeight="1" outlineLevel="1" x14ac:dyDescent="0.25">
      <c r="A97" s="4"/>
      <c r="B97" s="637" t="s">
        <v>4034</v>
      </c>
      <c r="C97" s="1889" t="s">
        <v>5261</v>
      </c>
      <c r="D97" s="1890" t="s">
        <v>4161</v>
      </c>
      <c r="E97" s="1296">
        <f>s_lORP_GAO_Half_T*T__+y_ORP_GAO_Half_T</f>
        <v>-145</v>
      </c>
      <c r="F97" s="1296" t="s">
        <v>2125</v>
      </c>
      <c r="G97" s="1296">
        <v>2</v>
      </c>
      <c r="H97" s="993"/>
      <c r="I97" s="1355"/>
      <c r="J97" s="131"/>
    </row>
    <row r="98" spans="1:10" s="3" customFormat="1" ht="18" customHeight="1" outlineLevel="1" x14ac:dyDescent="0.25">
      <c r="A98" s="4"/>
      <c r="B98" s="637" t="s">
        <v>4035</v>
      </c>
      <c r="C98" s="1889" t="s">
        <v>5262</v>
      </c>
      <c r="D98" s="2067" t="s">
        <v>4722</v>
      </c>
      <c r="E98" s="995">
        <f>(1/(1+EXP(((L_ogsatORP_GAO_Half_T)-(S_ORPswitch-o_ffsetORPswitch))*(L_ogsatORP_GAO_Slope))))</f>
        <v>0.94784643692158232</v>
      </c>
      <c r="F98" s="1296" t="s">
        <v>282</v>
      </c>
      <c r="G98" s="1296">
        <v>2</v>
      </c>
      <c r="H98" s="993"/>
      <c r="I98" s="1355"/>
      <c r="J98" s="131"/>
    </row>
    <row r="99" spans="1:10" s="3" customFormat="1" ht="18" customHeight="1" outlineLevel="1" thickBot="1" x14ac:dyDescent="0.3">
      <c r="A99" s="4"/>
      <c r="B99" s="1224" t="s">
        <v>3040</v>
      </c>
      <c r="C99" s="1881" t="s">
        <v>3041</v>
      </c>
      <c r="D99" s="1891" t="s">
        <v>4438</v>
      </c>
      <c r="E99" s="1298">
        <f>(1/(1+EXP(((O_RP)-(L_ogsatORP_HFO_Half))*(L_ogsatORP_HFO_Slope))))</f>
        <v>1.8355812980967403E-17</v>
      </c>
      <c r="F99" s="1297" t="s">
        <v>282</v>
      </c>
      <c r="G99" s="1297">
        <v>2</v>
      </c>
      <c r="H99" s="1225"/>
      <c r="I99" s="1797"/>
      <c r="J99" s="131"/>
    </row>
    <row r="100" spans="1:10" s="2310" customFormat="1" ht="18" customHeight="1" thickBot="1" x14ac:dyDescent="0.3">
      <c r="A100" s="4"/>
      <c r="B100" s="4"/>
      <c r="C100" s="4"/>
      <c r="D100" s="4"/>
      <c r="E100" s="1798"/>
      <c r="F100" s="4"/>
      <c r="G100" s="4"/>
      <c r="H100" s="4"/>
      <c r="I100" s="4"/>
    </row>
    <row r="101" spans="1:10" s="2310" customFormat="1" ht="15.75" thickBot="1" x14ac:dyDescent="0.3">
      <c r="B101" s="4"/>
      <c r="C101" s="1246" t="s">
        <v>4874</v>
      </c>
      <c r="D101" s="14" t="s">
        <v>303</v>
      </c>
      <c r="E101" s="2311"/>
      <c r="F101" s="4"/>
      <c r="G101" s="4"/>
      <c r="H101" s="3"/>
      <c r="I101" s="4"/>
    </row>
    <row r="102" spans="1:10" s="2310" customFormat="1" ht="18" customHeight="1" thickBot="1" x14ac:dyDescent="0.3">
      <c r="A102" s="4"/>
      <c r="B102" s="1259" t="s">
        <v>0</v>
      </c>
      <c r="C102" s="1868" t="s">
        <v>1</v>
      </c>
      <c r="D102" s="1260" t="s">
        <v>5</v>
      </c>
      <c r="E102" s="1260" t="s">
        <v>152</v>
      </c>
      <c r="F102" s="1260" t="s">
        <v>2</v>
      </c>
      <c r="G102" s="1260" t="s">
        <v>302</v>
      </c>
      <c r="H102" s="1260" t="s">
        <v>116</v>
      </c>
      <c r="I102" s="1261" t="s">
        <v>117</v>
      </c>
    </row>
    <row r="103" spans="1:10" s="2310" customFormat="1" ht="18.75" outlineLevel="1" thickBot="1" x14ac:dyDescent="0.3">
      <c r="B103" s="2315" t="s">
        <v>4875</v>
      </c>
      <c r="C103" s="2316" t="s">
        <v>4876</v>
      </c>
      <c r="D103" s="2316" t="s">
        <v>4928</v>
      </c>
      <c r="E103" s="2316">
        <f>(1/(1+EXP(((X_TSS/K_XTSS_lightextinction)-(1))*(100))))*(1/(1+EXP(((1)-(J_photosynt_solar/J_photosynt_solar_opt))*(100))))</f>
        <v>1.1511424014196014E-78</v>
      </c>
      <c r="F103" s="2322" t="s">
        <v>282</v>
      </c>
      <c r="G103" s="2316">
        <v>2</v>
      </c>
      <c r="H103" s="2286" t="s">
        <v>4832</v>
      </c>
      <c r="I103" s="2317"/>
    </row>
    <row r="104" spans="1:10" s="2310" customFormat="1" ht="18" customHeight="1" thickBot="1" x14ac:dyDescent="0.3">
      <c r="B104" s="4"/>
      <c r="C104" s="4"/>
      <c r="D104" s="4"/>
      <c r="E104" s="1798"/>
      <c r="F104" s="4"/>
      <c r="G104" s="4"/>
      <c r="H104" s="4"/>
      <c r="I104" s="4"/>
    </row>
    <row r="105" spans="1:10" s="2310" customFormat="1" ht="18" customHeight="1" thickBot="1" x14ac:dyDescent="0.3">
      <c r="A105" s="4"/>
      <c r="B105" s="131"/>
      <c r="C105" s="1258" t="s">
        <v>1209</v>
      </c>
      <c r="D105" s="14" t="s">
        <v>303</v>
      </c>
      <c r="E105" s="14"/>
      <c r="F105" s="131"/>
      <c r="G105" s="131"/>
      <c r="H105" s="131"/>
      <c r="I105" s="131"/>
    </row>
    <row r="106" spans="1:10" s="2310" customFormat="1" ht="18" customHeight="1" thickBot="1" x14ac:dyDescent="0.3">
      <c r="A106" s="4"/>
      <c r="B106" s="1259" t="s">
        <v>0</v>
      </c>
      <c r="C106" s="1868" t="s">
        <v>1</v>
      </c>
      <c r="D106" s="1260" t="s">
        <v>5</v>
      </c>
      <c r="E106" s="1260" t="s">
        <v>152</v>
      </c>
      <c r="F106" s="1260" t="s">
        <v>2</v>
      </c>
      <c r="G106" s="1260" t="s">
        <v>302</v>
      </c>
      <c r="H106" s="1260" t="s">
        <v>116</v>
      </c>
      <c r="I106" s="1261" t="s">
        <v>117</v>
      </c>
    </row>
    <row r="107" spans="1:10" ht="18" customHeight="1" outlineLevel="1" x14ac:dyDescent="0.25">
      <c r="B107" s="2365" t="s">
        <v>1763</v>
      </c>
      <c r="C107" s="2366" t="s">
        <v>2609</v>
      </c>
      <c r="D107" s="2366" t="s">
        <v>1764</v>
      </c>
      <c r="E107" s="2367">
        <f>((conc_Mg2p_I^(1/3)*conc_NH4p_I^(1/3)*conc_PO43m_I^(1/3)-K_sp_STR^(1/3))/K_sp_STR^(1/3))</f>
        <v>-0.96443559715132532</v>
      </c>
      <c r="F107" s="2360" t="s">
        <v>1976</v>
      </c>
      <c r="G107" s="2366">
        <v>2</v>
      </c>
      <c r="H107" s="2360" t="s">
        <v>1627</v>
      </c>
      <c r="I107" s="2368"/>
    </row>
    <row r="108" spans="1:10" ht="18" customHeight="1" outlineLevel="1" x14ac:dyDescent="0.25">
      <c r="B108" s="2457" t="s">
        <v>1763</v>
      </c>
      <c r="C108" s="2458" t="s">
        <v>2609</v>
      </c>
      <c r="D108" s="2458" t="s">
        <v>1764</v>
      </c>
      <c r="E108" s="2459">
        <f>((conc_Mg2p_I^(1/3)*conc_NH4p_I^(1/3)*conc_PO43m_I^(1/3)-_xlfn.SINGLE(K_sp_STR)^(1/3))/_xlfn.SINGLE(K_sp_STR)^(1/3))</f>
        <v>-0.96443559715132532</v>
      </c>
      <c r="F108" s="2459" t="s">
        <v>1976</v>
      </c>
      <c r="G108" s="2458">
        <v>2</v>
      </c>
      <c r="H108" s="2459" t="s">
        <v>5066</v>
      </c>
      <c r="I108" s="2460"/>
    </row>
    <row r="109" spans="1:10" ht="18" customHeight="1" outlineLevel="1" x14ac:dyDescent="0.25">
      <c r="B109" s="2369" t="s">
        <v>1763</v>
      </c>
      <c r="C109" s="2370" t="s">
        <v>2609</v>
      </c>
      <c r="D109" s="2370">
        <v>0</v>
      </c>
      <c r="E109" s="2361">
        <f>0</f>
        <v>0</v>
      </c>
      <c r="F109" s="2361" t="s">
        <v>1976</v>
      </c>
      <c r="G109" s="2370">
        <v>0</v>
      </c>
      <c r="H109" s="2459" t="s">
        <v>5067</v>
      </c>
      <c r="I109" s="2371"/>
    </row>
    <row r="110" spans="1:10" ht="18" customHeight="1" outlineLevel="1" x14ac:dyDescent="0.25">
      <c r="B110" s="2369" t="s">
        <v>1368</v>
      </c>
      <c r="C110" s="2370" t="s">
        <v>2499</v>
      </c>
      <c r="D110" s="2370" t="s">
        <v>2610</v>
      </c>
      <c r="E110" s="2370">
        <f>IF(P_recipDrivingForceSTR&gt;0,q_STR_PREC,q_STR_DISS*M_satXSTR_KSTR_DISS)</f>
        <v>9.9999999999999997E-48</v>
      </c>
      <c r="F110" s="2370" t="s">
        <v>1315</v>
      </c>
      <c r="G110" s="2370">
        <v>0</v>
      </c>
      <c r="H110" s="2361"/>
      <c r="I110" s="2371"/>
    </row>
    <row r="111" spans="1:10" ht="18" customHeight="1" outlineLevel="1" x14ac:dyDescent="0.25">
      <c r="B111" s="2372" t="s">
        <v>1614</v>
      </c>
      <c r="C111" s="2364" t="s">
        <v>2611</v>
      </c>
      <c r="D111" s="2364" t="s">
        <v>1765</v>
      </c>
      <c r="E111" s="2373">
        <f>(conc_Ca2p_I^(3/5)*conc_PO43m_I^(2/5)-K_sp_ACP^(1/5))/K_sp_ACP^(1/5)</f>
        <v>-0.58898459210680687</v>
      </c>
      <c r="F111" s="2361" t="s">
        <v>1976</v>
      </c>
      <c r="G111" s="2364">
        <v>2</v>
      </c>
      <c r="H111" s="2362" t="s">
        <v>1627</v>
      </c>
      <c r="I111" s="2374"/>
    </row>
    <row r="112" spans="1:10" ht="18" customHeight="1" outlineLevel="1" x14ac:dyDescent="0.25">
      <c r="B112" s="2372" t="s">
        <v>1614</v>
      </c>
      <c r="C112" s="2364" t="s">
        <v>2611</v>
      </c>
      <c r="D112" s="2364" t="s">
        <v>1765</v>
      </c>
      <c r="E112" s="2373">
        <f>(conc_Ca2p_I^(3/5)*conc_PO43m_I^(2/5)-_xlfn.SINGLE(K_sp_ACP)^(1/5))/_xlfn.SINGLE(K_sp_ACP)^(1/5)</f>
        <v>-0.58898459210680687</v>
      </c>
      <c r="F112" s="2361" t="s">
        <v>1976</v>
      </c>
      <c r="G112" s="2364">
        <v>2</v>
      </c>
      <c r="H112" s="2459" t="s">
        <v>5066</v>
      </c>
      <c r="I112" s="2374"/>
    </row>
    <row r="113" spans="1:9" ht="18" customHeight="1" outlineLevel="1" x14ac:dyDescent="0.25">
      <c r="B113" s="2369" t="s">
        <v>1614</v>
      </c>
      <c r="C113" s="2370" t="s">
        <v>2611</v>
      </c>
      <c r="D113" s="2370">
        <v>0</v>
      </c>
      <c r="E113" s="2370">
        <f>0</f>
        <v>0</v>
      </c>
      <c r="F113" s="2361" t="s">
        <v>1976</v>
      </c>
      <c r="G113" s="2370">
        <v>0</v>
      </c>
      <c r="H113" s="2459" t="s">
        <v>5067</v>
      </c>
      <c r="I113" s="2371"/>
    </row>
    <row r="114" spans="1:9" ht="18" customHeight="1" outlineLevel="1" x14ac:dyDescent="0.25">
      <c r="B114" s="2369" t="s">
        <v>1369</v>
      </c>
      <c r="C114" s="2370" t="s">
        <v>2501</v>
      </c>
      <c r="D114" s="2370" t="s">
        <v>2612</v>
      </c>
      <c r="E114" s="2370">
        <f>IF(P_recipDrivingForceACP&gt;0,q_ACP_PREC,-q_ACP_DISS*M_satXACP_KACP_DISS)</f>
        <v>-4.9999999999999999E-48</v>
      </c>
      <c r="F114" s="2370" t="s">
        <v>1315</v>
      </c>
      <c r="G114" s="2370">
        <v>0</v>
      </c>
      <c r="H114" s="2361"/>
      <c r="I114" s="2371"/>
    </row>
    <row r="115" spans="1:9" ht="18" customHeight="1" outlineLevel="1" x14ac:dyDescent="0.25">
      <c r="B115" s="2372" t="s">
        <v>4232</v>
      </c>
      <c r="C115" s="2364" t="s">
        <v>4233</v>
      </c>
      <c r="D115" s="2364" t="s">
        <v>4234</v>
      </c>
      <c r="E115" s="2373">
        <f>(conc_Ca2p_I^(1/2)*conc_HPO42m_I^(1/2)-K_sp_BSH^(1/2))/K_sp_BSH^(1/2)</f>
        <v>-0.70194703022622273</v>
      </c>
      <c r="F115" s="2361" t="s">
        <v>1976</v>
      </c>
      <c r="G115" s="2364">
        <v>2</v>
      </c>
      <c r="H115" s="2362" t="s">
        <v>1627</v>
      </c>
      <c r="I115" s="2374"/>
    </row>
    <row r="116" spans="1:9" ht="18" customHeight="1" outlineLevel="1" x14ac:dyDescent="0.25">
      <c r="B116" s="2372" t="s">
        <v>4232</v>
      </c>
      <c r="C116" s="2364" t="s">
        <v>4233</v>
      </c>
      <c r="D116" s="2364" t="s">
        <v>4234</v>
      </c>
      <c r="E116" s="2373">
        <f>(conc_Ca2p_I^(1/2)*conc_HPO42m_I^(1/2)-_xlfn.SINGLE(K_sp_BSH)^(1/2))/_xlfn.SINGLE(K_sp_BSH)^(1/2)</f>
        <v>-0.70194703022622273</v>
      </c>
      <c r="F116" s="2361" t="s">
        <v>1976</v>
      </c>
      <c r="G116" s="2364">
        <v>2</v>
      </c>
      <c r="H116" s="2459" t="s">
        <v>5066</v>
      </c>
      <c r="I116" s="2374"/>
    </row>
    <row r="117" spans="1:9" ht="18" customHeight="1" outlineLevel="1" x14ac:dyDescent="0.25">
      <c r="B117" s="2369" t="s">
        <v>4232</v>
      </c>
      <c r="C117" s="2370" t="s">
        <v>4233</v>
      </c>
      <c r="D117" s="2370">
        <v>0</v>
      </c>
      <c r="E117" s="2370">
        <f>0</f>
        <v>0</v>
      </c>
      <c r="F117" s="2361" t="s">
        <v>1976</v>
      </c>
      <c r="G117" s="2370">
        <v>0</v>
      </c>
      <c r="H117" s="2459" t="s">
        <v>5067</v>
      </c>
      <c r="I117" s="2371"/>
    </row>
    <row r="118" spans="1:9" ht="18" customHeight="1" outlineLevel="1" x14ac:dyDescent="0.25">
      <c r="B118" s="2369" t="s">
        <v>4235</v>
      </c>
      <c r="C118" s="2370" t="s">
        <v>4209</v>
      </c>
      <c r="D118" s="2370" t="s">
        <v>4236</v>
      </c>
      <c r="E118" s="2370">
        <f>IF(P_recipDrivingForceBSH&gt;0,q_BSH_PREC,-q_BSH_DISS*M_satXBSH_KBSH_DISS)</f>
        <v>-4.9999999999999999E-46</v>
      </c>
      <c r="F118" s="2370" t="s">
        <v>4237</v>
      </c>
      <c r="G118" s="2370">
        <v>0</v>
      </c>
      <c r="H118" s="2361"/>
      <c r="I118" s="2371"/>
    </row>
    <row r="119" spans="1:9" ht="18" customHeight="1" outlineLevel="1" x14ac:dyDescent="0.25">
      <c r="B119" s="2372" t="s">
        <v>1615</v>
      </c>
      <c r="C119" s="2364" t="s">
        <v>2613</v>
      </c>
      <c r="D119" s="2364" t="s">
        <v>1766</v>
      </c>
      <c r="E119" s="2373">
        <f>(conc_Ca2p_I^(1/2)*conc_CO32m_I^(1/2)-K_sp_CaCO3^(1/2))/K_sp_CaCO3^(1/2)</f>
        <v>-0.82475976089429781</v>
      </c>
      <c r="F119" s="2361" t="s">
        <v>1976</v>
      </c>
      <c r="G119" s="2364">
        <v>2</v>
      </c>
      <c r="H119" s="2362" t="s">
        <v>1627</v>
      </c>
      <c r="I119" s="2374"/>
    </row>
    <row r="120" spans="1:9" ht="18" customHeight="1" outlineLevel="1" x14ac:dyDescent="0.25">
      <c r="B120" s="2372" t="s">
        <v>1615</v>
      </c>
      <c r="C120" s="2364" t="s">
        <v>2613</v>
      </c>
      <c r="D120" s="2364" t="s">
        <v>1766</v>
      </c>
      <c r="E120" s="2373">
        <f>(conc_Ca2p_I^(1/2)*conc_CO32m_I^(1/2)-_xlfn.SINGLE(K_sp_CaCO3)^(1/2))/_xlfn.SINGLE(K_sp_CaCO3)^(1/2)</f>
        <v>-0.82475976089429781</v>
      </c>
      <c r="F120" s="2361" t="s">
        <v>1976</v>
      </c>
      <c r="G120" s="2364">
        <v>2</v>
      </c>
      <c r="H120" s="2459" t="s">
        <v>5066</v>
      </c>
      <c r="I120" s="2374"/>
    </row>
    <row r="121" spans="1:9" ht="18" customHeight="1" outlineLevel="1" x14ac:dyDescent="0.25">
      <c r="B121" s="2369" t="s">
        <v>1615</v>
      </c>
      <c r="C121" s="2370" t="s">
        <v>2613</v>
      </c>
      <c r="D121" s="2370">
        <v>0</v>
      </c>
      <c r="E121" s="2370">
        <f>0</f>
        <v>0</v>
      </c>
      <c r="F121" s="2361" t="s">
        <v>1976</v>
      </c>
      <c r="G121" s="2370">
        <v>0</v>
      </c>
      <c r="H121" s="2459" t="s">
        <v>5067</v>
      </c>
      <c r="I121" s="2371"/>
    </row>
    <row r="122" spans="1:9" ht="18" customHeight="1" outlineLevel="1" x14ac:dyDescent="0.25">
      <c r="B122" s="2369" t="s">
        <v>1370</v>
      </c>
      <c r="C122" s="2370" t="s">
        <v>2497</v>
      </c>
      <c r="D122" s="2370" t="s">
        <v>2614</v>
      </c>
      <c r="E122" s="2370">
        <f>IF(P_recipDrivingForceCaCO3&gt;0,q_CaCO3_PREC,-q_CaCO3_DISS*M_satXCaCO3_KCaCO3_DISS)</f>
        <v>-9.9999999999999994E-50</v>
      </c>
      <c r="F122" s="2370" t="s">
        <v>1315</v>
      </c>
      <c r="G122" s="2370">
        <v>0</v>
      </c>
      <c r="H122" s="2361"/>
      <c r="I122" s="2371"/>
    </row>
    <row r="123" spans="1:9" ht="18" customHeight="1" outlineLevel="1" x14ac:dyDescent="0.25">
      <c r="B123" s="2372" t="s">
        <v>1767</v>
      </c>
      <c r="C123" s="2364" t="s">
        <v>2615</v>
      </c>
      <c r="D123" s="2364" t="s">
        <v>1768</v>
      </c>
      <c r="E123" s="2375">
        <f>((conc_Fe2p_I^(3/5)*conc_PO43m_I^(2/5)-K_sp_Vivi^(1/5))/K_sp_Vivi^(1/5))</f>
        <v>-1</v>
      </c>
      <c r="F123" s="2361" t="s">
        <v>1976</v>
      </c>
      <c r="G123" s="2364">
        <v>2</v>
      </c>
      <c r="H123" s="2362" t="s">
        <v>1627</v>
      </c>
      <c r="I123" s="2374"/>
    </row>
    <row r="124" spans="1:9" ht="18" customHeight="1" outlineLevel="1" x14ac:dyDescent="0.25">
      <c r="B124" s="2372" t="s">
        <v>1767</v>
      </c>
      <c r="C124" s="2364" t="s">
        <v>2615</v>
      </c>
      <c r="D124" s="2364" t="s">
        <v>1768</v>
      </c>
      <c r="E124" s="2375">
        <f>((conc_Fe2p_I^(3/5)*conc_PO43m_I^(2/5)-_xlfn.SINGLE(K_sp_Vivi)^(1/5))/_xlfn.SINGLE(K_sp_Vivi)^(1/5))</f>
        <v>-1</v>
      </c>
      <c r="F124" s="2361" t="s">
        <v>1976</v>
      </c>
      <c r="G124" s="2364">
        <v>2</v>
      </c>
      <c r="H124" s="2459" t="s">
        <v>5066</v>
      </c>
      <c r="I124" s="2374"/>
    </row>
    <row r="125" spans="1:9" ht="18" customHeight="1" outlineLevel="1" x14ac:dyDescent="0.25">
      <c r="B125" s="2369" t="s">
        <v>1767</v>
      </c>
      <c r="C125" s="2370" t="s">
        <v>2615</v>
      </c>
      <c r="D125" s="2370">
        <v>0</v>
      </c>
      <c r="E125" s="2361">
        <f>0</f>
        <v>0</v>
      </c>
      <c r="F125" s="2361" t="s">
        <v>1976</v>
      </c>
      <c r="G125" s="2370">
        <v>0</v>
      </c>
      <c r="H125" s="2459" t="s">
        <v>5067</v>
      </c>
      <c r="I125" s="2371"/>
    </row>
    <row r="126" spans="1:9" ht="18" customHeight="1" outlineLevel="1" thickBot="1" x14ac:dyDescent="0.3">
      <c r="B126" s="2376" t="s">
        <v>1371</v>
      </c>
      <c r="C126" s="2377" t="s">
        <v>2503</v>
      </c>
      <c r="D126" s="2377" t="s">
        <v>2616</v>
      </c>
      <c r="E126" s="2377">
        <f>IF(P_recipDrivingForceVivi&gt;0,q_Vivi_PREC,-q_Vivi_DISS*M_satXVivi_KVivi_DISS)</f>
        <v>-1E-50</v>
      </c>
      <c r="F126" s="2377" t="s">
        <v>1315</v>
      </c>
      <c r="G126" s="2377">
        <v>0</v>
      </c>
      <c r="H126" s="2363"/>
      <c r="I126" s="2378"/>
    </row>
    <row r="127" spans="1:9" s="2310" customFormat="1" ht="18" customHeight="1" thickBot="1" x14ac:dyDescent="0.3">
      <c r="A127" s="4"/>
      <c r="B127" s="4"/>
      <c r="C127" s="4"/>
      <c r="D127" s="4"/>
      <c r="E127" s="1798"/>
      <c r="F127" s="4"/>
      <c r="G127" s="4"/>
      <c r="H127" s="4"/>
      <c r="I127" s="4"/>
    </row>
    <row r="128" spans="1:9" s="2310" customFormat="1" ht="18" customHeight="1" thickBot="1" x14ac:dyDescent="0.3">
      <c r="A128" s="4"/>
      <c r="B128" s="131"/>
      <c r="C128" s="1258" t="s">
        <v>331</v>
      </c>
      <c r="D128" s="14" t="s">
        <v>303</v>
      </c>
      <c r="E128" s="14"/>
      <c r="F128" s="131"/>
      <c r="G128" s="131"/>
      <c r="H128" s="131"/>
      <c r="I128" s="131"/>
    </row>
    <row r="129" spans="1:10" s="2310" customFormat="1" ht="18" customHeight="1" thickBot="1" x14ac:dyDescent="0.3">
      <c r="A129" s="4"/>
      <c r="B129" s="1259" t="s">
        <v>0</v>
      </c>
      <c r="C129" s="1868" t="s">
        <v>1</v>
      </c>
      <c r="D129" s="1260" t="s">
        <v>5</v>
      </c>
      <c r="E129" s="1260" t="s">
        <v>152</v>
      </c>
      <c r="F129" s="1260" t="s">
        <v>2</v>
      </c>
      <c r="G129" s="1260" t="s">
        <v>302</v>
      </c>
      <c r="H129" s="1260" t="s">
        <v>116</v>
      </c>
      <c r="I129" s="1261" t="s">
        <v>117</v>
      </c>
    </row>
    <row r="130" spans="1:10" ht="18" outlineLevel="1" x14ac:dyDescent="0.25">
      <c r="B130" s="278" t="s">
        <v>332</v>
      </c>
      <c r="C130" s="604" t="s">
        <v>2912</v>
      </c>
      <c r="D130" s="749" t="s">
        <v>5379</v>
      </c>
      <c r="E130" s="488">
        <f>C_OUR+N_OUR-(v_84_SO2*r_84)</f>
        <v>1391.1299892341362</v>
      </c>
      <c r="F130" s="495" t="s">
        <v>355</v>
      </c>
      <c r="G130" s="495">
        <v>1</v>
      </c>
      <c r="H130" s="2649" t="s">
        <v>2090</v>
      </c>
      <c r="I130" s="418"/>
    </row>
    <row r="131" spans="1:10" ht="36" outlineLevel="1" x14ac:dyDescent="0.25">
      <c r="B131" s="135" t="s">
        <v>2086</v>
      </c>
      <c r="C131" s="510" t="s">
        <v>2619</v>
      </c>
      <c r="D131" s="554" t="s">
        <v>4383</v>
      </c>
      <c r="E131" s="494">
        <f>-(v_1_SO2*r_1+v_4_SO2*r_4+v_9_SO2*r_9+v_14_SO2*r_14+v_21_SO2*r_21+v_24_SO2*r_24+v_27_SO2*r_27+v_32_SO2*r_32)</f>
        <v>1034.469507331622</v>
      </c>
      <c r="F131" s="493" t="s">
        <v>355</v>
      </c>
      <c r="G131" s="83">
        <v>1</v>
      </c>
      <c r="H131" s="2156" t="s">
        <v>2090</v>
      </c>
      <c r="I131" s="1326"/>
    </row>
    <row r="132" spans="1:10" ht="18" outlineLevel="1" x14ac:dyDescent="0.25">
      <c r="B132" s="135" t="s">
        <v>2087</v>
      </c>
      <c r="C132" s="983" t="s">
        <v>2620</v>
      </c>
      <c r="D132" s="554" t="s">
        <v>4730</v>
      </c>
      <c r="E132" s="494">
        <f>-(v_42_SO2*r_42+v_45_SO2*r_45)</f>
        <v>356.66048190251411</v>
      </c>
      <c r="F132" s="702" t="s">
        <v>355</v>
      </c>
      <c r="G132" s="83">
        <v>1</v>
      </c>
      <c r="H132" s="2156" t="s">
        <v>2090</v>
      </c>
      <c r="I132" s="1327"/>
    </row>
    <row r="133" spans="1:10" ht="36" outlineLevel="1" x14ac:dyDescent="0.25">
      <c r="B133" s="136" t="s">
        <v>2617</v>
      </c>
      <c r="C133" s="510" t="s">
        <v>334</v>
      </c>
      <c r="D133" s="508" t="s">
        <v>5380</v>
      </c>
      <c r="E133" s="494">
        <f>-(v_3_SNO3*r_3+v_6_SNO3*r_6+v_18_SNO3*r_18+v_23_SNO3*r_23+v_26_SNO3*r_26+v_29_SNO3*r_29+v_34_SNO3*r_34+v_75_SNO3*r_75)</f>
        <v>3.2765438309864581</v>
      </c>
      <c r="F133" s="83" t="s">
        <v>1769</v>
      </c>
      <c r="G133" s="83">
        <v>1</v>
      </c>
      <c r="H133" s="2156" t="s">
        <v>2090</v>
      </c>
      <c r="I133" s="1326"/>
    </row>
    <row r="134" spans="1:10" ht="36" outlineLevel="1" x14ac:dyDescent="0.25">
      <c r="B134" s="136" t="s">
        <v>2618</v>
      </c>
      <c r="C134" s="510" t="s">
        <v>2255</v>
      </c>
      <c r="D134" s="508" t="s">
        <v>5381</v>
      </c>
      <c r="E134" s="416">
        <f>-(v_2_SNO2*r_2+v_5_SNO2*r_5+v_17_SNO2*r_17+v_22_SNO2*r_22+v_25_SNO2*r_25+v_28_SNO2*r_28+v_33_SNO2*r_33+v_45_SNO2*r_45+v_48_SNO2*r_48+v_74_SNO2*r_74)</f>
        <v>60.380979086817852</v>
      </c>
      <c r="F134" s="83" t="s">
        <v>1769</v>
      </c>
      <c r="G134" s="83">
        <v>1</v>
      </c>
      <c r="H134" s="2156" t="s">
        <v>2090</v>
      </c>
      <c r="I134" s="1326"/>
    </row>
    <row r="135" spans="1:10" ht="36" outlineLevel="1" x14ac:dyDescent="0.25">
      <c r="B135" s="136" t="s">
        <v>335</v>
      </c>
      <c r="C135" s="510" t="s">
        <v>336</v>
      </c>
      <c r="D135" s="508" t="s">
        <v>5382</v>
      </c>
      <c r="E135" s="416">
        <f>i_N_BIO*(r_1+r_2+r_3+r_4+r_5+r_6+r_7+r_8+r_9+r_17+r_18+r_21+r_22+r_23+r_27+r_28+r_29+r_37+r_38+r_45+r_51+r_54)+i_N_AHO*r_14-(v_42_SNHx*r_42+v_48_SNHx*r_48+v_95_SNHx*r_95)</f>
        <v>227.53752271840193</v>
      </c>
      <c r="F135" s="83" t="s">
        <v>1769</v>
      </c>
      <c r="G135" s="83">
        <v>1</v>
      </c>
      <c r="H135" s="2156" t="s">
        <v>2090</v>
      </c>
      <c r="I135" s="1326"/>
    </row>
    <row r="136" spans="1:10" ht="18" outlineLevel="1" x14ac:dyDescent="0.25">
      <c r="B136" s="2132" t="s">
        <v>4760</v>
      </c>
      <c r="C136" s="2153" t="s">
        <v>4761</v>
      </c>
      <c r="D136" s="2154" t="s">
        <v>4762</v>
      </c>
      <c r="E136" s="2155">
        <f>-(v_48_SNHx*r_48+v_48_SNO2*r_48)</f>
        <v>6.7069527708493656E-3</v>
      </c>
      <c r="F136" s="2156" t="s">
        <v>1769</v>
      </c>
      <c r="G136" s="2156">
        <v>1</v>
      </c>
      <c r="H136" s="2156" t="s">
        <v>2090</v>
      </c>
      <c r="I136" s="2157"/>
    </row>
    <row r="137" spans="1:10" ht="18" outlineLevel="1" x14ac:dyDescent="0.25">
      <c r="B137" s="136" t="s">
        <v>1875</v>
      </c>
      <c r="C137" s="510" t="s">
        <v>1876</v>
      </c>
      <c r="D137" s="508" t="s">
        <v>4386</v>
      </c>
      <c r="E137" s="1216">
        <f>P_URBIO+P_URCHEM</f>
        <v>356.02810713783464</v>
      </c>
      <c r="F137" s="83" t="s">
        <v>1877</v>
      </c>
      <c r="G137" s="83">
        <v>1</v>
      </c>
      <c r="H137" s="2156" t="s">
        <v>2090</v>
      </c>
      <c r="I137" s="1328"/>
    </row>
    <row r="138" spans="1:10" ht="36" outlineLevel="1" x14ac:dyDescent="0.25">
      <c r="B138" s="136" t="s">
        <v>1878</v>
      </c>
      <c r="C138" s="1879" t="s">
        <v>2913</v>
      </c>
      <c r="D138" s="508" t="s">
        <v>4731</v>
      </c>
      <c r="E138" s="1216">
        <f>i_P_BIO*(r_1+r_2+r_3+r_4+r_5+r_6+r_7+r_8+r_9+r_17+r_18+r_21+r_22+r_23+r_37+r_38+r_42+r_45+r_48+r_51+r_54)+i_P_AHO*r_14+P_URBIOP</f>
        <v>356.02810713783464</v>
      </c>
      <c r="F138" s="83" t="s">
        <v>1877</v>
      </c>
      <c r="G138" s="83">
        <v>1</v>
      </c>
      <c r="H138" s="2156" t="s">
        <v>2090</v>
      </c>
      <c r="I138" s="1326"/>
    </row>
    <row r="139" spans="1:10" ht="18" outlineLevel="1" x14ac:dyDescent="0.25">
      <c r="B139" s="555" t="s">
        <v>4388</v>
      </c>
      <c r="C139" s="1141" t="s">
        <v>4387</v>
      </c>
      <c r="D139" s="1425" t="s">
        <v>4389</v>
      </c>
      <c r="E139" s="1426">
        <f>-(v_24_SPO4*r_24+v_25_SPO4*r_25+v_26_SPO4*r_26)</f>
        <v>309.7956737158944</v>
      </c>
      <c r="F139" s="1143" t="s">
        <v>1877</v>
      </c>
      <c r="G139" s="1143">
        <v>1</v>
      </c>
      <c r="H139" s="2156" t="s">
        <v>2090</v>
      </c>
      <c r="I139" s="1326"/>
    </row>
    <row r="140" spans="1:10" ht="36" outlineLevel="1" x14ac:dyDescent="0.25">
      <c r="B140" s="136" t="s">
        <v>1879</v>
      </c>
      <c r="C140" s="1879" t="s">
        <v>2914</v>
      </c>
      <c r="D140" s="508" t="s">
        <v>5383</v>
      </c>
      <c r="E140" s="1216">
        <f>-(v_78_SPO4*r_78+v_79_SPO4*r_79+v_87_SPO4*r_87+v_88_SPO4*r_88+v_93_SPO4*r_93+v_94_SPO4*r_94+v_95_SPO4*r_95+v_96_SPO4*r_96)</f>
        <v>-4.3032279172019584E-47</v>
      </c>
      <c r="F140" s="83" t="s">
        <v>1877</v>
      </c>
      <c r="G140" s="83">
        <v>1</v>
      </c>
      <c r="H140" s="2156" t="s">
        <v>2090</v>
      </c>
      <c r="I140" s="1326"/>
    </row>
    <row r="141" spans="1:10" ht="54" outlineLevel="1" x14ac:dyDescent="0.25">
      <c r="B141" s="136" t="s">
        <v>1880</v>
      </c>
      <c r="C141" s="1879" t="s">
        <v>1881</v>
      </c>
      <c r="D141" s="508" t="s">
        <v>5384</v>
      </c>
      <c r="E141" s="1216">
        <f>v_30_SPO4*r_30+v_36_SPO4*r_36+v_39_SPO4*r_39+v_40_SPO4*r_40+v_69_SPO4*r_69+v_74_SPO4*r_74+v_75_SPO4*r_75+v_80_SPO4*r_80+v_81_SPO4*r_81+v_82_SPO4*r_82+v_83_SPO4*r_83+v_89_SPO4*r_89+v_90_SPO4*r_90+v_91_SPO4*r_91</f>
        <v>8.9267489537054114</v>
      </c>
      <c r="F141" s="83" t="s">
        <v>1877</v>
      </c>
      <c r="G141" s="83">
        <v>1</v>
      </c>
      <c r="H141" s="2156" t="s">
        <v>2090</v>
      </c>
      <c r="I141" s="1326"/>
    </row>
    <row r="142" spans="1:10" ht="72" outlineLevel="1" x14ac:dyDescent="0.25">
      <c r="A142" s="4"/>
      <c r="B142" s="2132" t="s">
        <v>5414</v>
      </c>
      <c r="C142" s="2153" t="s">
        <v>5415</v>
      </c>
      <c r="D142" s="2154" t="s">
        <v>5420</v>
      </c>
      <c r="E142" s="2647">
        <f>-(v_1_SVFA*r_1+v_2_SVFA*r_2+v_3_SVFA*r_3+v_13_SVFA*r_13+v_30_SVFA*30+v_31_SVFA*r_31+v_51_SVFA*r_51+v_4_SB_poly*r_4+v_5_SB_poly*r_5+v_6_SB_poly*r_6+v_7_SB_poly*r_7+v_8_SB_poly*r_8+v_37_SB_poly*r_37+v_38_SB_poly*r_38+v_12_SB_mono*r_12+v_9_SMEOL*r_9+v_17_SMEOL*r_17+v_18_SMEOL*r_18)</f>
        <v>302.82738246730315</v>
      </c>
      <c r="F142" s="2156" t="s">
        <v>5416</v>
      </c>
      <c r="G142" s="2156">
        <v>1</v>
      </c>
      <c r="H142" s="2156"/>
      <c r="I142" s="2648"/>
      <c r="J142" s="2310"/>
    </row>
    <row r="143" spans="1:10" ht="18.75" outlineLevel="1" thickBot="1" x14ac:dyDescent="0.3">
      <c r="B143" s="1190" t="s">
        <v>5417</v>
      </c>
      <c r="C143" s="1253" t="s">
        <v>5418</v>
      </c>
      <c r="D143" s="1324" t="s">
        <v>5419</v>
      </c>
      <c r="E143" s="1325">
        <f>v_7_SH2*r_7+v_8_SH2*r_8+v_37_SH2*r_37+v_38_SH2*r_38+v_51_SCH4*r_51+v_54_SCH4*r_54</f>
        <v>0.15071425918208092</v>
      </c>
      <c r="F143" s="1191" t="s">
        <v>5416</v>
      </c>
      <c r="G143" s="1191">
        <v>1</v>
      </c>
      <c r="H143" s="1191"/>
      <c r="I143" s="1329"/>
    </row>
    <row r="144" spans="1:10" s="2310" customFormat="1" ht="18" customHeight="1" thickBot="1" x14ac:dyDescent="0.3">
      <c r="A144" s="4"/>
      <c r="B144" s="4"/>
      <c r="C144" s="4"/>
      <c r="D144" s="4"/>
      <c r="E144" s="1798"/>
      <c r="F144" s="4"/>
      <c r="G144" s="4"/>
      <c r="H144" s="4"/>
      <c r="I144" s="4"/>
    </row>
    <row r="145" spans="1:10" s="2310" customFormat="1" ht="18" customHeight="1" thickBot="1" x14ac:dyDescent="0.3">
      <c r="A145" s="4"/>
      <c r="B145" s="131"/>
      <c r="C145" s="1258" t="s">
        <v>2120</v>
      </c>
      <c r="D145" s="14" t="s">
        <v>303</v>
      </c>
      <c r="E145" s="14"/>
      <c r="F145" s="131"/>
      <c r="G145" s="131"/>
      <c r="H145" s="131"/>
      <c r="I145" s="131"/>
    </row>
    <row r="146" spans="1:10" s="2310" customFormat="1" ht="18" customHeight="1" thickBot="1" x14ac:dyDescent="0.3">
      <c r="A146" s="4"/>
      <c r="B146" s="1259" t="s">
        <v>0</v>
      </c>
      <c r="C146" s="1868" t="s">
        <v>1</v>
      </c>
      <c r="D146" s="1260" t="s">
        <v>5</v>
      </c>
      <c r="E146" s="1260" t="s">
        <v>152</v>
      </c>
      <c r="F146" s="1260" t="s">
        <v>2</v>
      </c>
      <c r="G146" s="1260" t="s">
        <v>302</v>
      </c>
      <c r="H146" s="1260" t="s">
        <v>116</v>
      </c>
      <c r="I146" s="1261" t="s">
        <v>117</v>
      </c>
    </row>
    <row r="147" spans="1:10" s="102" customFormat="1" ht="18" outlineLevel="1" x14ac:dyDescent="0.25">
      <c r="A147" s="142"/>
      <c r="B147" s="884" t="s">
        <v>1975</v>
      </c>
      <c r="C147" s="604" t="s">
        <v>2621</v>
      </c>
      <c r="D147" s="1892" t="s">
        <v>2089</v>
      </c>
      <c r="E147" s="622">
        <f>m_tox_ana_max</f>
        <v>10</v>
      </c>
      <c r="F147" s="749" t="s">
        <v>1976</v>
      </c>
      <c r="G147" s="749">
        <v>1</v>
      </c>
      <c r="H147" s="622" t="s">
        <v>1210</v>
      </c>
      <c r="I147" s="1804"/>
      <c r="J147" s="141"/>
    </row>
    <row r="148" spans="1:10" s="102" customFormat="1" ht="18.75" outlineLevel="1" thickBot="1" x14ac:dyDescent="0.3">
      <c r="A148" s="142"/>
      <c r="B148" s="638" t="s">
        <v>1975</v>
      </c>
      <c r="C148" s="112" t="s">
        <v>2622</v>
      </c>
      <c r="D148" s="112">
        <v>0</v>
      </c>
      <c r="E148" s="112">
        <f>0</f>
        <v>0</v>
      </c>
      <c r="F148" s="750" t="s">
        <v>1976</v>
      </c>
      <c r="G148" s="750">
        <v>1</v>
      </c>
      <c r="H148" s="112" t="s">
        <v>2090</v>
      </c>
      <c r="I148" s="1696"/>
      <c r="J148" s="141"/>
    </row>
    <row r="149" spans="1:10" s="2310" customFormat="1" ht="18" customHeight="1" thickBot="1" x14ac:dyDescent="0.3">
      <c r="A149" s="4"/>
      <c r="B149" s="4"/>
      <c r="C149" s="4"/>
      <c r="D149" s="4"/>
      <c r="E149" s="1798"/>
      <c r="F149" s="4"/>
      <c r="G149" s="4"/>
      <c r="H149" s="4"/>
      <c r="I149" s="4"/>
    </row>
    <row r="150" spans="1:10" s="2310" customFormat="1" ht="18" customHeight="1" thickBot="1" x14ac:dyDescent="0.3">
      <c r="A150" s="4"/>
      <c r="B150" s="131"/>
      <c r="C150" s="1258" t="s">
        <v>2889</v>
      </c>
      <c r="D150" s="14" t="s">
        <v>303</v>
      </c>
      <c r="E150" s="14"/>
      <c r="F150" s="131"/>
      <c r="G150" s="131"/>
      <c r="H150" s="131"/>
      <c r="I150" s="131"/>
    </row>
    <row r="151" spans="1:10" s="2310" customFormat="1" ht="18" customHeight="1" thickBot="1" x14ac:dyDescent="0.3">
      <c r="A151" s="4"/>
      <c r="B151" s="1259" t="s">
        <v>0</v>
      </c>
      <c r="C151" s="1868" t="s">
        <v>1</v>
      </c>
      <c r="D151" s="1260" t="s">
        <v>5</v>
      </c>
      <c r="E151" s="1260" t="s">
        <v>152</v>
      </c>
      <c r="F151" s="1260" t="s">
        <v>2</v>
      </c>
      <c r="G151" s="1260" t="s">
        <v>302</v>
      </c>
      <c r="H151" s="1260" t="s">
        <v>116</v>
      </c>
      <c r="I151" s="1261" t="s">
        <v>117</v>
      </c>
    </row>
    <row r="152" spans="1:10" s="1817" customFormat="1" ht="18" outlineLevel="1" x14ac:dyDescent="0.25">
      <c r="B152" s="1550" t="s">
        <v>2256</v>
      </c>
      <c r="C152" s="1893" t="s">
        <v>2623</v>
      </c>
      <c r="D152" s="1893" t="s">
        <v>2257</v>
      </c>
      <c r="E152" s="1818">
        <f>K_NHx_AOB_AS</f>
        <v>0.7</v>
      </c>
      <c r="F152" s="545" t="s">
        <v>338</v>
      </c>
      <c r="G152" s="545">
        <v>2</v>
      </c>
      <c r="H152" s="541" t="s">
        <v>1249</v>
      </c>
      <c r="I152" s="1819"/>
    </row>
    <row r="153" spans="1:10" s="1817" customFormat="1" ht="18" outlineLevel="1" x14ac:dyDescent="0.25">
      <c r="B153" s="173" t="s">
        <v>2256</v>
      </c>
      <c r="C153" s="1894" t="s">
        <v>2623</v>
      </c>
      <c r="D153" s="1895" t="s">
        <v>3659</v>
      </c>
      <c r="E153" s="753">
        <f>K_NHx_AOB_AS*f_KS_biofilm</f>
        <v>0.27999999999999997</v>
      </c>
      <c r="F153" s="485" t="s">
        <v>338</v>
      </c>
      <c r="G153" s="485">
        <v>2</v>
      </c>
      <c r="H153" s="411" t="s">
        <v>1176</v>
      </c>
      <c r="I153" s="1820" t="s">
        <v>3706</v>
      </c>
    </row>
    <row r="154" spans="1:10" s="1817" customFormat="1" ht="18.75" customHeight="1" outlineLevel="1" x14ac:dyDescent="0.25">
      <c r="B154" s="173" t="s">
        <v>2258</v>
      </c>
      <c r="C154" s="1894" t="s">
        <v>2624</v>
      </c>
      <c r="D154" s="1895" t="s">
        <v>2259</v>
      </c>
      <c r="E154" s="753">
        <f>K_CO2_AOB_pH_AS</f>
        <v>1E-3</v>
      </c>
      <c r="F154" s="751" t="s">
        <v>1932</v>
      </c>
      <c r="G154" s="485">
        <v>3</v>
      </c>
      <c r="H154" s="411" t="s">
        <v>5068</v>
      </c>
      <c r="I154" s="1820"/>
    </row>
    <row r="155" spans="1:10" s="1817" customFormat="1" ht="20.25" customHeight="1" outlineLevel="1" x14ac:dyDescent="0.25">
      <c r="B155" s="173" t="s">
        <v>2258</v>
      </c>
      <c r="C155" s="1894" t="s">
        <v>2624</v>
      </c>
      <c r="D155" s="1895" t="s">
        <v>2260</v>
      </c>
      <c r="E155" s="753">
        <f>K_CO2_AOB_pH_sidestream</f>
        <v>4.0000000000000001E-3</v>
      </c>
      <c r="F155" s="751" t="s">
        <v>1932</v>
      </c>
      <c r="G155" s="485">
        <v>3</v>
      </c>
      <c r="H155" s="411" t="s">
        <v>1616</v>
      </c>
      <c r="I155" s="1820"/>
    </row>
    <row r="156" spans="1:10" s="1817" customFormat="1" ht="18.75" outlineLevel="1" x14ac:dyDescent="0.25">
      <c r="B156" s="173" t="s">
        <v>2261</v>
      </c>
      <c r="C156" s="1894" t="s">
        <v>2625</v>
      </c>
      <c r="D156" s="1895" t="s">
        <v>2262</v>
      </c>
      <c r="E156" s="753">
        <f>K_O2_AOB_AS</f>
        <v>0.5</v>
      </c>
      <c r="F156" s="751" t="s">
        <v>1180</v>
      </c>
      <c r="G156" s="485">
        <v>2</v>
      </c>
      <c r="H156" s="411" t="s">
        <v>1619</v>
      </c>
      <c r="I156" s="1820"/>
    </row>
    <row r="157" spans="1:10" s="1817" customFormat="1" ht="18.75" outlineLevel="1" x14ac:dyDescent="0.25">
      <c r="B157" s="173" t="s">
        <v>2261</v>
      </c>
      <c r="C157" s="1894" t="s">
        <v>2625</v>
      </c>
      <c r="D157" s="1895" t="s">
        <v>2263</v>
      </c>
      <c r="E157" s="753">
        <f>K_O2_AOB_sidestream</f>
        <v>0.5</v>
      </c>
      <c r="F157" s="751" t="s">
        <v>1180</v>
      </c>
      <c r="G157" s="485">
        <v>2</v>
      </c>
      <c r="H157" s="411" t="s">
        <v>1616</v>
      </c>
      <c r="I157" s="1820"/>
    </row>
    <row r="158" spans="1:10" s="1817" customFormat="1" ht="18.75" outlineLevel="1" x14ac:dyDescent="0.25">
      <c r="B158" s="173" t="s">
        <v>2261</v>
      </c>
      <c r="C158" s="1894" t="s">
        <v>2625</v>
      </c>
      <c r="D158" s="1895" t="s">
        <v>3660</v>
      </c>
      <c r="E158" s="753">
        <f>K_O2_AOB_AS*f_KS_biofilm</f>
        <v>0.2</v>
      </c>
      <c r="F158" s="751" t="s">
        <v>1180</v>
      </c>
      <c r="G158" s="485">
        <v>3</v>
      </c>
      <c r="H158" s="411" t="s">
        <v>1620</v>
      </c>
      <c r="I158" s="1820" t="s">
        <v>3706</v>
      </c>
    </row>
    <row r="159" spans="1:10" s="1817" customFormat="1" ht="18" outlineLevel="1" x14ac:dyDescent="0.25">
      <c r="B159" s="173" t="s">
        <v>2264</v>
      </c>
      <c r="C159" s="1894" t="s">
        <v>2626</v>
      </c>
      <c r="D159" s="1895" t="s">
        <v>2265</v>
      </c>
      <c r="E159" s="1318">
        <f>K_NOx_AOB_AS</f>
        <v>0.03</v>
      </c>
      <c r="F159" s="751" t="s">
        <v>886</v>
      </c>
      <c r="G159" s="485">
        <v>2</v>
      </c>
      <c r="H159" s="411" t="s">
        <v>1249</v>
      </c>
      <c r="I159" s="1820"/>
    </row>
    <row r="160" spans="1:10" s="1817" customFormat="1" ht="19.5" customHeight="1" outlineLevel="1" x14ac:dyDescent="0.25">
      <c r="B160" s="173" t="s">
        <v>2264</v>
      </c>
      <c r="C160" s="1894" t="s">
        <v>2626</v>
      </c>
      <c r="D160" s="1895" t="s">
        <v>3661</v>
      </c>
      <c r="E160" s="752">
        <f>K_NOx_AOB_AS*f_KS_biofilm</f>
        <v>1.2E-2</v>
      </c>
      <c r="F160" s="751" t="s">
        <v>886</v>
      </c>
      <c r="G160" s="485">
        <v>3</v>
      </c>
      <c r="H160" s="411" t="s">
        <v>1176</v>
      </c>
      <c r="I160" s="1820" t="s">
        <v>3706</v>
      </c>
    </row>
    <row r="161" spans="1:9" s="1817" customFormat="1" ht="18" outlineLevel="1" x14ac:dyDescent="0.25">
      <c r="B161" s="886" t="s">
        <v>2628</v>
      </c>
      <c r="C161" s="1894" t="s">
        <v>2627</v>
      </c>
      <c r="D161" s="1894" t="s">
        <v>2629</v>
      </c>
      <c r="E161" s="762">
        <f>K_iHNO2_AOB_pH_AS</f>
        <v>9999</v>
      </c>
      <c r="F161" s="754" t="s">
        <v>2894</v>
      </c>
      <c r="G161" s="485">
        <v>2</v>
      </c>
      <c r="H161" s="411" t="s">
        <v>1249</v>
      </c>
      <c r="I161" s="1820"/>
    </row>
    <row r="162" spans="1:9" s="1817" customFormat="1" ht="18.75" outlineLevel="1" thickBot="1" x14ac:dyDescent="0.3">
      <c r="B162" s="1821" t="s">
        <v>2628</v>
      </c>
      <c r="C162" s="1896" t="s">
        <v>2627</v>
      </c>
      <c r="D162" s="1896" t="s">
        <v>3662</v>
      </c>
      <c r="E162" s="1320">
        <f>K_iHNO2_AOB_pH_AS*f_KS_biofilm</f>
        <v>3999.6000000000004</v>
      </c>
      <c r="F162" s="755" t="s">
        <v>2894</v>
      </c>
      <c r="G162" s="546">
        <v>2</v>
      </c>
      <c r="H162" s="542" t="s">
        <v>1176</v>
      </c>
      <c r="I162" s="1822" t="s">
        <v>3706</v>
      </c>
    </row>
    <row r="163" spans="1:9" s="2310" customFormat="1" ht="18" customHeight="1" thickBot="1" x14ac:dyDescent="0.3">
      <c r="A163" s="4"/>
      <c r="B163" s="4"/>
      <c r="C163" s="4"/>
      <c r="D163" s="4"/>
      <c r="E163" s="1798"/>
      <c r="F163" s="4"/>
      <c r="G163" s="4"/>
      <c r="H163" s="4"/>
      <c r="I163" s="4"/>
    </row>
    <row r="164" spans="1:9" s="2310" customFormat="1" ht="18" customHeight="1" thickBot="1" x14ac:dyDescent="0.3">
      <c r="A164" s="4"/>
      <c r="B164" s="131"/>
      <c r="C164" s="1258" t="s">
        <v>2637</v>
      </c>
      <c r="D164" s="14" t="s">
        <v>303</v>
      </c>
      <c r="E164" s="14"/>
      <c r="F164" s="131"/>
      <c r="G164" s="131"/>
      <c r="H164" s="131"/>
      <c r="I164" s="131"/>
    </row>
    <row r="165" spans="1:9" s="2310" customFormat="1" ht="18" customHeight="1" thickBot="1" x14ac:dyDescent="0.3">
      <c r="A165" s="4"/>
      <c r="B165" s="1259" t="s">
        <v>0</v>
      </c>
      <c r="C165" s="1868" t="s">
        <v>1</v>
      </c>
      <c r="D165" s="1260" t="s">
        <v>5</v>
      </c>
      <c r="E165" s="1260" t="s">
        <v>152</v>
      </c>
      <c r="F165" s="1260" t="s">
        <v>2</v>
      </c>
      <c r="G165" s="1260" t="s">
        <v>302</v>
      </c>
      <c r="H165" s="1260" t="s">
        <v>116</v>
      </c>
      <c r="I165" s="1261" t="s">
        <v>117</v>
      </c>
    </row>
    <row r="166" spans="1:9" s="1817" customFormat="1" ht="18" outlineLevel="1" x14ac:dyDescent="0.25">
      <c r="B166" s="1550" t="s">
        <v>2266</v>
      </c>
      <c r="C166" s="1893" t="s">
        <v>2633</v>
      </c>
      <c r="D166" s="1893" t="s">
        <v>2267</v>
      </c>
      <c r="E166" s="1818">
        <f>K_NO2_NOB_AS</f>
        <v>0.1</v>
      </c>
      <c r="F166" s="545" t="s">
        <v>338</v>
      </c>
      <c r="G166" s="545">
        <v>2</v>
      </c>
      <c r="H166" s="541" t="s">
        <v>1249</v>
      </c>
      <c r="I166" s="1819"/>
    </row>
    <row r="167" spans="1:9" s="1817" customFormat="1" ht="18" outlineLevel="1" x14ac:dyDescent="0.25">
      <c r="B167" s="173" t="s">
        <v>2266</v>
      </c>
      <c r="C167" s="1894" t="s">
        <v>2633</v>
      </c>
      <c r="D167" s="1895" t="s">
        <v>3663</v>
      </c>
      <c r="E167" s="753">
        <f>K_NO2_NOB_AS*f_KS_biofilm</f>
        <v>4.0000000000000008E-2</v>
      </c>
      <c r="F167" s="485" t="s">
        <v>338</v>
      </c>
      <c r="G167" s="485">
        <v>2</v>
      </c>
      <c r="H167" s="411" t="s">
        <v>1176</v>
      </c>
      <c r="I167" s="1820" t="s">
        <v>3706</v>
      </c>
    </row>
    <row r="168" spans="1:9" s="1817" customFormat="1" ht="18.75" customHeight="1" outlineLevel="1" x14ac:dyDescent="0.25">
      <c r="B168" s="173" t="s">
        <v>2268</v>
      </c>
      <c r="C168" s="1894" t="s">
        <v>2634</v>
      </c>
      <c r="D168" s="1895" t="s">
        <v>2269</v>
      </c>
      <c r="E168" s="753">
        <f>K_CO2_NOB_pH_AS</f>
        <v>2.0000000000000002E-5</v>
      </c>
      <c r="F168" s="751" t="s">
        <v>1932</v>
      </c>
      <c r="G168" s="485">
        <v>2</v>
      </c>
      <c r="H168" s="411"/>
      <c r="I168" s="1820"/>
    </row>
    <row r="169" spans="1:9" s="1817" customFormat="1" ht="18.75" outlineLevel="1" x14ac:dyDescent="0.25">
      <c r="B169" s="173" t="s">
        <v>2270</v>
      </c>
      <c r="C169" s="1894" t="s">
        <v>2635</v>
      </c>
      <c r="D169" s="1895" t="s">
        <v>2271</v>
      </c>
      <c r="E169" s="753">
        <f>K_O2_NOB_AS</f>
        <v>0.5</v>
      </c>
      <c r="F169" s="751" t="s">
        <v>1180</v>
      </c>
      <c r="G169" s="485">
        <v>2</v>
      </c>
      <c r="H169" s="411" t="s">
        <v>1619</v>
      </c>
      <c r="I169" s="1820"/>
    </row>
    <row r="170" spans="1:9" s="1817" customFormat="1" ht="18.75" outlineLevel="1" x14ac:dyDescent="0.25">
      <c r="B170" s="173" t="s">
        <v>2270</v>
      </c>
      <c r="C170" s="1894" t="s">
        <v>2635</v>
      </c>
      <c r="D170" s="1895" t="s">
        <v>2272</v>
      </c>
      <c r="E170" s="753">
        <f>K_O2_NOB_sidestream</f>
        <v>0.5</v>
      </c>
      <c r="F170" s="751" t="s">
        <v>1180</v>
      </c>
      <c r="G170" s="485">
        <v>2</v>
      </c>
      <c r="H170" s="411" t="s">
        <v>1616</v>
      </c>
      <c r="I170" s="1820"/>
    </row>
    <row r="171" spans="1:9" s="1817" customFormat="1" ht="18.75" outlineLevel="1" x14ac:dyDescent="0.25">
      <c r="B171" s="173" t="s">
        <v>2270</v>
      </c>
      <c r="C171" s="1894" t="s">
        <v>2635</v>
      </c>
      <c r="D171" s="1895" t="s">
        <v>3664</v>
      </c>
      <c r="E171" s="753">
        <f>K_O2_NOB_AS*f_KS_biofilm</f>
        <v>0.2</v>
      </c>
      <c r="F171" s="751" t="s">
        <v>1180</v>
      </c>
      <c r="G171" s="485">
        <v>3</v>
      </c>
      <c r="H171" s="411" t="s">
        <v>1620</v>
      </c>
      <c r="I171" s="1820" t="s">
        <v>3706</v>
      </c>
    </row>
    <row r="172" spans="1:9" s="1817" customFormat="1" ht="18" outlineLevel="1" x14ac:dyDescent="0.25">
      <c r="B172" s="173" t="s">
        <v>2273</v>
      </c>
      <c r="C172" s="1894" t="s">
        <v>2636</v>
      </c>
      <c r="D172" s="1895" t="s">
        <v>2274</v>
      </c>
      <c r="E172" s="1318">
        <f>K_NOx_NOB_AS</f>
        <v>0.03</v>
      </c>
      <c r="F172" s="751" t="s">
        <v>886</v>
      </c>
      <c r="G172" s="485">
        <v>2</v>
      </c>
      <c r="H172" s="411" t="s">
        <v>1249</v>
      </c>
      <c r="I172" s="1820"/>
    </row>
    <row r="173" spans="1:9" s="1817" customFormat="1" ht="18" outlineLevel="1" x14ac:dyDescent="0.25">
      <c r="B173" s="173" t="s">
        <v>2273</v>
      </c>
      <c r="C173" s="1894" t="s">
        <v>2636</v>
      </c>
      <c r="D173" s="1895" t="s">
        <v>3665</v>
      </c>
      <c r="E173" s="752">
        <f>K_NOx_NOB_AS*f_KS_biofilm</f>
        <v>1.2E-2</v>
      </c>
      <c r="F173" s="751" t="s">
        <v>886</v>
      </c>
      <c r="G173" s="485">
        <v>3</v>
      </c>
      <c r="H173" s="411" t="s">
        <v>1176</v>
      </c>
      <c r="I173" s="1820" t="s">
        <v>3706</v>
      </c>
    </row>
    <row r="174" spans="1:9" s="1817" customFormat="1" ht="18" outlineLevel="1" x14ac:dyDescent="0.25">
      <c r="B174" s="886" t="s">
        <v>2630</v>
      </c>
      <c r="C174" s="1894" t="s">
        <v>2631</v>
      </c>
      <c r="D174" s="1894" t="s">
        <v>2632</v>
      </c>
      <c r="E174" s="762">
        <f>K_iNH3_NOB_pH_AS</f>
        <v>9999</v>
      </c>
      <c r="F174" s="754" t="s">
        <v>2149</v>
      </c>
      <c r="G174" s="485">
        <v>2</v>
      </c>
      <c r="H174" s="411" t="s">
        <v>1249</v>
      </c>
      <c r="I174" s="1820"/>
    </row>
    <row r="175" spans="1:9" s="1817" customFormat="1" ht="18.75" outlineLevel="1" thickBot="1" x14ac:dyDescent="0.3">
      <c r="B175" s="1821" t="s">
        <v>2630</v>
      </c>
      <c r="C175" s="1896" t="s">
        <v>2631</v>
      </c>
      <c r="D175" s="1896" t="s">
        <v>3666</v>
      </c>
      <c r="E175" s="1320">
        <f>K_iNH3_NOB_pH_AS*f_KS_biofilm</f>
        <v>3999.6000000000004</v>
      </c>
      <c r="F175" s="755" t="s">
        <v>2149</v>
      </c>
      <c r="G175" s="546">
        <v>2</v>
      </c>
      <c r="H175" s="542" t="s">
        <v>1176</v>
      </c>
      <c r="I175" s="1822" t="s">
        <v>3706</v>
      </c>
    </row>
    <row r="176" spans="1:9" s="2310" customFormat="1" ht="18" customHeight="1" thickBot="1" x14ac:dyDescent="0.3">
      <c r="A176" s="4"/>
      <c r="B176" s="4"/>
      <c r="C176" s="4"/>
      <c r="D176" s="4"/>
      <c r="E176" s="1798"/>
      <c r="F176" s="4"/>
      <c r="G176" s="4"/>
      <c r="H176" s="4"/>
      <c r="I176" s="4"/>
    </row>
    <row r="177" spans="1:9" s="2310" customFormat="1" ht="18" customHeight="1" thickBot="1" x14ac:dyDescent="0.3">
      <c r="A177" s="4"/>
      <c r="B177" s="131"/>
      <c r="C177" s="1258" t="s">
        <v>2638</v>
      </c>
      <c r="D177" s="14" t="s">
        <v>303</v>
      </c>
      <c r="E177" s="14"/>
      <c r="F177" s="131"/>
      <c r="G177" s="131"/>
      <c r="H177" s="131"/>
      <c r="I177" s="131"/>
    </row>
    <row r="178" spans="1:9" s="2310" customFormat="1" ht="18" customHeight="1" thickBot="1" x14ac:dyDescent="0.3">
      <c r="A178" s="4"/>
      <c r="B178" s="1259" t="s">
        <v>0</v>
      </c>
      <c r="C178" s="1868" t="s">
        <v>1</v>
      </c>
      <c r="D178" s="1260" t="s">
        <v>5</v>
      </c>
      <c r="E178" s="1260" t="s">
        <v>152</v>
      </c>
      <c r="F178" s="1260" t="s">
        <v>2</v>
      </c>
      <c r="G178" s="1260" t="s">
        <v>302</v>
      </c>
      <c r="H178" s="1260" t="s">
        <v>116</v>
      </c>
      <c r="I178" s="1261" t="s">
        <v>117</v>
      </c>
    </row>
    <row r="179" spans="1:9" s="1817" customFormat="1" ht="18" outlineLevel="1" x14ac:dyDescent="0.25">
      <c r="B179" s="1823" t="s">
        <v>2275</v>
      </c>
      <c r="C179" s="1897" t="s">
        <v>2480</v>
      </c>
      <c r="D179" s="1898" t="s">
        <v>2276</v>
      </c>
      <c r="E179" s="1824">
        <f>K_NHx_AMX_AS</f>
        <v>2</v>
      </c>
      <c r="F179" s="547" t="s">
        <v>338</v>
      </c>
      <c r="G179" s="547">
        <v>1</v>
      </c>
      <c r="H179" s="543" t="s">
        <v>1249</v>
      </c>
      <c r="I179" s="1825"/>
    </row>
    <row r="180" spans="1:9" s="1817" customFormat="1" ht="18" outlineLevel="1" x14ac:dyDescent="0.25">
      <c r="B180" s="362" t="s">
        <v>2275</v>
      </c>
      <c r="C180" s="1899" t="s">
        <v>2480</v>
      </c>
      <c r="D180" s="1900" t="s">
        <v>3667</v>
      </c>
      <c r="E180" s="363">
        <f>K_NHx_AMX_AS*f_KS_biofilm</f>
        <v>0.8</v>
      </c>
      <c r="F180" s="486" t="s">
        <v>338</v>
      </c>
      <c r="G180" s="486">
        <v>1</v>
      </c>
      <c r="H180" s="413" t="s">
        <v>1176</v>
      </c>
      <c r="I180" s="1826" t="s">
        <v>3706</v>
      </c>
    </row>
    <row r="181" spans="1:9" s="1817" customFormat="1" ht="18" outlineLevel="1" x14ac:dyDescent="0.25">
      <c r="B181" s="362" t="s">
        <v>2277</v>
      </c>
      <c r="C181" s="1899" t="s">
        <v>2481</v>
      </c>
      <c r="D181" s="1900" t="s">
        <v>2278</v>
      </c>
      <c r="E181" s="363">
        <f>K_NO2_AMX_AS</f>
        <v>1</v>
      </c>
      <c r="F181" s="486" t="s">
        <v>338</v>
      </c>
      <c r="G181" s="486">
        <v>1</v>
      </c>
      <c r="H181" s="413" t="s">
        <v>1249</v>
      </c>
      <c r="I181" s="1826"/>
    </row>
    <row r="182" spans="1:9" s="1817" customFormat="1" ht="18" outlineLevel="1" x14ac:dyDescent="0.25">
      <c r="B182" s="362" t="s">
        <v>2277</v>
      </c>
      <c r="C182" s="1899" t="s">
        <v>2481</v>
      </c>
      <c r="D182" s="1900" t="s">
        <v>3668</v>
      </c>
      <c r="E182" s="363">
        <f>K_NO2_AMX_AS*f_KS_biofilm</f>
        <v>0.4</v>
      </c>
      <c r="F182" s="486" t="s">
        <v>338</v>
      </c>
      <c r="G182" s="486">
        <v>1</v>
      </c>
      <c r="H182" s="413" t="s">
        <v>1176</v>
      </c>
      <c r="I182" s="1826" t="s">
        <v>3706</v>
      </c>
    </row>
    <row r="183" spans="1:9" s="1817" customFormat="1" ht="18.75" outlineLevel="1" x14ac:dyDescent="0.25">
      <c r="B183" s="362" t="s">
        <v>2279</v>
      </c>
      <c r="C183" s="1899" t="s">
        <v>2482</v>
      </c>
      <c r="D183" s="1900" t="s">
        <v>2280</v>
      </c>
      <c r="E183" s="363">
        <f>K_CO2_AMX_pH_AS</f>
        <v>2.0000000000000001E-4</v>
      </c>
      <c r="F183" s="756" t="s">
        <v>1932</v>
      </c>
      <c r="G183" s="486">
        <v>4</v>
      </c>
      <c r="H183" s="413"/>
      <c r="I183" s="1826"/>
    </row>
    <row r="184" spans="1:9" s="1817" customFormat="1" ht="18.75" outlineLevel="1" x14ac:dyDescent="0.25">
      <c r="B184" s="362" t="s">
        <v>3740</v>
      </c>
      <c r="C184" s="1899" t="s">
        <v>3741</v>
      </c>
      <c r="D184" s="1900" t="s">
        <v>3742</v>
      </c>
      <c r="E184" s="363">
        <f>K_iO2_AMX_AS</f>
        <v>0.4</v>
      </c>
      <c r="F184" s="756" t="s">
        <v>1180</v>
      </c>
      <c r="G184" s="486">
        <v>2</v>
      </c>
      <c r="H184" s="413" t="s">
        <v>1249</v>
      </c>
      <c r="I184" s="1826"/>
    </row>
    <row r="185" spans="1:9" s="1817" customFormat="1" ht="18.75" outlineLevel="1" x14ac:dyDescent="0.25">
      <c r="B185" s="362" t="s">
        <v>3740</v>
      </c>
      <c r="C185" s="1899" t="s">
        <v>3741</v>
      </c>
      <c r="D185" s="1900" t="s">
        <v>3743</v>
      </c>
      <c r="E185" s="363">
        <f>K_iO2_AMX_AS*f_KS_biofilm</f>
        <v>0.16000000000000003</v>
      </c>
      <c r="F185" s="756" t="s">
        <v>1180</v>
      </c>
      <c r="G185" s="486">
        <v>2</v>
      </c>
      <c r="H185" s="413" t="s">
        <v>1176</v>
      </c>
      <c r="I185" s="1826" t="s">
        <v>3706</v>
      </c>
    </row>
    <row r="186" spans="1:9" s="1817" customFormat="1" ht="18" outlineLevel="1" x14ac:dyDescent="0.25">
      <c r="B186" s="362" t="s">
        <v>2281</v>
      </c>
      <c r="C186" s="586" t="s">
        <v>2895</v>
      </c>
      <c r="D186" s="1900" t="s">
        <v>2282</v>
      </c>
      <c r="E186" s="1315">
        <f>K_NOx_AMX_AS</f>
        <v>0.1</v>
      </c>
      <c r="F186" s="756" t="s">
        <v>886</v>
      </c>
      <c r="G186" s="486">
        <v>2</v>
      </c>
      <c r="H186" s="413" t="s">
        <v>1249</v>
      </c>
      <c r="I186" s="1826"/>
    </row>
    <row r="187" spans="1:9" s="1817" customFormat="1" ht="18" outlineLevel="1" x14ac:dyDescent="0.25">
      <c r="B187" s="362" t="s">
        <v>2281</v>
      </c>
      <c r="C187" s="586" t="s">
        <v>2895</v>
      </c>
      <c r="D187" s="1900" t="s">
        <v>3669</v>
      </c>
      <c r="E187" s="1314">
        <f>K_NOx_AMX_AS*f_KS_biofilm</f>
        <v>4.0000000000000008E-2</v>
      </c>
      <c r="F187" s="756" t="s">
        <v>886</v>
      </c>
      <c r="G187" s="486">
        <v>2</v>
      </c>
      <c r="H187" s="413" t="s">
        <v>1176</v>
      </c>
      <c r="I187" s="1826" t="s">
        <v>3706</v>
      </c>
    </row>
    <row r="188" spans="1:9" s="1817" customFormat="1" ht="18" outlineLevel="1" x14ac:dyDescent="0.25">
      <c r="B188" s="618" t="s">
        <v>2821</v>
      </c>
      <c r="C188" s="1901" t="s">
        <v>2484</v>
      </c>
      <c r="D188" s="1901" t="s">
        <v>2822</v>
      </c>
      <c r="E188" s="1316">
        <f>K_iHNO2_AMX_pH_AS</f>
        <v>1</v>
      </c>
      <c r="F188" s="757" t="s">
        <v>2894</v>
      </c>
      <c r="G188" s="486">
        <v>1</v>
      </c>
      <c r="H188" s="413" t="s">
        <v>1249</v>
      </c>
      <c r="I188" s="1826"/>
    </row>
    <row r="189" spans="1:9" s="1817" customFormat="1" ht="18.75" outlineLevel="1" thickBot="1" x14ac:dyDescent="0.3">
      <c r="B189" s="1066" t="s">
        <v>2821</v>
      </c>
      <c r="C189" s="1902" t="s">
        <v>2484</v>
      </c>
      <c r="D189" s="1903" t="s">
        <v>3670</v>
      </c>
      <c r="E189" s="1317">
        <f>K_iHNO2_AMX_pH_AS*f_KS_biofilm</f>
        <v>0.4</v>
      </c>
      <c r="F189" s="758" t="s">
        <v>2894</v>
      </c>
      <c r="G189" s="548">
        <v>1</v>
      </c>
      <c r="H189" s="544" t="s">
        <v>1176</v>
      </c>
      <c r="I189" s="1827" t="s">
        <v>3706</v>
      </c>
    </row>
    <row r="190" spans="1:9" s="2310" customFormat="1" ht="18" customHeight="1" thickBot="1" x14ac:dyDescent="0.3">
      <c r="A190" s="4"/>
      <c r="B190" s="4"/>
      <c r="C190" s="4"/>
      <c r="D190" s="4"/>
      <c r="E190" s="1798"/>
      <c r="F190" s="4"/>
      <c r="G190" s="4"/>
      <c r="H190" s="4"/>
      <c r="I190" s="4"/>
    </row>
    <row r="191" spans="1:9" s="2310" customFormat="1" ht="18" customHeight="1" thickBot="1" x14ac:dyDescent="0.3">
      <c r="A191" s="4"/>
      <c r="B191" s="131"/>
      <c r="C191" s="1258" t="s">
        <v>2639</v>
      </c>
      <c r="D191" s="14" t="s">
        <v>303</v>
      </c>
      <c r="E191" s="14"/>
      <c r="F191" s="131"/>
      <c r="G191" s="131"/>
      <c r="H191" s="131"/>
      <c r="I191" s="131"/>
    </row>
    <row r="192" spans="1:9" s="2310" customFormat="1" ht="18" customHeight="1" thickBot="1" x14ac:dyDescent="0.3">
      <c r="A192" s="4"/>
      <c r="B192" s="1259" t="s">
        <v>0</v>
      </c>
      <c r="C192" s="1868" t="s">
        <v>1</v>
      </c>
      <c r="D192" s="1260" t="s">
        <v>5</v>
      </c>
      <c r="E192" s="1260" t="s">
        <v>152</v>
      </c>
      <c r="F192" s="1260" t="s">
        <v>2</v>
      </c>
      <c r="G192" s="1260" t="s">
        <v>302</v>
      </c>
      <c r="H192" s="1260" t="s">
        <v>116</v>
      </c>
      <c r="I192" s="1261" t="s">
        <v>117</v>
      </c>
    </row>
    <row r="193" spans="2:9" s="1828" customFormat="1" ht="18" outlineLevel="1" x14ac:dyDescent="0.25">
      <c r="B193" s="703" t="s">
        <v>3135</v>
      </c>
      <c r="C193" s="1904" t="s">
        <v>3656</v>
      </c>
      <c r="D193" s="1905" t="s">
        <v>3136</v>
      </c>
      <c r="E193" s="706">
        <f>K_SB_poly_AS</f>
        <v>5</v>
      </c>
      <c r="F193" s="705" t="s">
        <v>1181</v>
      </c>
      <c r="G193" s="705">
        <v>1</v>
      </c>
      <c r="H193" s="704" t="s">
        <v>1249</v>
      </c>
      <c r="I193" s="1829"/>
    </row>
    <row r="194" spans="2:9" s="1828" customFormat="1" ht="18" outlineLevel="1" x14ac:dyDescent="0.25">
      <c r="B194" s="703" t="s">
        <v>3135</v>
      </c>
      <c r="C194" s="1904" t="s">
        <v>3656</v>
      </c>
      <c r="D194" s="1904" t="s">
        <v>3671</v>
      </c>
      <c r="E194" s="1312">
        <f>K_SB_poly_AS*f_KS_biofilm</f>
        <v>2</v>
      </c>
      <c r="F194" s="705" t="s">
        <v>1181</v>
      </c>
      <c r="G194" s="705">
        <v>1</v>
      </c>
      <c r="H194" s="704" t="s">
        <v>1176</v>
      </c>
      <c r="I194" s="1830" t="s">
        <v>3706</v>
      </c>
    </row>
    <row r="195" spans="2:9" s="1828" customFormat="1" ht="18" outlineLevel="1" x14ac:dyDescent="0.25">
      <c r="B195" s="290" t="s">
        <v>1770</v>
      </c>
      <c r="C195" s="1906" t="s">
        <v>2641</v>
      </c>
      <c r="D195" s="1907" t="s">
        <v>1908</v>
      </c>
      <c r="E195" s="1312">
        <f>K_VFA_AS</f>
        <v>0.5</v>
      </c>
      <c r="F195" s="357" t="s">
        <v>1771</v>
      </c>
      <c r="G195" s="357">
        <v>2</v>
      </c>
      <c r="H195" s="291" t="s">
        <v>1249</v>
      </c>
      <c r="I195" s="430"/>
    </row>
    <row r="196" spans="2:9" s="1828" customFormat="1" ht="18" outlineLevel="1" x14ac:dyDescent="0.25">
      <c r="B196" s="290" t="s">
        <v>1770</v>
      </c>
      <c r="C196" s="1906" t="s">
        <v>2641</v>
      </c>
      <c r="D196" s="1907" t="s">
        <v>3672</v>
      </c>
      <c r="E196" s="419">
        <f>K_VFA_AS*f_KS_biofilm</f>
        <v>0.2</v>
      </c>
      <c r="F196" s="357" t="s">
        <v>1771</v>
      </c>
      <c r="G196" s="357">
        <v>2</v>
      </c>
      <c r="H196" s="291" t="s">
        <v>1176</v>
      </c>
      <c r="I196" s="430" t="s">
        <v>3706</v>
      </c>
    </row>
    <row r="197" spans="2:9" s="1828" customFormat="1" ht="18" outlineLevel="1" x14ac:dyDescent="0.25">
      <c r="B197" s="292" t="s">
        <v>1772</v>
      </c>
      <c r="C197" s="1908" t="s">
        <v>2642</v>
      </c>
      <c r="D197" s="1909" t="s">
        <v>1910</v>
      </c>
      <c r="E197" s="422">
        <f>K_O2_OHO_AS</f>
        <v>0.15</v>
      </c>
      <c r="F197" s="421" t="s">
        <v>1180</v>
      </c>
      <c r="G197" s="421">
        <v>3</v>
      </c>
      <c r="H197" s="291" t="s">
        <v>1249</v>
      </c>
      <c r="I197" s="1831"/>
    </row>
    <row r="198" spans="2:9" s="1828" customFormat="1" ht="18" outlineLevel="1" x14ac:dyDescent="0.25">
      <c r="B198" s="290" t="s">
        <v>1772</v>
      </c>
      <c r="C198" s="1906" t="s">
        <v>2642</v>
      </c>
      <c r="D198" s="1907" t="s">
        <v>3673</v>
      </c>
      <c r="E198" s="420">
        <f>K_O2_OHO_AS*f_KS_biofilm</f>
        <v>0.06</v>
      </c>
      <c r="F198" s="357" t="s">
        <v>1180</v>
      </c>
      <c r="G198" s="357">
        <v>3</v>
      </c>
      <c r="H198" s="291" t="s">
        <v>1176</v>
      </c>
      <c r="I198" s="430" t="s">
        <v>3706</v>
      </c>
    </row>
    <row r="199" spans="2:9" s="1828" customFormat="1" ht="18" outlineLevel="1" x14ac:dyDescent="0.25">
      <c r="B199" s="290" t="s">
        <v>1773</v>
      </c>
      <c r="C199" s="1906" t="s">
        <v>2643</v>
      </c>
      <c r="D199" s="1907" t="s">
        <v>1909</v>
      </c>
      <c r="E199" s="1312">
        <f>K_MEOL_OHO_AS</f>
        <v>0.1</v>
      </c>
      <c r="F199" s="357" t="s">
        <v>1181</v>
      </c>
      <c r="G199" s="357">
        <v>2</v>
      </c>
      <c r="H199" s="291" t="s">
        <v>1249</v>
      </c>
      <c r="I199" s="430"/>
    </row>
    <row r="200" spans="2:9" s="1828" customFormat="1" ht="18" outlineLevel="1" x14ac:dyDescent="0.25">
      <c r="B200" s="290" t="s">
        <v>1773</v>
      </c>
      <c r="C200" s="1906" t="s">
        <v>2643</v>
      </c>
      <c r="D200" s="1907" t="s">
        <v>3674</v>
      </c>
      <c r="E200" s="419">
        <f>K_MEOL_OHO_AS*f_KS_biofilm</f>
        <v>4.0000000000000008E-2</v>
      </c>
      <c r="F200" s="357" t="s">
        <v>1181</v>
      </c>
      <c r="G200" s="357">
        <v>2</v>
      </c>
      <c r="H200" s="291" t="s">
        <v>1176</v>
      </c>
      <c r="I200" s="430" t="s">
        <v>3706</v>
      </c>
    </row>
    <row r="201" spans="2:9" s="1828" customFormat="1" ht="18" outlineLevel="1" x14ac:dyDescent="0.25">
      <c r="B201" s="290" t="s">
        <v>2283</v>
      </c>
      <c r="C201" s="1906" t="s">
        <v>2644</v>
      </c>
      <c r="D201" s="1907" t="s">
        <v>2284</v>
      </c>
      <c r="E201" s="419">
        <f>K_NO2_OHO_AS</f>
        <v>0.05</v>
      </c>
      <c r="F201" s="357" t="s">
        <v>338</v>
      </c>
      <c r="G201" s="357">
        <v>3</v>
      </c>
      <c r="H201" s="291" t="s">
        <v>1249</v>
      </c>
      <c r="I201" s="430"/>
    </row>
    <row r="202" spans="2:9" s="1828" customFormat="1" ht="18" outlineLevel="1" x14ac:dyDescent="0.25">
      <c r="B202" s="290" t="s">
        <v>2283</v>
      </c>
      <c r="C202" s="1906" t="s">
        <v>2644</v>
      </c>
      <c r="D202" s="1907" t="s">
        <v>3675</v>
      </c>
      <c r="E202" s="420">
        <f>K_NO2_OHO_AS*f_KS_biofilm</f>
        <v>2.0000000000000004E-2</v>
      </c>
      <c r="F202" s="357" t="s">
        <v>338</v>
      </c>
      <c r="G202" s="357">
        <v>3</v>
      </c>
      <c r="H202" s="291" t="s">
        <v>1176</v>
      </c>
      <c r="I202" s="430" t="s">
        <v>3706</v>
      </c>
    </row>
    <row r="203" spans="2:9" s="1828" customFormat="1" ht="18" customHeight="1" outlineLevel="1" x14ac:dyDescent="0.25">
      <c r="B203" s="2536" t="s">
        <v>5170</v>
      </c>
      <c r="C203" s="2537" t="s">
        <v>5167</v>
      </c>
      <c r="D203" s="2548" t="s">
        <v>5166</v>
      </c>
      <c r="E203" s="2549">
        <f>K_VFA_OHO_SNO2_AS</f>
        <v>150</v>
      </c>
      <c r="F203" s="2550" t="s">
        <v>1181</v>
      </c>
      <c r="G203" s="2550">
        <v>2</v>
      </c>
      <c r="H203" s="2551" t="s">
        <v>1249</v>
      </c>
      <c r="I203" s="2552"/>
    </row>
    <row r="204" spans="2:9" s="1828" customFormat="1" ht="18" customHeight="1" outlineLevel="1" x14ac:dyDescent="0.25">
      <c r="B204" s="2536" t="s">
        <v>5170</v>
      </c>
      <c r="C204" s="2537" t="s">
        <v>5167</v>
      </c>
      <c r="D204" s="2548" t="s">
        <v>5171</v>
      </c>
      <c r="E204" s="2549">
        <f>K_VFA_OHO_SNO2_AS*f_KS_biofilm</f>
        <v>60</v>
      </c>
      <c r="F204" s="2550" t="s">
        <v>1181</v>
      </c>
      <c r="G204" s="2550">
        <v>3</v>
      </c>
      <c r="H204" s="2551" t="s">
        <v>1176</v>
      </c>
      <c r="I204" s="2552" t="s">
        <v>3706</v>
      </c>
    </row>
    <row r="205" spans="2:9" s="1828" customFormat="1" ht="18" outlineLevel="1" x14ac:dyDescent="0.25">
      <c r="B205" s="290" t="s">
        <v>1774</v>
      </c>
      <c r="C205" s="1906" t="s">
        <v>2645</v>
      </c>
      <c r="D205" s="1907" t="s">
        <v>1911</v>
      </c>
      <c r="E205" s="1312">
        <f>K_NO3_OHO_AS</f>
        <v>1.25</v>
      </c>
      <c r="F205" s="357" t="s">
        <v>886</v>
      </c>
      <c r="G205" s="357">
        <v>2</v>
      </c>
      <c r="H205" s="291" t="s">
        <v>1249</v>
      </c>
      <c r="I205" s="430"/>
    </row>
    <row r="206" spans="2:9" s="1828" customFormat="1" ht="18" outlineLevel="1" x14ac:dyDescent="0.25">
      <c r="B206" s="290" t="s">
        <v>1774</v>
      </c>
      <c r="C206" s="1906" t="s">
        <v>2645</v>
      </c>
      <c r="D206" s="1907" t="s">
        <v>3676</v>
      </c>
      <c r="E206" s="419">
        <f>K_NO3_OHO_AS*f_KS_biofilm</f>
        <v>0.5</v>
      </c>
      <c r="F206" s="357" t="s">
        <v>886</v>
      </c>
      <c r="G206" s="357">
        <v>2</v>
      </c>
      <c r="H206" s="291" t="s">
        <v>1176</v>
      </c>
      <c r="I206" s="430" t="s">
        <v>3706</v>
      </c>
    </row>
    <row r="207" spans="2:9" s="1828" customFormat="1" ht="18" outlineLevel="1" x14ac:dyDescent="0.25">
      <c r="B207" s="169" t="s">
        <v>2139</v>
      </c>
      <c r="C207" s="570" t="s">
        <v>2647</v>
      </c>
      <c r="D207" s="1907" t="s">
        <v>2136</v>
      </c>
      <c r="E207" s="1313">
        <f>K_VFA_FERM_AS</f>
        <v>50</v>
      </c>
      <c r="F207" s="357" t="s">
        <v>1771</v>
      </c>
      <c r="G207" s="357">
        <v>1</v>
      </c>
      <c r="H207" s="291" t="s">
        <v>1249</v>
      </c>
      <c r="I207" s="430"/>
    </row>
    <row r="208" spans="2:9" s="1828" customFormat="1" ht="18" outlineLevel="1" x14ac:dyDescent="0.25">
      <c r="B208" s="169" t="s">
        <v>2139</v>
      </c>
      <c r="C208" s="570" t="s">
        <v>2647</v>
      </c>
      <c r="D208" s="1907" t="s">
        <v>3677</v>
      </c>
      <c r="E208" s="1313">
        <f>K_VFA_FERM_AS*f_KS_biofilm</f>
        <v>20</v>
      </c>
      <c r="F208" s="357" t="s">
        <v>1771</v>
      </c>
      <c r="G208" s="357">
        <v>1</v>
      </c>
      <c r="H208" s="291" t="s">
        <v>1176</v>
      </c>
      <c r="I208" s="430" t="s">
        <v>3706</v>
      </c>
    </row>
    <row r="209" spans="1:9" s="1828" customFormat="1" ht="30" outlineLevel="1" x14ac:dyDescent="0.25">
      <c r="B209" s="707" t="s">
        <v>3137</v>
      </c>
      <c r="C209" s="1908" t="s">
        <v>3138</v>
      </c>
      <c r="D209" s="1908" t="s">
        <v>3139</v>
      </c>
      <c r="E209" s="712">
        <f>K_SB_poly_ana_AS</f>
        <v>5</v>
      </c>
      <c r="F209" s="725" t="s">
        <v>1181</v>
      </c>
      <c r="G209" s="725">
        <v>1</v>
      </c>
      <c r="H209" s="609" t="s">
        <v>4158</v>
      </c>
      <c r="I209" s="614"/>
    </row>
    <row r="210" spans="1:9" s="1828" customFormat="1" ht="30" outlineLevel="1" x14ac:dyDescent="0.25">
      <c r="B210" s="707" t="s">
        <v>3137</v>
      </c>
      <c r="C210" s="1908" t="s">
        <v>3138</v>
      </c>
      <c r="D210" s="1908" t="s">
        <v>3678</v>
      </c>
      <c r="E210" s="1322">
        <f>K_SB_poly_ana_AS*f_KS_biofilm</f>
        <v>2</v>
      </c>
      <c r="F210" s="725" t="s">
        <v>1181</v>
      </c>
      <c r="G210" s="725">
        <v>1</v>
      </c>
      <c r="H210" s="609" t="s">
        <v>4159</v>
      </c>
      <c r="I210" s="614" t="s">
        <v>3706</v>
      </c>
    </row>
    <row r="211" spans="1:9" s="1828" customFormat="1" ht="30.75" outlineLevel="1" thickBot="1" x14ac:dyDescent="0.3">
      <c r="B211" s="708" t="s">
        <v>3137</v>
      </c>
      <c r="C211" s="1910" t="s">
        <v>3138</v>
      </c>
      <c r="D211" s="1910" t="s">
        <v>4157</v>
      </c>
      <c r="E211" s="1321">
        <f>K_SB_poly_ana_DIG</f>
        <v>350</v>
      </c>
      <c r="F211" s="710" t="s">
        <v>1181</v>
      </c>
      <c r="G211" s="710">
        <v>1</v>
      </c>
      <c r="H211" s="709" t="s">
        <v>1210</v>
      </c>
      <c r="I211" s="1832"/>
    </row>
    <row r="212" spans="1:9" s="2310" customFormat="1" ht="18" customHeight="1" thickBot="1" x14ac:dyDescent="0.3">
      <c r="A212" s="4"/>
      <c r="B212" s="4"/>
      <c r="C212" s="4"/>
      <c r="D212" s="4"/>
      <c r="E212" s="1798"/>
      <c r="F212" s="4"/>
      <c r="G212" s="4"/>
      <c r="H212" s="4"/>
      <c r="I212" s="4"/>
    </row>
    <row r="213" spans="1:9" s="2310" customFormat="1" ht="18" customHeight="1" thickBot="1" x14ac:dyDescent="0.3">
      <c r="A213" s="4"/>
      <c r="B213" s="131"/>
      <c r="C213" s="1258" t="s">
        <v>3630</v>
      </c>
      <c r="D213" s="14" t="s">
        <v>303</v>
      </c>
      <c r="E213" s="14"/>
      <c r="F213" s="131"/>
      <c r="G213" s="131"/>
      <c r="H213" s="131"/>
      <c r="I213" s="131"/>
    </row>
    <row r="214" spans="1:9" s="2310" customFormat="1" ht="18" customHeight="1" thickBot="1" x14ac:dyDescent="0.3">
      <c r="A214" s="4"/>
      <c r="B214" s="1259" t="s">
        <v>0</v>
      </c>
      <c r="C214" s="1868" t="s">
        <v>1</v>
      </c>
      <c r="D214" s="1260" t="s">
        <v>5</v>
      </c>
      <c r="E214" s="1260" t="s">
        <v>152</v>
      </c>
      <c r="F214" s="1260" t="s">
        <v>2</v>
      </c>
      <c r="G214" s="1260" t="s">
        <v>302</v>
      </c>
      <c r="H214" s="1260" t="s">
        <v>116</v>
      </c>
      <c r="I214" s="1261" t="s">
        <v>117</v>
      </c>
    </row>
    <row r="215" spans="1:9" s="1828" customFormat="1" ht="18" outlineLevel="1" x14ac:dyDescent="0.25">
      <c r="B215" s="716" t="s">
        <v>3140</v>
      </c>
      <c r="C215" s="720" t="s">
        <v>3141</v>
      </c>
      <c r="D215" s="1911" t="s">
        <v>3142</v>
      </c>
      <c r="E215" s="719">
        <f>K_SB_mono_AS</f>
        <v>0.5</v>
      </c>
      <c r="F215" s="718" t="s">
        <v>1181</v>
      </c>
      <c r="G215" s="718">
        <v>2</v>
      </c>
      <c r="H215" s="717" t="s">
        <v>1249</v>
      </c>
      <c r="I215" s="1833"/>
    </row>
    <row r="216" spans="1:9" s="1828" customFormat="1" ht="18" outlineLevel="1" x14ac:dyDescent="0.25">
      <c r="B216" s="721" t="s">
        <v>3140</v>
      </c>
      <c r="C216" s="1018" t="s">
        <v>3141</v>
      </c>
      <c r="D216" s="1912" t="s">
        <v>3679</v>
      </c>
      <c r="E216" s="1020">
        <f>K_SB_mono_AS*f_KS_biofilm</f>
        <v>0.2</v>
      </c>
      <c r="F216" s="1019" t="s">
        <v>1181</v>
      </c>
      <c r="G216" s="1019">
        <v>2</v>
      </c>
      <c r="H216" s="1021" t="s">
        <v>1176</v>
      </c>
      <c r="I216" s="1834" t="s">
        <v>3706</v>
      </c>
    </row>
    <row r="217" spans="1:9" s="1828" customFormat="1" ht="18" outlineLevel="1" x14ac:dyDescent="0.25">
      <c r="B217" s="721" t="s">
        <v>3215</v>
      </c>
      <c r="C217" s="1018" t="s">
        <v>3219</v>
      </c>
      <c r="D217" s="1912" t="s">
        <v>3209</v>
      </c>
      <c r="E217" s="1311">
        <f>K_O2_AHO_AS</f>
        <v>0.5</v>
      </c>
      <c r="F217" s="1019" t="s">
        <v>1180</v>
      </c>
      <c r="G217" s="1019">
        <v>2</v>
      </c>
      <c r="H217" s="1021" t="s">
        <v>1249</v>
      </c>
      <c r="I217" s="1834"/>
    </row>
    <row r="218" spans="1:9" s="1828" customFormat="1" ht="18" outlineLevel="1" x14ac:dyDescent="0.25">
      <c r="B218" s="721" t="s">
        <v>3215</v>
      </c>
      <c r="C218" s="1018" t="s">
        <v>3219</v>
      </c>
      <c r="D218" s="1912" t="s">
        <v>3680</v>
      </c>
      <c r="E218" s="1020">
        <f>K_O2_AHO_AS*f_KS_biofilm</f>
        <v>0.2</v>
      </c>
      <c r="F218" s="1019" t="s">
        <v>1180</v>
      </c>
      <c r="G218" s="1019">
        <v>2</v>
      </c>
      <c r="H218" s="1021" t="s">
        <v>1176</v>
      </c>
      <c r="I218" s="1834" t="s">
        <v>3706</v>
      </c>
    </row>
    <row r="219" spans="1:9" s="1828" customFormat="1" ht="18" outlineLevel="1" x14ac:dyDescent="0.25">
      <c r="B219" s="721" t="s">
        <v>3553</v>
      </c>
      <c r="C219" s="1018" t="s">
        <v>3554</v>
      </c>
      <c r="D219" s="1912" t="s">
        <v>3545</v>
      </c>
      <c r="E219" s="1308">
        <f>K_iO2_AHO_AS</f>
        <v>1E-3</v>
      </c>
      <c r="F219" s="1019" t="s">
        <v>1180</v>
      </c>
      <c r="G219" s="1019">
        <v>3</v>
      </c>
      <c r="H219" s="1021" t="s">
        <v>1249</v>
      </c>
      <c r="I219" s="1834"/>
    </row>
    <row r="220" spans="1:9" s="1828" customFormat="1" ht="18" outlineLevel="1" x14ac:dyDescent="0.25">
      <c r="B220" s="721" t="s">
        <v>3553</v>
      </c>
      <c r="C220" s="1018" t="s">
        <v>3554</v>
      </c>
      <c r="D220" s="1912" t="s">
        <v>3681</v>
      </c>
      <c r="E220" s="1309">
        <f>K_iO2_AHO_AS*f_KS_biofilm</f>
        <v>4.0000000000000002E-4</v>
      </c>
      <c r="F220" s="1019" t="s">
        <v>1180</v>
      </c>
      <c r="G220" s="1019">
        <v>4</v>
      </c>
      <c r="H220" s="1021" t="s">
        <v>1176</v>
      </c>
      <c r="I220" s="1834" t="s">
        <v>3706</v>
      </c>
    </row>
    <row r="221" spans="1:9" s="1828" customFormat="1" ht="18" outlineLevel="1" x14ac:dyDescent="0.25">
      <c r="B221" s="721" t="s">
        <v>3216</v>
      </c>
      <c r="C221" s="1018" t="s">
        <v>3220</v>
      </c>
      <c r="D221" s="1912" t="s">
        <v>3218</v>
      </c>
      <c r="E221" s="1020">
        <f>K_NO2_AHO_AS</f>
        <v>0.05</v>
      </c>
      <c r="F221" s="1019" t="s">
        <v>338</v>
      </c>
      <c r="G221" s="1019">
        <v>3</v>
      </c>
      <c r="H221" s="1021" t="s">
        <v>1249</v>
      </c>
      <c r="I221" s="1834"/>
    </row>
    <row r="222" spans="1:9" s="1828" customFormat="1" ht="18" outlineLevel="1" x14ac:dyDescent="0.25">
      <c r="B222" s="721" t="s">
        <v>3216</v>
      </c>
      <c r="C222" s="1018" t="s">
        <v>3220</v>
      </c>
      <c r="D222" s="1912" t="s">
        <v>3682</v>
      </c>
      <c r="E222" s="1308">
        <f>K_NO2_AHO_AS*f_KS_biofilm</f>
        <v>2.0000000000000004E-2</v>
      </c>
      <c r="F222" s="1019" t="s">
        <v>338</v>
      </c>
      <c r="G222" s="1019">
        <v>3</v>
      </c>
      <c r="H222" s="1021" t="s">
        <v>1176</v>
      </c>
      <c r="I222" s="1834" t="s">
        <v>3706</v>
      </c>
    </row>
    <row r="223" spans="1:9" s="1828" customFormat="1" ht="18" outlineLevel="1" x14ac:dyDescent="0.25">
      <c r="B223" s="721" t="s">
        <v>3217</v>
      </c>
      <c r="C223" s="1018" t="s">
        <v>3221</v>
      </c>
      <c r="D223" s="1912" t="s">
        <v>3210</v>
      </c>
      <c r="E223" s="1311">
        <f>K_NO3_AHO_AS</f>
        <v>0.1</v>
      </c>
      <c r="F223" s="1019" t="s">
        <v>886</v>
      </c>
      <c r="G223" s="1019">
        <v>2</v>
      </c>
      <c r="H223" s="1021" t="s">
        <v>1249</v>
      </c>
      <c r="I223" s="1834"/>
    </row>
    <row r="224" spans="1:9" s="1828" customFormat="1" ht="18.75" outlineLevel="1" thickBot="1" x14ac:dyDescent="0.3">
      <c r="B224" s="1125" t="s">
        <v>3217</v>
      </c>
      <c r="C224" s="1126" t="s">
        <v>3221</v>
      </c>
      <c r="D224" s="1913" t="s">
        <v>3683</v>
      </c>
      <c r="E224" s="1128">
        <f>K_NO3_AHO_AS*f_KS_biofilm</f>
        <v>4.0000000000000008E-2</v>
      </c>
      <c r="F224" s="1127" t="s">
        <v>886</v>
      </c>
      <c r="G224" s="1127">
        <v>2</v>
      </c>
      <c r="H224" s="1129" t="s">
        <v>1176</v>
      </c>
      <c r="I224" s="1835" t="s">
        <v>3706</v>
      </c>
    </row>
    <row r="225" spans="1:9" s="2310" customFormat="1" ht="18" customHeight="1" thickBot="1" x14ac:dyDescent="0.3">
      <c r="A225" s="4"/>
      <c r="B225" s="4"/>
      <c r="C225" s="4"/>
      <c r="D225" s="4"/>
      <c r="E225" s="1798"/>
      <c r="F225" s="4"/>
      <c r="G225" s="4"/>
      <c r="H225" s="4"/>
      <c r="I225" s="4"/>
    </row>
    <row r="226" spans="1:9" s="2310" customFormat="1" ht="18" customHeight="1" thickBot="1" x14ac:dyDescent="0.3">
      <c r="A226" s="4"/>
      <c r="B226" s="131"/>
      <c r="C226" s="1258" t="s">
        <v>2640</v>
      </c>
      <c r="D226" s="14" t="s">
        <v>303</v>
      </c>
      <c r="E226" s="14"/>
      <c r="F226" s="131"/>
      <c r="G226" s="131"/>
      <c r="H226" s="131"/>
      <c r="I226" s="131"/>
    </row>
    <row r="227" spans="1:9" s="2310" customFormat="1" ht="18" customHeight="1" thickBot="1" x14ac:dyDescent="0.3">
      <c r="A227" s="4"/>
      <c r="B227" s="1259" t="s">
        <v>0</v>
      </c>
      <c r="C227" s="1868" t="s">
        <v>1</v>
      </c>
      <c r="D227" s="1260" t="s">
        <v>5</v>
      </c>
      <c r="E227" s="1260" t="s">
        <v>152</v>
      </c>
      <c r="F227" s="1260" t="s">
        <v>2</v>
      </c>
      <c r="G227" s="1260" t="s">
        <v>302</v>
      </c>
      <c r="H227" s="1260" t="s">
        <v>116</v>
      </c>
      <c r="I227" s="1261" t="s">
        <v>117</v>
      </c>
    </row>
    <row r="228" spans="1:9" s="1828" customFormat="1" ht="18" outlineLevel="1" x14ac:dyDescent="0.25">
      <c r="B228" s="590" t="s">
        <v>1775</v>
      </c>
      <c r="C228" s="1914" t="s">
        <v>2648</v>
      </c>
      <c r="D228" s="1914" t="s">
        <v>1912</v>
      </c>
      <c r="E228" s="1836">
        <f>K_MEOL_AS</f>
        <v>0.5</v>
      </c>
      <c r="F228" s="593" t="s">
        <v>1181</v>
      </c>
      <c r="G228" s="592">
        <v>2</v>
      </c>
      <c r="H228" s="591" t="s">
        <v>1249</v>
      </c>
      <c r="I228" s="1837"/>
    </row>
    <row r="229" spans="1:9" s="1828" customFormat="1" ht="18" outlineLevel="1" x14ac:dyDescent="0.25">
      <c r="B229" s="594" t="s">
        <v>1775</v>
      </c>
      <c r="C229" s="1915" t="s">
        <v>2648</v>
      </c>
      <c r="D229" s="1915" t="s">
        <v>3684</v>
      </c>
      <c r="E229" s="1310">
        <f>K_MEOL_AS*f_KS_biofilm</f>
        <v>0.2</v>
      </c>
      <c r="F229" s="597" t="s">
        <v>1181</v>
      </c>
      <c r="G229" s="596">
        <v>2</v>
      </c>
      <c r="H229" s="595" t="s">
        <v>1176</v>
      </c>
      <c r="I229" s="1838" t="s">
        <v>3706</v>
      </c>
    </row>
    <row r="230" spans="1:9" s="1828" customFormat="1" ht="18.75" outlineLevel="1" x14ac:dyDescent="0.25">
      <c r="B230" s="594" t="s">
        <v>3720</v>
      </c>
      <c r="C230" s="1915" t="s">
        <v>3721</v>
      </c>
      <c r="D230" s="1915" t="s">
        <v>3713</v>
      </c>
      <c r="E230" s="1310">
        <f>K_iO2_MEOLO_AS</f>
        <v>0.05</v>
      </c>
      <c r="F230" s="597" t="s">
        <v>1180</v>
      </c>
      <c r="G230" s="596">
        <v>2</v>
      </c>
      <c r="H230" s="595" t="s">
        <v>1249</v>
      </c>
      <c r="I230" s="1838"/>
    </row>
    <row r="231" spans="1:9" s="1828" customFormat="1" ht="18.75" outlineLevel="1" x14ac:dyDescent="0.25">
      <c r="B231" s="594" t="s">
        <v>3720</v>
      </c>
      <c r="C231" s="1915" t="s">
        <v>3721</v>
      </c>
      <c r="D231" s="1915" t="s">
        <v>3722</v>
      </c>
      <c r="E231" s="598">
        <f>K_iO2_MEOLO_AS*f_KS_biofilm</f>
        <v>2.0000000000000004E-2</v>
      </c>
      <c r="F231" s="597" t="s">
        <v>1180</v>
      </c>
      <c r="G231" s="596">
        <v>3</v>
      </c>
      <c r="H231" s="595" t="s">
        <v>1176</v>
      </c>
      <c r="I231" s="1838" t="s">
        <v>3706</v>
      </c>
    </row>
    <row r="232" spans="1:9" s="1828" customFormat="1" ht="18" outlineLevel="1" x14ac:dyDescent="0.25">
      <c r="B232" s="594" t="s">
        <v>2285</v>
      </c>
      <c r="C232" s="1915" t="s">
        <v>2649</v>
      </c>
      <c r="D232" s="1915" t="s">
        <v>2286</v>
      </c>
      <c r="E232" s="1310">
        <f>K_NO2_MEOLO_AS</f>
        <v>0.02</v>
      </c>
      <c r="F232" s="597" t="s">
        <v>886</v>
      </c>
      <c r="G232" s="596">
        <v>2</v>
      </c>
      <c r="H232" s="595" t="s">
        <v>1249</v>
      </c>
      <c r="I232" s="1838"/>
    </row>
    <row r="233" spans="1:9" s="1828" customFormat="1" ht="18" outlineLevel="1" x14ac:dyDescent="0.25">
      <c r="B233" s="594" t="s">
        <v>2285</v>
      </c>
      <c r="C233" s="1915" t="s">
        <v>2649</v>
      </c>
      <c r="D233" s="1915" t="s">
        <v>3685</v>
      </c>
      <c r="E233" s="598">
        <f>K_NO2_MEOLO_AS*f_KS_biofilm</f>
        <v>8.0000000000000002E-3</v>
      </c>
      <c r="F233" s="597" t="s">
        <v>886</v>
      </c>
      <c r="G233" s="596">
        <v>3</v>
      </c>
      <c r="H233" s="595" t="s">
        <v>1176</v>
      </c>
      <c r="I233" s="1838" t="s">
        <v>3706</v>
      </c>
    </row>
    <row r="234" spans="1:9" s="1828" customFormat="1" ht="18" customHeight="1" outlineLevel="1" x14ac:dyDescent="0.25">
      <c r="B234" s="2553" t="s">
        <v>5172</v>
      </c>
      <c r="C234" s="2554" t="s">
        <v>5169</v>
      </c>
      <c r="D234" s="2555" t="s">
        <v>5168</v>
      </c>
      <c r="E234" s="2556">
        <f>K_MEOL_SNO2_AS</f>
        <v>150</v>
      </c>
      <c r="F234" s="593" t="s">
        <v>1181</v>
      </c>
      <c r="G234" s="592">
        <v>2</v>
      </c>
      <c r="H234" s="591" t="s">
        <v>1249</v>
      </c>
      <c r="I234" s="2557"/>
    </row>
    <row r="235" spans="1:9" s="1828" customFormat="1" ht="18" customHeight="1" outlineLevel="1" x14ac:dyDescent="0.25">
      <c r="B235" s="2553" t="s">
        <v>5172</v>
      </c>
      <c r="C235" s="2554" t="s">
        <v>5169</v>
      </c>
      <c r="D235" s="2555" t="s">
        <v>5173</v>
      </c>
      <c r="E235" s="2556">
        <f>K_MEOL_SNO2_AS*f_KS_biofilm</f>
        <v>60</v>
      </c>
      <c r="F235" s="2558" t="s">
        <v>1181</v>
      </c>
      <c r="G235" s="2554">
        <v>3</v>
      </c>
      <c r="H235" s="2559" t="s">
        <v>1176</v>
      </c>
      <c r="I235" s="2557" t="s">
        <v>3706</v>
      </c>
    </row>
    <row r="236" spans="1:9" s="1828" customFormat="1" ht="18" outlineLevel="1" x14ac:dyDescent="0.25">
      <c r="B236" s="594" t="s">
        <v>1776</v>
      </c>
      <c r="C236" s="1915" t="s">
        <v>2650</v>
      </c>
      <c r="D236" s="1915" t="s">
        <v>1913</v>
      </c>
      <c r="E236" s="1310">
        <f>K_NO3_MEOLO_AS</f>
        <v>0.05</v>
      </c>
      <c r="F236" s="597" t="s">
        <v>886</v>
      </c>
      <c r="G236" s="596">
        <v>2</v>
      </c>
      <c r="H236" s="595" t="s">
        <v>1249</v>
      </c>
      <c r="I236" s="1838"/>
    </row>
    <row r="237" spans="1:9" s="1828" customFormat="1" ht="18.75" outlineLevel="1" thickBot="1" x14ac:dyDescent="0.3">
      <c r="B237" s="599" t="s">
        <v>1776</v>
      </c>
      <c r="C237" s="1916" t="s">
        <v>2650</v>
      </c>
      <c r="D237" s="1916" t="s">
        <v>3686</v>
      </c>
      <c r="E237" s="1839">
        <f>K_NO3_MEOLO_AS*f_KS_biofilm</f>
        <v>2.0000000000000004E-2</v>
      </c>
      <c r="F237" s="602" t="s">
        <v>886</v>
      </c>
      <c r="G237" s="601">
        <v>3</v>
      </c>
      <c r="H237" s="600" t="s">
        <v>1176</v>
      </c>
      <c r="I237" s="1840" t="s">
        <v>3706</v>
      </c>
    </row>
    <row r="238" spans="1:9" s="2310" customFormat="1" ht="18" customHeight="1" thickBot="1" x14ac:dyDescent="0.3">
      <c r="A238" s="4"/>
      <c r="B238" s="4"/>
      <c r="C238" s="4"/>
      <c r="D238" s="4"/>
      <c r="E238" s="1798"/>
      <c r="F238" s="4"/>
      <c r="G238" s="4"/>
      <c r="H238" s="4"/>
      <c r="I238" s="4"/>
    </row>
    <row r="239" spans="1:9" s="2310" customFormat="1" ht="18" customHeight="1" thickBot="1" x14ac:dyDescent="0.3">
      <c r="A239" s="4"/>
      <c r="B239" s="131"/>
      <c r="C239" s="1258" t="s">
        <v>4052</v>
      </c>
      <c r="D239" s="14" t="s">
        <v>303</v>
      </c>
      <c r="E239" s="14"/>
      <c r="F239" s="131"/>
      <c r="G239" s="131"/>
      <c r="H239" s="131"/>
      <c r="I239" s="131"/>
    </row>
    <row r="240" spans="1:9" s="2310" customFormat="1" ht="18" customHeight="1" thickBot="1" x14ac:dyDescent="0.3">
      <c r="A240" s="4"/>
      <c r="B240" s="1259" t="s">
        <v>0</v>
      </c>
      <c r="C240" s="1868" t="s">
        <v>1</v>
      </c>
      <c r="D240" s="1260" t="s">
        <v>5</v>
      </c>
      <c r="E240" s="1260" t="s">
        <v>152</v>
      </c>
      <c r="F240" s="1260" t="s">
        <v>2</v>
      </c>
      <c r="G240" s="1260" t="s">
        <v>302</v>
      </c>
      <c r="H240" s="1260" t="s">
        <v>116</v>
      </c>
      <c r="I240" s="1261" t="s">
        <v>117</v>
      </c>
    </row>
    <row r="241" spans="2:9" s="1828" customFormat="1" ht="18" outlineLevel="1" x14ac:dyDescent="0.25">
      <c r="B241" s="1155" t="s">
        <v>4045</v>
      </c>
      <c r="C241" s="1917" t="s">
        <v>4036</v>
      </c>
      <c r="D241" s="1917" t="s">
        <v>4037</v>
      </c>
      <c r="E241" s="1157">
        <f>K_O2_CASTO_AS</f>
        <v>0.05</v>
      </c>
      <c r="F241" s="1157" t="s">
        <v>1180</v>
      </c>
      <c r="G241" s="1156">
        <v>2</v>
      </c>
      <c r="H241" s="1157" t="s">
        <v>1249</v>
      </c>
      <c r="I241" s="1841"/>
    </row>
    <row r="242" spans="2:9" s="1828" customFormat="1" ht="18" outlineLevel="1" x14ac:dyDescent="0.25">
      <c r="B242" s="1158" t="s">
        <v>4045</v>
      </c>
      <c r="C242" s="1918" t="s">
        <v>4036</v>
      </c>
      <c r="D242" s="1918" t="s">
        <v>4038</v>
      </c>
      <c r="E242" s="1160">
        <f>K_O2_CASTO_AS*f_KS_biofilm</f>
        <v>2.0000000000000004E-2</v>
      </c>
      <c r="F242" s="1160" t="s">
        <v>1180</v>
      </c>
      <c r="G242" s="1159">
        <v>3</v>
      </c>
      <c r="H242" s="1160" t="s">
        <v>1176</v>
      </c>
      <c r="I242" s="1305" t="s">
        <v>3706</v>
      </c>
    </row>
    <row r="243" spans="2:9" s="1828" customFormat="1" ht="18" outlineLevel="1" x14ac:dyDescent="0.25">
      <c r="B243" s="1158" t="s">
        <v>4046</v>
      </c>
      <c r="C243" s="1918" t="s">
        <v>4039</v>
      </c>
      <c r="D243" s="1918" t="s">
        <v>4040</v>
      </c>
      <c r="E243" s="1160">
        <f>K_NO2_CASTO_AS</f>
        <v>0.05</v>
      </c>
      <c r="F243" s="1160" t="s">
        <v>886</v>
      </c>
      <c r="G243" s="1159">
        <v>2</v>
      </c>
      <c r="H243" s="1160" t="s">
        <v>1249</v>
      </c>
      <c r="I243" s="1305"/>
    </row>
    <row r="244" spans="2:9" s="1828" customFormat="1" ht="18" outlineLevel="1" x14ac:dyDescent="0.25">
      <c r="B244" s="1158" t="s">
        <v>4046</v>
      </c>
      <c r="C244" s="1918" t="s">
        <v>4039</v>
      </c>
      <c r="D244" s="1918" t="s">
        <v>4041</v>
      </c>
      <c r="E244" s="1160">
        <f>K_NO2_CASTO_AS*f_KS_biofilm</f>
        <v>2.0000000000000004E-2</v>
      </c>
      <c r="F244" s="1160" t="s">
        <v>886</v>
      </c>
      <c r="G244" s="1159">
        <v>3</v>
      </c>
      <c r="H244" s="1160" t="s">
        <v>1176</v>
      </c>
      <c r="I244" s="1305" t="s">
        <v>3706</v>
      </c>
    </row>
    <row r="245" spans="2:9" s="1828" customFormat="1" ht="18" outlineLevel="1" x14ac:dyDescent="0.25">
      <c r="B245" s="1158" t="s">
        <v>4047</v>
      </c>
      <c r="C245" s="1918" t="s">
        <v>4042</v>
      </c>
      <c r="D245" s="1918" t="s">
        <v>4043</v>
      </c>
      <c r="E245" s="1160">
        <f>K_NO3_CASTO_AS</f>
        <v>0.1</v>
      </c>
      <c r="F245" s="1160" t="s">
        <v>886</v>
      </c>
      <c r="G245" s="1159">
        <v>2</v>
      </c>
      <c r="H245" s="1160" t="s">
        <v>1249</v>
      </c>
      <c r="I245" s="1305"/>
    </row>
    <row r="246" spans="2:9" s="1828" customFormat="1" ht="18" outlineLevel="1" x14ac:dyDescent="0.25">
      <c r="B246" s="1158" t="s">
        <v>4047</v>
      </c>
      <c r="C246" s="1918" t="s">
        <v>4042</v>
      </c>
      <c r="D246" s="1918" t="s">
        <v>4044</v>
      </c>
      <c r="E246" s="1160">
        <f>K_NO3_CASTO_AS*f_KS_biofilm</f>
        <v>4.0000000000000008E-2</v>
      </c>
      <c r="F246" s="1160" t="s">
        <v>886</v>
      </c>
      <c r="G246" s="1159">
        <v>2</v>
      </c>
      <c r="H246" s="1160" t="s">
        <v>1176</v>
      </c>
      <c r="I246" s="1305" t="s">
        <v>3706</v>
      </c>
    </row>
    <row r="247" spans="2:9" s="1828" customFormat="1" ht="18" outlineLevel="1" x14ac:dyDescent="0.25">
      <c r="B247" s="1158" t="s">
        <v>4051</v>
      </c>
      <c r="C247" s="1918" t="s">
        <v>4048</v>
      </c>
      <c r="D247" s="1918" t="s">
        <v>4049</v>
      </c>
      <c r="E247" s="1280">
        <f>K_VFA_CASTO_AS</f>
        <v>5</v>
      </c>
      <c r="F247" s="1160" t="s">
        <v>1181</v>
      </c>
      <c r="G247" s="1159">
        <v>2</v>
      </c>
      <c r="H247" s="1160" t="s">
        <v>1249</v>
      </c>
      <c r="I247" s="1305"/>
    </row>
    <row r="248" spans="2:9" s="1828" customFormat="1" ht="18" outlineLevel="1" x14ac:dyDescent="0.25">
      <c r="B248" s="1158" t="s">
        <v>4051</v>
      </c>
      <c r="C248" s="1918" t="s">
        <v>4048</v>
      </c>
      <c r="D248" s="1918" t="s">
        <v>4050</v>
      </c>
      <c r="E248" s="1462">
        <f>K_VFA_CASTO_AS*f_KS_biofilm</f>
        <v>2</v>
      </c>
      <c r="F248" s="1160" t="s">
        <v>1181</v>
      </c>
      <c r="G248" s="1159">
        <v>2</v>
      </c>
      <c r="H248" s="1160" t="s">
        <v>1176</v>
      </c>
      <c r="I248" s="1305" t="s">
        <v>3706</v>
      </c>
    </row>
    <row r="249" spans="2:9" s="1828" customFormat="1" ht="18" outlineLevel="1" x14ac:dyDescent="0.25">
      <c r="B249" s="579" t="s">
        <v>1182</v>
      </c>
      <c r="C249" s="1918" t="s">
        <v>2652</v>
      </c>
      <c r="D249" s="1918" t="s">
        <v>1914</v>
      </c>
      <c r="E249" s="1462">
        <f>K_PO4_PAO_AS</f>
        <v>0.15</v>
      </c>
      <c r="F249" s="1160" t="s">
        <v>888</v>
      </c>
      <c r="G249" s="1159">
        <v>2</v>
      </c>
      <c r="H249" s="1160" t="s">
        <v>1249</v>
      </c>
      <c r="I249" s="1305"/>
    </row>
    <row r="250" spans="2:9" s="1828" customFormat="1" ht="18" outlineLevel="1" x14ac:dyDescent="0.25">
      <c r="B250" s="579" t="s">
        <v>1182</v>
      </c>
      <c r="C250" s="1918" t="s">
        <v>2652</v>
      </c>
      <c r="D250" s="1918" t="s">
        <v>3687</v>
      </c>
      <c r="E250" s="1842">
        <f>K_PO4_PAO_AS*f_KS_biofilm</f>
        <v>0.06</v>
      </c>
      <c r="F250" s="1160" t="s">
        <v>888</v>
      </c>
      <c r="G250" s="1159">
        <v>3</v>
      </c>
      <c r="H250" s="1160" t="s">
        <v>1176</v>
      </c>
      <c r="I250" s="1305" t="s">
        <v>3706</v>
      </c>
    </row>
    <row r="251" spans="2:9" s="1828" customFormat="1" ht="18" outlineLevel="1" x14ac:dyDescent="0.25">
      <c r="B251" s="579" t="s">
        <v>1624</v>
      </c>
      <c r="C251" s="1202" t="s">
        <v>2653</v>
      </c>
      <c r="D251" s="1202" t="s">
        <v>1915</v>
      </c>
      <c r="E251" s="1160">
        <f>K_Mg_PAO_AS</f>
        <v>1E-3</v>
      </c>
      <c r="F251" s="1160" t="s">
        <v>1621</v>
      </c>
      <c r="G251" s="1159">
        <v>3</v>
      </c>
      <c r="H251" s="1160" t="s">
        <v>1249</v>
      </c>
      <c r="I251" s="1305"/>
    </row>
    <row r="252" spans="2:9" s="1828" customFormat="1" ht="18" outlineLevel="1" x14ac:dyDescent="0.25">
      <c r="B252" s="579" t="s">
        <v>1624</v>
      </c>
      <c r="C252" s="1202" t="s">
        <v>2653</v>
      </c>
      <c r="D252" s="1202" t="s">
        <v>3688</v>
      </c>
      <c r="E252" s="1160">
        <f>K_Mg_PAO_AS*f_KS_biofilm</f>
        <v>4.0000000000000002E-4</v>
      </c>
      <c r="F252" s="1160" t="s">
        <v>1621</v>
      </c>
      <c r="G252" s="1159">
        <v>4</v>
      </c>
      <c r="H252" s="1160" t="s">
        <v>1176</v>
      </c>
      <c r="I252" s="1305" t="s">
        <v>3706</v>
      </c>
    </row>
    <row r="253" spans="2:9" s="1828" customFormat="1" ht="18" outlineLevel="1" x14ac:dyDescent="0.25">
      <c r="B253" s="579" t="s">
        <v>1625</v>
      </c>
      <c r="C253" s="1202" t="s">
        <v>2654</v>
      </c>
      <c r="D253" s="1202" t="s">
        <v>1916</v>
      </c>
      <c r="E253" s="1160">
        <f>K_K_PAO_AS</f>
        <v>1E-3</v>
      </c>
      <c r="F253" s="1160" t="s">
        <v>1622</v>
      </c>
      <c r="G253" s="1159">
        <v>3</v>
      </c>
      <c r="H253" s="1160" t="s">
        <v>1249</v>
      </c>
      <c r="I253" s="1305"/>
    </row>
    <row r="254" spans="2:9" s="1828" customFormat="1" ht="18" outlineLevel="1" x14ac:dyDescent="0.25">
      <c r="B254" s="579" t="s">
        <v>1625</v>
      </c>
      <c r="C254" s="1202" t="s">
        <v>2654</v>
      </c>
      <c r="D254" s="1202" t="s">
        <v>3689</v>
      </c>
      <c r="E254" s="1160">
        <f>K_K_PAO_AS*f_KS_biofilm</f>
        <v>4.0000000000000002E-4</v>
      </c>
      <c r="F254" s="1160" t="s">
        <v>1622</v>
      </c>
      <c r="G254" s="1159">
        <v>4</v>
      </c>
      <c r="H254" s="1160" t="s">
        <v>1176</v>
      </c>
      <c r="I254" s="1305" t="s">
        <v>3706</v>
      </c>
    </row>
    <row r="255" spans="2:9" s="1828" customFormat="1" ht="18" outlineLevel="1" x14ac:dyDescent="0.25">
      <c r="B255" s="579" t="s">
        <v>1626</v>
      </c>
      <c r="C255" s="1202" t="s">
        <v>2655</v>
      </c>
      <c r="D255" s="1202" t="s">
        <v>1917</v>
      </c>
      <c r="E255" s="1160">
        <f>K_Ca_PAO_AS</f>
        <v>1E-3</v>
      </c>
      <c r="F255" s="1160" t="s">
        <v>1623</v>
      </c>
      <c r="G255" s="1159">
        <v>3</v>
      </c>
      <c r="H255" s="1160" t="s">
        <v>1249</v>
      </c>
      <c r="I255" s="1305"/>
    </row>
    <row r="256" spans="2:9" s="1828" customFormat="1" ht="17.25" customHeight="1" outlineLevel="1" x14ac:dyDescent="0.25">
      <c r="B256" s="579" t="s">
        <v>1626</v>
      </c>
      <c r="C256" s="1202" t="s">
        <v>2655</v>
      </c>
      <c r="D256" s="1202" t="s">
        <v>3690</v>
      </c>
      <c r="E256" s="1160">
        <f>K_Ca_PAO_AS*f_KS_biofilm</f>
        <v>4.0000000000000002E-4</v>
      </c>
      <c r="F256" s="1160" t="s">
        <v>1623</v>
      </c>
      <c r="G256" s="1159">
        <v>4</v>
      </c>
      <c r="H256" s="1160" t="s">
        <v>1176</v>
      </c>
      <c r="I256" s="1305" t="s">
        <v>3706</v>
      </c>
    </row>
    <row r="257" spans="1:9" s="1828" customFormat="1" ht="18" outlineLevel="1" x14ac:dyDescent="0.25">
      <c r="B257" s="579" t="s">
        <v>2659</v>
      </c>
      <c r="C257" s="1918" t="s">
        <v>2656</v>
      </c>
      <c r="D257" s="1918" t="s">
        <v>2450</v>
      </c>
      <c r="E257" s="1160">
        <f>K_iPO4_lim_AS</f>
        <v>5.0000000000000001E-3</v>
      </c>
      <c r="F257" s="1160" t="s">
        <v>888</v>
      </c>
      <c r="G257" s="1159">
        <v>3</v>
      </c>
      <c r="H257" s="1160" t="s">
        <v>1249</v>
      </c>
      <c r="I257" s="1305"/>
    </row>
    <row r="258" spans="1:9" s="1828" customFormat="1" ht="18.75" outlineLevel="1" thickBot="1" x14ac:dyDescent="0.3">
      <c r="B258" s="286" t="s">
        <v>2659</v>
      </c>
      <c r="C258" s="1919" t="s">
        <v>2656</v>
      </c>
      <c r="D258" s="1919" t="s">
        <v>3691</v>
      </c>
      <c r="E258" s="1162">
        <f>K_iPO4_lim_AS*f_KS_biofilm</f>
        <v>2E-3</v>
      </c>
      <c r="F258" s="1162" t="s">
        <v>888</v>
      </c>
      <c r="G258" s="1161">
        <v>4</v>
      </c>
      <c r="H258" s="1162" t="s">
        <v>1176</v>
      </c>
      <c r="I258" s="582" t="s">
        <v>3706</v>
      </c>
    </row>
    <row r="259" spans="1:9" s="2310" customFormat="1" ht="18" customHeight="1" thickBot="1" x14ac:dyDescent="0.3">
      <c r="A259" s="4"/>
      <c r="B259" s="4"/>
      <c r="C259" s="4"/>
      <c r="D259" s="4"/>
      <c r="E259" s="1798"/>
      <c r="F259" s="4"/>
      <c r="G259" s="4"/>
      <c r="H259" s="4"/>
      <c r="I259" s="4"/>
    </row>
    <row r="260" spans="1:9" s="2310" customFormat="1" ht="18" customHeight="1" thickBot="1" x14ac:dyDescent="0.3">
      <c r="A260" s="4"/>
      <c r="B260" s="131"/>
      <c r="C260" s="1258" t="s">
        <v>2660</v>
      </c>
      <c r="D260" s="14" t="s">
        <v>303</v>
      </c>
      <c r="E260" s="14"/>
      <c r="F260" s="131"/>
      <c r="G260" s="131"/>
      <c r="H260" s="131"/>
      <c r="I260" s="131"/>
    </row>
    <row r="261" spans="1:9" s="2310" customFormat="1" ht="18" customHeight="1" thickBot="1" x14ac:dyDescent="0.3">
      <c r="A261" s="4"/>
      <c r="B261" s="1259" t="s">
        <v>0</v>
      </c>
      <c r="C261" s="1868" t="s">
        <v>1</v>
      </c>
      <c r="D261" s="1260" t="s">
        <v>5</v>
      </c>
      <c r="E261" s="1260" t="s">
        <v>152</v>
      </c>
      <c r="F261" s="1260" t="s">
        <v>2</v>
      </c>
      <c r="G261" s="1260" t="s">
        <v>302</v>
      </c>
      <c r="H261" s="1260" t="s">
        <v>116</v>
      </c>
      <c r="I261" s="1261" t="s">
        <v>117</v>
      </c>
    </row>
    <row r="262" spans="1:9" s="1828" customFormat="1" ht="18" outlineLevel="1" x14ac:dyDescent="0.25">
      <c r="B262" s="1130" t="s">
        <v>1778</v>
      </c>
      <c r="C262" s="1920" t="s">
        <v>2662</v>
      </c>
      <c r="D262" s="1920" t="s">
        <v>1918</v>
      </c>
      <c r="E262" s="1843">
        <f>K_VFA_AMETO_AS</f>
        <v>400</v>
      </c>
      <c r="F262" s="1132" t="s">
        <v>1181</v>
      </c>
      <c r="G262" s="1131">
        <v>1</v>
      </c>
      <c r="H262" s="1133" t="s">
        <v>1249</v>
      </c>
      <c r="I262" s="1844"/>
    </row>
    <row r="263" spans="1:9" s="1828" customFormat="1" ht="18" outlineLevel="1" x14ac:dyDescent="0.25">
      <c r="B263" s="607" t="s">
        <v>1778</v>
      </c>
      <c r="C263" s="1921" t="s">
        <v>2662</v>
      </c>
      <c r="D263" s="1921" t="s">
        <v>3692</v>
      </c>
      <c r="E263" s="1845">
        <f>K_VFA_AMETO_AS*f_KS_biofilm</f>
        <v>160</v>
      </c>
      <c r="F263" s="1135" t="s">
        <v>1181</v>
      </c>
      <c r="G263" s="1134">
        <v>1</v>
      </c>
      <c r="H263" s="1136" t="s">
        <v>1176</v>
      </c>
      <c r="I263" s="1846" t="s">
        <v>3706</v>
      </c>
    </row>
    <row r="264" spans="1:9" s="1828" customFormat="1" ht="18" outlineLevel="1" x14ac:dyDescent="0.25">
      <c r="B264" s="607" t="s">
        <v>2665</v>
      </c>
      <c r="C264" s="1921" t="s">
        <v>2663</v>
      </c>
      <c r="D264" s="1921" t="s">
        <v>2485</v>
      </c>
      <c r="E264" s="1847">
        <f>K_iVFA_AMETO_AS</f>
        <v>99999</v>
      </c>
      <c r="F264" s="1135" t="s">
        <v>1181</v>
      </c>
      <c r="G264" s="1134">
        <v>1</v>
      </c>
      <c r="H264" s="1136" t="s">
        <v>1249</v>
      </c>
      <c r="I264" s="1846"/>
    </row>
    <row r="265" spans="1:9" s="1828" customFormat="1" ht="18" outlineLevel="1" x14ac:dyDescent="0.25">
      <c r="B265" s="607" t="s">
        <v>2665</v>
      </c>
      <c r="C265" s="1921" t="s">
        <v>2663</v>
      </c>
      <c r="D265" s="1921" t="s">
        <v>3693</v>
      </c>
      <c r="E265" s="1847">
        <f>K_iVFA_AMETO_AS*f_KS_biofilm</f>
        <v>39999.600000000006</v>
      </c>
      <c r="F265" s="1135" t="s">
        <v>1181</v>
      </c>
      <c r="G265" s="1134">
        <v>1</v>
      </c>
      <c r="H265" s="1136" t="s">
        <v>1176</v>
      </c>
      <c r="I265" s="1846" t="s">
        <v>3706</v>
      </c>
    </row>
    <row r="266" spans="1:9" s="1828" customFormat="1" ht="18" outlineLevel="1" x14ac:dyDescent="0.25">
      <c r="B266" s="607" t="s">
        <v>4544</v>
      </c>
      <c r="C266" s="1921" t="s">
        <v>4546</v>
      </c>
      <c r="D266" s="1921" t="s">
        <v>4538</v>
      </c>
      <c r="E266" s="1847">
        <f>K_iNH3_AMETO_pH_AS</f>
        <v>0.999</v>
      </c>
      <c r="F266" s="1136" t="s">
        <v>387</v>
      </c>
      <c r="G266" s="1134">
        <v>3</v>
      </c>
      <c r="H266" s="1136" t="s">
        <v>1249</v>
      </c>
      <c r="I266" s="1846"/>
    </row>
    <row r="267" spans="1:9" s="1828" customFormat="1" ht="18" outlineLevel="1" x14ac:dyDescent="0.25">
      <c r="B267" s="607" t="s">
        <v>4544</v>
      </c>
      <c r="C267" s="1921" t="s">
        <v>4546</v>
      </c>
      <c r="D267" s="1921" t="s">
        <v>4545</v>
      </c>
      <c r="E267" s="1847">
        <f>K_iNH3_AMETO_pH_AS*f_KS_biofilm</f>
        <v>0.39960000000000001</v>
      </c>
      <c r="F267" s="1136" t="s">
        <v>387</v>
      </c>
      <c r="G267" s="1134">
        <v>3</v>
      </c>
      <c r="H267" s="1136" t="s">
        <v>1176</v>
      </c>
      <c r="I267" s="1846" t="s">
        <v>3706</v>
      </c>
    </row>
    <row r="268" spans="1:9" s="1828" customFormat="1" ht="18.75" outlineLevel="1" x14ac:dyDescent="0.25">
      <c r="B268" s="607" t="s">
        <v>3723</v>
      </c>
      <c r="C268" s="1921" t="s">
        <v>3724</v>
      </c>
      <c r="D268" s="1921" t="s">
        <v>3715</v>
      </c>
      <c r="E268" s="1136">
        <f>K_iO2_AMETO_AS</f>
        <v>0.05</v>
      </c>
      <c r="F268" s="1135" t="s">
        <v>1180</v>
      </c>
      <c r="G268" s="1134">
        <v>2</v>
      </c>
      <c r="H268" s="1136" t="s">
        <v>1249</v>
      </c>
      <c r="I268" s="1846"/>
    </row>
    <row r="269" spans="1:9" s="1828" customFormat="1" ht="18.75" outlineLevel="1" x14ac:dyDescent="0.25">
      <c r="B269" s="607" t="s">
        <v>3723</v>
      </c>
      <c r="C269" s="1921" t="s">
        <v>3724</v>
      </c>
      <c r="D269" s="1921" t="s">
        <v>3725</v>
      </c>
      <c r="E269" s="1136">
        <f>K_iO2_AMETO_AS*f_KS_biofilm</f>
        <v>2.0000000000000004E-2</v>
      </c>
      <c r="F269" s="1135" t="s">
        <v>1180</v>
      </c>
      <c r="G269" s="1134">
        <v>3</v>
      </c>
      <c r="H269" s="1136" t="s">
        <v>1176</v>
      </c>
      <c r="I269" s="1846" t="s">
        <v>3706</v>
      </c>
    </row>
    <row r="270" spans="1:9" s="1828" customFormat="1" ht="18" outlineLevel="1" x14ac:dyDescent="0.25">
      <c r="B270" s="607" t="s">
        <v>2348</v>
      </c>
      <c r="C270" s="1921" t="s">
        <v>2664</v>
      </c>
      <c r="D270" s="1921" t="s">
        <v>2346</v>
      </c>
      <c r="E270" s="1136">
        <f>K_NOx_AMETO_AS</f>
        <v>0.05</v>
      </c>
      <c r="F270" s="1135" t="s">
        <v>886</v>
      </c>
      <c r="G270" s="1134">
        <v>2</v>
      </c>
      <c r="H270" s="1136" t="s">
        <v>1249</v>
      </c>
      <c r="I270" s="1846"/>
    </row>
    <row r="271" spans="1:9" s="1828" customFormat="1" ht="18.75" outlineLevel="1" thickBot="1" x14ac:dyDescent="0.3">
      <c r="B271" s="296" t="s">
        <v>2348</v>
      </c>
      <c r="C271" s="1922" t="s">
        <v>2664</v>
      </c>
      <c r="D271" s="1922" t="s">
        <v>3694</v>
      </c>
      <c r="E271" s="1138">
        <f>K_NOx_AMETO_AS*f_KS_biofilm</f>
        <v>2.0000000000000004E-2</v>
      </c>
      <c r="F271" s="1139" t="s">
        <v>886</v>
      </c>
      <c r="G271" s="1137">
        <v>3</v>
      </c>
      <c r="H271" s="1138" t="s">
        <v>1176</v>
      </c>
      <c r="I271" s="253" t="s">
        <v>3706</v>
      </c>
    </row>
    <row r="272" spans="1:9" s="2310" customFormat="1" ht="18" customHeight="1" thickBot="1" x14ac:dyDescent="0.3">
      <c r="A272" s="4"/>
      <c r="B272" s="4"/>
      <c r="C272" s="4"/>
      <c r="D272" s="4"/>
      <c r="E272" s="1798"/>
      <c r="F272" s="4"/>
      <c r="G272" s="4"/>
      <c r="H272" s="4"/>
      <c r="I272" s="4"/>
    </row>
    <row r="273" spans="1:9" s="2310" customFormat="1" ht="18" customHeight="1" thickBot="1" x14ac:dyDescent="0.3">
      <c r="A273" s="4"/>
      <c r="B273" s="131"/>
      <c r="C273" s="1258" t="s">
        <v>2661</v>
      </c>
      <c r="D273" s="14" t="s">
        <v>303</v>
      </c>
      <c r="E273" s="14"/>
      <c r="F273" s="131"/>
      <c r="G273" s="131"/>
      <c r="H273" s="131"/>
      <c r="I273" s="131"/>
    </row>
    <row r="274" spans="1:9" s="2310" customFormat="1" ht="18" customHeight="1" thickBot="1" x14ac:dyDescent="0.3">
      <c r="A274" s="4"/>
      <c r="B274" s="1259" t="s">
        <v>0</v>
      </c>
      <c r="C274" s="1868" t="s">
        <v>1</v>
      </c>
      <c r="D274" s="1260" t="s">
        <v>5</v>
      </c>
      <c r="E274" s="1260" t="s">
        <v>152</v>
      </c>
      <c r="F274" s="1260" t="s">
        <v>2</v>
      </c>
      <c r="G274" s="1260" t="s">
        <v>302</v>
      </c>
      <c r="H274" s="1260" t="s">
        <v>116</v>
      </c>
      <c r="I274" s="1261" t="s">
        <v>117</v>
      </c>
    </row>
    <row r="275" spans="1:9" s="1828" customFormat="1" ht="18" outlineLevel="1" x14ac:dyDescent="0.25">
      <c r="B275" s="295" t="s">
        <v>1779</v>
      </c>
      <c r="C275" s="1923" t="s">
        <v>2666</v>
      </c>
      <c r="D275" s="1924" t="s">
        <v>1926</v>
      </c>
      <c r="E275" s="1848">
        <f>K_H2_HMETO_AS</f>
        <v>0.1</v>
      </c>
      <c r="F275" s="428" t="s">
        <v>1181</v>
      </c>
      <c r="G275" s="427">
        <v>2</v>
      </c>
      <c r="H275" s="294" t="s">
        <v>1249</v>
      </c>
      <c r="I275" s="1849"/>
    </row>
    <row r="276" spans="1:9" s="1828" customFormat="1" ht="18" outlineLevel="1" x14ac:dyDescent="0.25">
      <c r="B276" s="295" t="s">
        <v>1779</v>
      </c>
      <c r="C276" s="1923" t="s">
        <v>2666</v>
      </c>
      <c r="D276" s="1924" t="s">
        <v>3695</v>
      </c>
      <c r="E276" s="1319">
        <f>K_H2_HMETO_AS*f_KS_biofilm</f>
        <v>4.0000000000000008E-2</v>
      </c>
      <c r="F276" s="404" t="s">
        <v>1181</v>
      </c>
      <c r="G276" s="424">
        <v>2</v>
      </c>
      <c r="H276" s="176" t="s">
        <v>1176</v>
      </c>
      <c r="I276" s="252" t="s">
        <v>3706</v>
      </c>
    </row>
    <row r="277" spans="1:9" s="1828" customFormat="1" ht="18.75" outlineLevel="1" x14ac:dyDescent="0.25">
      <c r="B277" s="293" t="s">
        <v>3726</v>
      </c>
      <c r="C277" s="1925" t="s">
        <v>3727</v>
      </c>
      <c r="D277" s="1926" t="s">
        <v>3728</v>
      </c>
      <c r="E277" s="1319">
        <f>K_iO2_HMETO_AS</f>
        <v>0.05</v>
      </c>
      <c r="F277" s="404" t="s">
        <v>1180</v>
      </c>
      <c r="G277" s="424">
        <v>2</v>
      </c>
      <c r="H277" s="176" t="s">
        <v>1249</v>
      </c>
      <c r="I277" s="252"/>
    </row>
    <row r="278" spans="1:9" s="1828" customFormat="1" ht="18.75" outlineLevel="1" x14ac:dyDescent="0.25">
      <c r="B278" s="293" t="s">
        <v>3726</v>
      </c>
      <c r="C278" s="1925" t="s">
        <v>3727</v>
      </c>
      <c r="D278" s="1926" t="s">
        <v>3729</v>
      </c>
      <c r="E278" s="429">
        <f>K_iO2_HMETO_AS*f_KS_biofilm</f>
        <v>2.0000000000000004E-2</v>
      </c>
      <c r="F278" s="404" t="s">
        <v>1180</v>
      </c>
      <c r="G278" s="424">
        <v>3</v>
      </c>
      <c r="H278" s="176" t="s">
        <v>1176</v>
      </c>
      <c r="I278" s="252" t="s">
        <v>3706</v>
      </c>
    </row>
    <row r="279" spans="1:9" s="1828" customFormat="1" ht="18" outlineLevel="1" x14ac:dyDescent="0.25">
      <c r="B279" s="293" t="s">
        <v>2349</v>
      </c>
      <c r="C279" s="1925" t="s">
        <v>2667</v>
      </c>
      <c r="D279" s="1926" t="s">
        <v>2350</v>
      </c>
      <c r="E279" s="1319">
        <f>K_NOx_HMETO_AS</f>
        <v>0.05</v>
      </c>
      <c r="F279" s="404" t="s">
        <v>886</v>
      </c>
      <c r="G279" s="424">
        <v>2</v>
      </c>
      <c r="H279" s="176" t="s">
        <v>1249</v>
      </c>
      <c r="I279" s="252"/>
    </row>
    <row r="280" spans="1:9" s="1828" customFormat="1" ht="18.75" outlineLevel="1" thickBot="1" x14ac:dyDescent="0.3">
      <c r="B280" s="296" t="s">
        <v>2349</v>
      </c>
      <c r="C280" s="1927" t="s">
        <v>2667</v>
      </c>
      <c r="D280" s="1927" t="s">
        <v>3696</v>
      </c>
      <c r="E280" s="1850">
        <f>K_NOx_HMETO_AS*f_KS_biofilm</f>
        <v>2.0000000000000004E-2</v>
      </c>
      <c r="F280" s="425" t="s">
        <v>886</v>
      </c>
      <c r="G280" s="426">
        <v>3</v>
      </c>
      <c r="H280" s="178" t="s">
        <v>1176</v>
      </c>
      <c r="I280" s="253" t="s">
        <v>3706</v>
      </c>
    </row>
    <row r="281" spans="1:9" s="2310" customFormat="1" ht="18" customHeight="1" thickBot="1" x14ac:dyDescent="0.3">
      <c r="A281" s="4"/>
      <c r="B281" s="4"/>
      <c r="C281" s="4"/>
      <c r="D281" s="4"/>
      <c r="E281" s="1798"/>
      <c r="F281" s="4"/>
      <c r="G281" s="4"/>
      <c r="H281" s="4"/>
      <c r="I281" s="4"/>
    </row>
    <row r="282" spans="1:9" s="2310" customFormat="1" ht="18" customHeight="1" thickBot="1" x14ac:dyDescent="0.3">
      <c r="A282" s="4"/>
      <c r="B282" s="131"/>
      <c r="C282" s="1258" t="s">
        <v>2896</v>
      </c>
      <c r="D282" s="14" t="s">
        <v>303</v>
      </c>
      <c r="E282" s="14"/>
      <c r="F282" s="131"/>
      <c r="G282" s="131"/>
      <c r="H282" s="131"/>
      <c r="I282" s="131"/>
    </row>
    <row r="283" spans="1:9" s="2310" customFormat="1" ht="18" customHeight="1" thickBot="1" x14ac:dyDescent="0.3">
      <c r="A283" s="4"/>
      <c r="B283" s="1259" t="s">
        <v>0</v>
      </c>
      <c r="C283" s="1868" t="s">
        <v>1</v>
      </c>
      <c r="D283" s="1260" t="s">
        <v>5</v>
      </c>
      <c r="E283" s="1260" t="s">
        <v>152</v>
      </c>
      <c r="F283" s="1260" t="s">
        <v>2</v>
      </c>
      <c r="G283" s="1260" t="s">
        <v>302</v>
      </c>
      <c r="H283" s="1260" t="s">
        <v>116</v>
      </c>
      <c r="I283" s="1261" t="s">
        <v>117</v>
      </c>
    </row>
    <row r="284" spans="1:9" s="1828" customFormat="1" ht="18" outlineLevel="1" x14ac:dyDescent="0.25">
      <c r="B284" s="914" t="s">
        <v>885</v>
      </c>
      <c r="C284" s="980" t="s">
        <v>2670</v>
      </c>
      <c r="D284" s="980" t="s">
        <v>1920</v>
      </c>
      <c r="E284" s="773">
        <f>K_NHx_BIO_AS</f>
        <v>5.0000000000000001E-3</v>
      </c>
      <c r="F284" s="980" t="s">
        <v>886</v>
      </c>
      <c r="G284" s="1140">
        <v>3</v>
      </c>
      <c r="H284" s="773" t="s">
        <v>1249</v>
      </c>
      <c r="I284" s="1704"/>
    </row>
    <row r="285" spans="1:9" s="1828" customFormat="1" ht="18" outlineLevel="1" x14ac:dyDescent="0.25">
      <c r="B285" s="555" t="s">
        <v>885</v>
      </c>
      <c r="C285" s="1141" t="s">
        <v>2670</v>
      </c>
      <c r="D285" s="1141" t="s">
        <v>3697</v>
      </c>
      <c r="E285" s="1143">
        <f>K_NHx_BIO_AS*f_KS_biofilm</f>
        <v>2E-3</v>
      </c>
      <c r="F285" s="1141" t="s">
        <v>886</v>
      </c>
      <c r="G285" s="1142">
        <v>4</v>
      </c>
      <c r="H285" s="1143" t="s">
        <v>1176</v>
      </c>
      <c r="I285" s="1165" t="s">
        <v>3706</v>
      </c>
    </row>
    <row r="286" spans="1:9" s="1828" customFormat="1" ht="18" outlineLevel="1" x14ac:dyDescent="0.25">
      <c r="B286" s="555" t="s">
        <v>887</v>
      </c>
      <c r="C286" s="1141" t="s">
        <v>2671</v>
      </c>
      <c r="D286" s="1141" t="s">
        <v>1921</v>
      </c>
      <c r="E286" s="1143">
        <f>K_PO4_BIO_AS</f>
        <v>2E-3</v>
      </c>
      <c r="F286" s="1141" t="s">
        <v>888</v>
      </c>
      <c r="G286" s="1142">
        <v>3</v>
      </c>
      <c r="H286" s="1143" t="s">
        <v>1249</v>
      </c>
      <c r="I286" s="1165"/>
    </row>
    <row r="287" spans="1:9" s="1828" customFormat="1" ht="18" outlineLevel="1" x14ac:dyDescent="0.25">
      <c r="B287" s="555" t="s">
        <v>887</v>
      </c>
      <c r="C287" s="1141" t="s">
        <v>2671</v>
      </c>
      <c r="D287" s="1141" t="s">
        <v>3698</v>
      </c>
      <c r="E287" s="1143">
        <f>K_PO4_BIO_AS*f_KS_biofilm</f>
        <v>8.0000000000000004E-4</v>
      </c>
      <c r="F287" s="1141" t="s">
        <v>1933</v>
      </c>
      <c r="G287" s="1142">
        <v>4</v>
      </c>
      <c r="H287" s="1143" t="s">
        <v>1176</v>
      </c>
      <c r="I287" s="1165" t="s">
        <v>3706</v>
      </c>
    </row>
    <row r="288" spans="1:9" s="1828" customFormat="1" ht="18" outlineLevel="1" x14ac:dyDescent="0.25">
      <c r="B288" s="1144" t="s">
        <v>1780</v>
      </c>
      <c r="C288" s="1425" t="s">
        <v>2520</v>
      </c>
      <c r="D288" s="1425" t="s">
        <v>1927</v>
      </c>
      <c r="E288" s="1143">
        <f>K_CO2_BIO_AS</f>
        <v>1.2</v>
      </c>
      <c r="F288" s="1141" t="s">
        <v>1212</v>
      </c>
      <c r="G288" s="1142">
        <v>1</v>
      </c>
      <c r="H288" s="1143" t="s">
        <v>1249</v>
      </c>
      <c r="I288" s="1165"/>
    </row>
    <row r="289" spans="1:9" s="1828" customFormat="1" ht="18" outlineLevel="1" x14ac:dyDescent="0.25">
      <c r="B289" s="1144" t="s">
        <v>1780</v>
      </c>
      <c r="C289" s="1425" t="s">
        <v>2520</v>
      </c>
      <c r="D289" s="1425" t="s">
        <v>3699</v>
      </c>
      <c r="E289" s="1143">
        <f>K_CO2_BIO_AS*f_KS_biofilm</f>
        <v>0.48</v>
      </c>
      <c r="F289" s="1141" t="s">
        <v>1212</v>
      </c>
      <c r="G289" s="1142">
        <v>2</v>
      </c>
      <c r="H289" s="1143" t="s">
        <v>1176</v>
      </c>
      <c r="I289" s="1165" t="s">
        <v>3706</v>
      </c>
    </row>
    <row r="290" spans="1:9" s="1828" customFormat="1" ht="18" outlineLevel="1" x14ac:dyDescent="0.25">
      <c r="B290" s="555" t="s">
        <v>889</v>
      </c>
      <c r="C290" s="1141" t="s">
        <v>2521</v>
      </c>
      <c r="D290" s="1141" t="s">
        <v>1923</v>
      </c>
      <c r="E290" s="1143">
        <f>K_CAT_AS</f>
        <v>0.1</v>
      </c>
      <c r="F290" s="1141" t="s">
        <v>1934</v>
      </c>
      <c r="G290" s="1142">
        <v>1</v>
      </c>
      <c r="H290" s="1143" t="s">
        <v>1249</v>
      </c>
      <c r="I290" s="1165"/>
    </row>
    <row r="291" spans="1:9" s="1828" customFormat="1" ht="18" outlineLevel="1" x14ac:dyDescent="0.25">
      <c r="B291" s="555" t="s">
        <v>889</v>
      </c>
      <c r="C291" s="1141" t="s">
        <v>2521</v>
      </c>
      <c r="D291" s="1141" t="s">
        <v>3700</v>
      </c>
      <c r="E291" s="1143">
        <f>K_CAT_AS*f_KS_biofilm</f>
        <v>4.0000000000000008E-2</v>
      </c>
      <c r="F291" s="1141" t="s">
        <v>1934</v>
      </c>
      <c r="G291" s="1142">
        <v>2</v>
      </c>
      <c r="H291" s="1143" t="s">
        <v>1176</v>
      </c>
      <c r="I291" s="1165" t="s">
        <v>3706</v>
      </c>
    </row>
    <row r="292" spans="1:9" s="1828" customFormat="1" ht="18" outlineLevel="1" x14ac:dyDescent="0.25">
      <c r="B292" s="555" t="s">
        <v>890</v>
      </c>
      <c r="C292" s="1141" t="s">
        <v>2522</v>
      </c>
      <c r="D292" s="1141" t="s">
        <v>1924</v>
      </c>
      <c r="E292" s="1143">
        <f>K_AN_AS</f>
        <v>0.1</v>
      </c>
      <c r="F292" s="1141" t="s">
        <v>1935</v>
      </c>
      <c r="G292" s="1142">
        <v>1</v>
      </c>
      <c r="H292" s="1143" t="s">
        <v>1249</v>
      </c>
      <c r="I292" s="1165"/>
    </row>
    <row r="293" spans="1:9" s="1828" customFormat="1" ht="18" outlineLevel="1" x14ac:dyDescent="0.25">
      <c r="B293" s="555" t="s">
        <v>890</v>
      </c>
      <c r="C293" s="1141" t="s">
        <v>2522</v>
      </c>
      <c r="D293" s="1141" t="s">
        <v>3701</v>
      </c>
      <c r="E293" s="1143">
        <f>K_AN_AS*f_KS_biofilm</f>
        <v>4.0000000000000008E-2</v>
      </c>
      <c r="F293" s="1141" t="s">
        <v>1935</v>
      </c>
      <c r="G293" s="1142">
        <v>2</v>
      </c>
      <c r="H293" s="1143" t="s">
        <v>1176</v>
      </c>
      <c r="I293" s="1165" t="s">
        <v>3706</v>
      </c>
    </row>
    <row r="294" spans="1:9" s="1828" customFormat="1" ht="18" customHeight="1" outlineLevel="1" x14ac:dyDescent="0.25">
      <c r="B294" s="555" t="s">
        <v>3823</v>
      </c>
      <c r="C294" s="1141" t="s">
        <v>3824</v>
      </c>
      <c r="D294" s="1141" t="s">
        <v>3805</v>
      </c>
      <c r="E294" s="1143">
        <f>K_Mg_BIO_AS</f>
        <v>1E-4</v>
      </c>
      <c r="F294" s="1143" t="s">
        <v>1621</v>
      </c>
      <c r="G294" s="1142">
        <v>4</v>
      </c>
      <c r="H294" s="1143" t="s">
        <v>1249</v>
      </c>
      <c r="I294" s="1165"/>
    </row>
    <row r="295" spans="1:9" s="1828" customFormat="1" ht="18" customHeight="1" outlineLevel="1" x14ac:dyDescent="0.25">
      <c r="B295" s="555" t="s">
        <v>3823</v>
      </c>
      <c r="C295" s="1141" t="s">
        <v>3824</v>
      </c>
      <c r="D295" s="1141" t="s">
        <v>3825</v>
      </c>
      <c r="E295" s="1143">
        <f>K_Mg_BIO_AS*f_KS_biofilm</f>
        <v>4.0000000000000003E-5</v>
      </c>
      <c r="F295" s="1143" t="s">
        <v>1621</v>
      </c>
      <c r="G295" s="1142">
        <v>5</v>
      </c>
      <c r="H295" s="1143" t="s">
        <v>1176</v>
      </c>
      <c r="I295" s="1165" t="s">
        <v>3706</v>
      </c>
    </row>
    <row r="296" spans="1:9" s="1828" customFormat="1" ht="18" customHeight="1" outlineLevel="1" x14ac:dyDescent="0.25">
      <c r="B296" s="555" t="s">
        <v>3826</v>
      </c>
      <c r="C296" s="1141" t="s">
        <v>3827</v>
      </c>
      <c r="D296" s="1141" t="s">
        <v>3807</v>
      </c>
      <c r="E296" s="1143">
        <f>K_Ca_BIO_AS</f>
        <v>1E-4</v>
      </c>
      <c r="F296" s="1143" t="s">
        <v>1623</v>
      </c>
      <c r="G296" s="1142">
        <v>4</v>
      </c>
      <c r="H296" s="1143" t="s">
        <v>1249</v>
      </c>
      <c r="I296" s="1165"/>
    </row>
    <row r="297" spans="1:9" s="1828" customFormat="1" ht="18" customHeight="1" outlineLevel="1" x14ac:dyDescent="0.25">
      <c r="B297" s="555" t="s">
        <v>3826</v>
      </c>
      <c r="C297" s="1141" t="s">
        <v>3827</v>
      </c>
      <c r="D297" s="1141" t="s">
        <v>3828</v>
      </c>
      <c r="E297" s="1143">
        <f>K_Ca_BIO_AS*f_KS_biofilm</f>
        <v>4.0000000000000003E-5</v>
      </c>
      <c r="F297" s="1143" t="s">
        <v>1623</v>
      </c>
      <c r="G297" s="1142">
        <v>5</v>
      </c>
      <c r="H297" s="1143" t="s">
        <v>1176</v>
      </c>
      <c r="I297" s="1165" t="s">
        <v>3706</v>
      </c>
    </row>
    <row r="298" spans="1:9" s="1828" customFormat="1" ht="18" outlineLevel="1" x14ac:dyDescent="0.25">
      <c r="B298" s="608" t="s">
        <v>1184</v>
      </c>
      <c r="C298" s="1141" t="s">
        <v>2672</v>
      </c>
      <c r="D298" s="1141" t="s">
        <v>1928</v>
      </c>
      <c r="E298" s="1143">
        <f>K_HYD_AS</f>
        <v>0.05</v>
      </c>
      <c r="F298" s="1141" t="s">
        <v>2111</v>
      </c>
      <c r="G298" s="1142">
        <v>2</v>
      </c>
      <c r="H298" s="1143" t="s">
        <v>1249</v>
      </c>
      <c r="I298" s="1165"/>
    </row>
    <row r="299" spans="1:9" s="1828" customFormat="1" ht="18" outlineLevel="1" x14ac:dyDescent="0.25">
      <c r="B299" s="608" t="s">
        <v>1184</v>
      </c>
      <c r="C299" s="1141" t="s">
        <v>2672</v>
      </c>
      <c r="D299" s="1141" t="s">
        <v>3702</v>
      </c>
      <c r="E299" s="1143">
        <f>K_HYD_AS*f_KS_biofilm</f>
        <v>2.0000000000000004E-2</v>
      </c>
      <c r="F299" s="1141" t="s">
        <v>2111</v>
      </c>
      <c r="G299" s="1142">
        <v>3</v>
      </c>
      <c r="H299" s="1143" t="s">
        <v>1176</v>
      </c>
      <c r="I299" s="1165" t="s">
        <v>3706</v>
      </c>
    </row>
    <row r="300" spans="1:9" s="1828" customFormat="1" ht="18" outlineLevel="1" x14ac:dyDescent="0.25">
      <c r="B300" s="608" t="s">
        <v>2668</v>
      </c>
      <c r="C300" s="1141" t="s">
        <v>2893</v>
      </c>
      <c r="D300" s="1141" t="s">
        <v>2669</v>
      </c>
      <c r="E300" s="1143">
        <f>K_iNHx_ASSIM_AS</f>
        <v>5.0000000000000001E-4</v>
      </c>
      <c r="F300" s="1141" t="s">
        <v>886</v>
      </c>
      <c r="G300" s="1142">
        <v>4</v>
      </c>
      <c r="H300" s="1143" t="s">
        <v>1249</v>
      </c>
      <c r="I300" s="1165"/>
    </row>
    <row r="301" spans="1:9" s="1828" customFormat="1" ht="18" outlineLevel="1" x14ac:dyDescent="0.25">
      <c r="B301" s="608" t="s">
        <v>2668</v>
      </c>
      <c r="C301" s="1141" t="s">
        <v>2893</v>
      </c>
      <c r="D301" s="1141" t="s">
        <v>3703</v>
      </c>
      <c r="E301" s="1143">
        <f>K_iNHx_ASSIM_AS*f_KS_biofilm</f>
        <v>2.0000000000000001E-4</v>
      </c>
      <c r="F301" s="1141" t="s">
        <v>886</v>
      </c>
      <c r="G301" s="1142">
        <v>5</v>
      </c>
      <c r="H301" s="1143" t="s">
        <v>1176</v>
      </c>
      <c r="I301" s="1165" t="s">
        <v>3706</v>
      </c>
    </row>
    <row r="302" spans="1:9" s="2318" customFormat="1" ht="18" outlineLevel="1" x14ac:dyDescent="0.25">
      <c r="A302" s="1817"/>
      <c r="B302" s="608" t="s">
        <v>2287</v>
      </c>
      <c r="C302" s="1141" t="s">
        <v>2673</v>
      </c>
      <c r="D302" s="1141" t="s">
        <v>2288</v>
      </c>
      <c r="E302" s="1143">
        <f>K_NO2_ASSIM_AS</f>
        <v>1E-3</v>
      </c>
      <c r="F302" s="1141" t="s">
        <v>886</v>
      </c>
      <c r="G302" s="1142">
        <v>3</v>
      </c>
      <c r="H302" s="993" t="s">
        <v>1249</v>
      </c>
      <c r="I302" s="1355"/>
    </row>
    <row r="303" spans="1:9" s="2318" customFormat="1" ht="18" outlineLevel="1" x14ac:dyDescent="0.25">
      <c r="A303" s="1817"/>
      <c r="B303" s="608" t="s">
        <v>2287</v>
      </c>
      <c r="C303" s="1141" t="s">
        <v>2673</v>
      </c>
      <c r="D303" s="1141" t="s">
        <v>3704</v>
      </c>
      <c r="E303" s="1143">
        <f>K_NO2_ASSIM_AS*f_KS_biofilm</f>
        <v>4.0000000000000002E-4</v>
      </c>
      <c r="F303" s="1141" t="s">
        <v>886</v>
      </c>
      <c r="G303" s="1142">
        <v>4</v>
      </c>
      <c r="H303" s="993" t="s">
        <v>1176</v>
      </c>
      <c r="I303" s="1355" t="s">
        <v>3706</v>
      </c>
    </row>
    <row r="304" spans="1:9" s="2318" customFormat="1" ht="18" outlineLevel="1" x14ac:dyDescent="0.25">
      <c r="A304" s="1817"/>
      <c r="B304" s="608" t="s">
        <v>2289</v>
      </c>
      <c r="C304" s="1141" t="s">
        <v>2674</v>
      </c>
      <c r="D304" s="1141" t="s">
        <v>2290</v>
      </c>
      <c r="E304" s="1143">
        <f>K_NO3_ASSIM_AS</f>
        <v>1E-3</v>
      </c>
      <c r="F304" s="1141" t="s">
        <v>886</v>
      </c>
      <c r="G304" s="1142">
        <v>3</v>
      </c>
      <c r="H304" s="993" t="s">
        <v>1249</v>
      </c>
      <c r="I304" s="1355"/>
    </row>
    <row r="305" spans="1:9" s="2318" customFormat="1" ht="18.75" outlineLevel="1" thickBot="1" x14ac:dyDescent="0.3">
      <c r="A305" s="1817"/>
      <c r="B305" s="1146" t="s">
        <v>2289</v>
      </c>
      <c r="C305" s="985" t="s">
        <v>2674</v>
      </c>
      <c r="D305" s="985" t="s">
        <v>3705</v>
      </c>
      <c r="E305" s="649">
        <f>K_NO3_ASSIM_AS*f_KS_biofilm</f>
        <v>4.0000000000000002E-4</v>
      </c>
      <c r="F305" s="985" t="s">
        <v>886</v>
      </c>
      <c r="G305" s="1147">
        <v>4</v>
      </c>
      <c r="H305" s="951" t="s">
        <v>1176</v>
      </c>
      <c r="I305" s="1800" t="s">
        <v>3706</v>
      </c>
    </row>
    <row r="306" spans="1:9" s="2310" customFormat="1" ht="18" customHeight="1" thickBot="1" x14ac:dyDescent="0.3">
      <c r="A306" s="4"/>
      <c r="B306" s="4"/>
      <c r="C306" s="4"/>
      <c r="D306" s="4"/>
      <c r="E306" s="1798"/>
      <c r="F306" s="4"/>
      <c r="G306" s="4"/>
      <c r="H306" s="4"/>
      <c r="I306" s="4"/>
    </row>
    <row r="307" spans="1:9" s="2310" customFormat="1" ht="18" customHeight="1" thickBot="1" x14ac:dyDescent="0.3">
      <c r="A307" s="4"/>
      <c r="B307" s="131"/>
      <c r="C307" s="1732" t="s">
        <v>4472</v>
      </c>
      <c r="D307" s="14" t="s">
        <v>303</v>
      </c>
      <c r="E307" s="14"/>
      <c r="F307" s="131"/>
      <c r="G307" s="131"/>
      <c r="H307" s="131"/>
      <c r="I307" s="131"/>
    </row>
    <row r="308" spans="1:9" s="2310" customFormat="1" ht="18" customHeight="1" thickBot="1" x14ac:dyDescent="0.3">
      <c r="A308" s="4"/>
      <c r="B308" s="1733" t="s">
        <v>0</v>
      </c>
      <c r="C308" s="1869" t="s">
        <v>1</v>
      </c>
      <c r="D308" s="1734" t="s">
        <v>5</v>
      </c>
      <c r="E308" s="1734" t="s">
        <v>152</v>
      </c>
      <c r="F308" s="1734" t="s">
        <v>2</v>
      </c>
      <c r="G308" s="1734" t="s">
        <v>302</v>
      </c>
      <c r="H308" s="1734" t="s">
        <v>116</v>
      </c>
      <c r="I308" s="1735" t="s">
        <v>117</v>
      </c>
    </row>
    <row r="309" spans="1:9" s="2310" customFormat="1" ht="18" outlineLevel="1" x14ac:dyDescent="0.25">
      <c r="B309" s="2560" t="s">
        <v>5197</v>
      </c>
      <c r="C309" s="2561" t="s">
        <v>5198</v>
      </c>
      <c r="D309" s="2561" t="s">
        <v>5199</v>
      </c>
      <c r="E309" s="2549">
        <f>((-1)*(2/((K_NO3_OHO)*(L_ograngeSNO3)))*LN((1/19)*(1+(1/2)*((K_NO3_OHO)*(L_ograngeSNO3)/(K_NO3_OHO)))))</f>
        <v>19.725805733943361</v>
      </c>
      <c r="F309" s="2537" t="s">
        <v>4483</v>
      </c>
      <c r="G309" s="2550">
        <v>1</v>
      </c>
      <c r="H309" s="2551"/>
      <c r="I309" s="2539" t="s">
        <v>4537</v>
      </c>
    </row>
    <row r="310" spans="1:9" s="2310" customFormat="1" ht="18" outlineLevel="1" x14ac:dyDescent="0.25">
      <c r="B310" s="2560" t="s">
        <v>5200</v>
      </c>
      <c r="C310" s="2561" t="s">
        <v>5201</v>
      </c>
      <c r="D310" s="2561" t="s">
        <v>5202</v>
      </c>
      <c r="E310" s="2549">
        <f>((-1)*(2/((K_NO3_OHO)*(L_ograngeKSNO3)))*LN((1/19)*(1+(1/2)*((K_NO3_OHO)*(L_ograngeKSNO3)/(K_NO3_OHO)))))</f>
        <v>2.5438114039797526</v>
      </c>
      <c r="F310" s="2537" t="s">
        <v>4483</v>
      </c>
      <c r="G310" s="2550">
        <v>1</v>
      </c>
      <c r="H310" s="2551"/>
      <c r="I310" s="2539" t="s">
        <v>4537</v>
      </c>
    </row>
    <row r="311" spans="1:9" s="2310" customFormat="1" ht="18" outlineLevel="1" x14ac:dyDescent="0.25">
      <c r="B311" s="2560" t="s">
        <v>5203</v>
      </c>
      <c r="C311" s="2561" t="s">
        <v>5204</v>
      </c>
      <c r="D311" s="2561" t="s">
        <v>5205</v>
      </c>
      <c r="E311" s="2549">
        <f>((-1)*(2/((K_VFA_OHO_SNO2)*(L_ograngeKVFA_SNO2)))*LN((1/19)*(1+(1/2)*((K_VFA_OHO_SNO2)*(L_ograngeKVFA_SNO2)/(K_VFA_OHO_SNO2)))))</f>
        <v>1.3020223851878621</v>
      </c>
      <c r="F311" s="2537" t="s">
        <v>4483</v>
      </c>
      <c r="G311" s="2550">
        <v>1</v>
      </c>
      <c r="H311" s="2551"/>
      <c r="I311" s="2539" t="s">
        <v>4537</v>
      </c>
    </row>
    <row r="312" spans="1:9" s="2310" customFormat="1" ht="18" outlineLevel="1" x14ac:dyDescent="0.25">
      <c r="A312" s="4"/>
      <c r="B312" s="703" t="s">
        <v>4481</v>
      </c>
      <c r="C312" s="1760" t="s">
        <v>4482</v>
      </c>
      <c r="D312" s="1760" t="s">
        <v>4532</v>
      </c>
      <c r="E312" s="1761">
        <f>((-1)*(2/((K_VFA_FERM)*(L_ograngeVFA_FERM_AS)))*LN((1/19)*(1+(1/2)*((K_VFA_FERM)*(L_ograngeVFA_FERM_AS)/(K_VFA_FERM)))))</f>
        <v>9.7948563582963093</v>
      </c>
      <c r="F312" s="1738" t="s">
        <v>4483</v>
      </c>
      <c r="G312" s="1762">
        <v>1</v>
      </c>
      <c r="H312" s="1763" t="s">
        <v>1249</v>
      </c>
      <c r="I312" s="1740" t="s">
        <v>4537</v>
      </c>
    </row>
    <row r="313" spans="1:9" s="2310" customFormat="1" ht="18" outlineLevel="1" x14ac:dyDescent="0.25">
      <c r="A313" s="4"/>
      <c r="B313" s="703" t="s">
        <v>4481</v>
      </c>
      <c r="C313" s="1760" t="s">
        <v>4484</v>
      </c>
      <c r="D313" s="1760" t="s">
        <v>4522</v>
      </c>
      <c r="E313" s="1761">
        <f>(-1)*(2/(_xlfn.SINGLE(K_VFA_FERM)*L_ograngeVFA_FERM_AS))*LN((1/19)*(1+(1/2)*(_xlfn.SINGLE(K_VFA_FERM)*L_ograngeVFA_FERM_AS/_xlfn.SINGLE(K_VFA_FERM)))) / f_KS</f>
        <v>97.948563582963089</v>
      </c>
      <c r="F313" s="1738" t="s">
        <v>4483</v>
      </c>
      <c r="G313" s="1762">
        <v>1</v>
      </c>
      <c r="H313" s="1763" t="s">
        <v>1176</v>
      </c>
      <c r="I313" s="1796" t="s">
        <v>3706</v>
      </c>
    </row>
    <row r="314" spans="1:9" s="2310" customFormat="1" ht="18" outlineLevel="1" x14ac:dyDescent="0.25">
      <c r="B314" s="2562" t="s">
        <v>5206</v>
      </c>
      <c r="C314" s="2563" t="s">
        <v>5207</v>
      </c>
      <c r="D314" s="2563" t="s">
        <v>5208</v>
      </c>
      <c r="E314" s="2564">
        <f>((-1)*(2/((K_MEOL_SNO2)*(L_ograngeKMEOL_SNO2)))*LN((1/19)*(1+(1/2)*((K_MEOL_SNO2)*(L_ograngeKMEOL_SNO2)/(K_MEOL_SNO2)))))</f>
        <v>1.3020223851878621</v>
      </c>
      <c r="F314" s="2531" t="s">
        <v>4483</v>
      </c>
      <c r="G314" s="2565">
        <v>1</v>
      </c>
      <c r="H314" s="2566"/>
      <c r="I314" s="2534" t="s">
        <v>4537</v>
      </c>
    </row>
    <row r="315" spans="1:9" s="2310" customFormat="1" ht="18" outlineLevel="1" x14ac:dyDescent="0.25">
      <c r="B315" s="2562" t="s">
        <v>5209</v>
      </c>
      <c r="C315" s="2563" t="s">
        <v>5210</v>
      </c>
      <c r="D315" s="2563" t="s">
        <v>5211</v>
      </c>
      <c r="E315" s="2564">
        <f>((-1)*(2/((K_NO3_MEOLO)*(L_ograngeSNO3)))*LN((1/19)*(1+(1/2)*((K_NO3_MEOLO)*(L_ograngeSNO3)/(K_NO3_MEOLO)))))</f>
        <v>493.14514334858404</v>
      </c>
      <c r="F315" s="2531" t="s">
        <v>4483</v>
      </c>
      <c r="G315" s="2565">
        <v>1</v>
      </c>
      <c r="H315" s="2566"/>
      <c r="I315" s="2534" t="s">
        <v>4537</v>
      </c>
    </row>
    <row r="316" spans="1:9" s="2310" customFormat="1" ht="18" outlineLevel="1" x14ac:dyDescent="0.25">
      <c r="A316" s="4"/>
      <c r="B316" s="1778" t="s">
        <v>4515</v>
      </c>
      <c r="C316" s="1452" t="s">
        <v>4516</v>
      </c>
      <c r="D316" s="1452" t="s">
        <v>4529</v>
      </c>
      <c r="E316" s="1779">
        <f>((-1)*(2/((K_iSTO_AHO_max)*(L_ograngeSTO_AHO_inh)))*LN((1/19)*(1+(1/2)*((K_iSTO_AHO_max)*(L_ograngeSTO_AHO_inh)/(K_iSTO_AHO_max)))))</f>
        <v>489.08144138554536</v>
      </c>
      <c r="F316" s="1452" t="s">
        <v>2111</v>
      </c>
      <c r="G316" s="1452">
        <v>1</v>
      </c>
      <c r="H316" s="1452"/>
      <c r="I316" s="1576" t="s">
        <v>4537</v>
      </c>
    </row>
    <row r="317" spans="1:9" s="2310" customFormat="1" ht="18.75" outlineLevel="1" x14ac:dyDescent="0.25">
      <c r="A317" s="4"/>
      <c r="B317" s="1757" t="s">
        <v>4473</v>
      </c>
      <c r="C317" s="1758" t="s">
        <v>4474</v>
      </c>
      <c r="D317" s="1758" t="s">
        <v>4536</v>
      </c>
      <c r="E317" s="1851">
        <f>((-1)*(2/((K_CO2_AOB_pH_AS)*(L_ograngeCO2_AOB_pH_AS)))*LN((1/19)*(1+(1/2)*((K_CO2_AOB_pH_AS)*(L_ograngeCO2_AOB_pH_AS)/(K_CO2_AOB_pH_AS)))))</f>
        <v>5077.947742116552</v>
      </c>
      <c r="F317" s="1744" t="s">
        <v>4475</v>
      </c>
      <c r="G317" s="1727">
        <v>1</v>
      </c>
      <c r="H317" s="1744" t="s">
        <v>5068</v>
      </c>
      <c r="I317" s="1600" t="s">
        <v>4537</v>
      </c>
    </row>
    <row r="318" spans="1:9" s="2310" customFormat="1" ht="18.75" outlineLevel="1" x14ac:dyDescent="0.25">
      <c r="A318" s="4"/>
      <c r="B318" s="886" t="s">
        <v>4473</v>
      </c>
      <c r="C318" s="1758" t="s">
        <v>4476</v>
      </c>
      <c r="D318" s="1758" t="s">
        <v>4535</v>
      </c>
      <c r="E318" s="1851">
        <f>(-1)*(2/(K_CO2_AOB_pH_sidestream*L_ograngeCO2_AOB_pH_sidestream))*LN((1/19)*(1+(1/2)*(K_CO2_AOB_pH_sidestream*L_ograngeCO2_AOB_pH_sidestream/K_CO2_AOB_pH_sidestream)))</f>
        <v>4674.4617279854701</v>
      </c>
      <c r="F318" s="1744" t="s">
        <v>4475</v>
      </c>
      <c r="G318" s="1727">
        <v>1</v>
      </c>
      <c r="H318" s="1744" t="s">
        <v>1616</v>
      </c>
      <c r="I318" s="1600" t="s">
        <v>4537</v>
      </c>
    </row>
    <row r="319" spans="1:9" s="1817" customFormat="1" ht="18" outlineLevel="1" x14ac:dyDescent="0.25">
      <c r="A319" s="4"/>
      <c r="B319" s="887" t="s">
        <v>4477</v>
      </c>
      <c r="C319" s="1928" t="s">
        <v>4478</v>
      </c>
      <c r="D319" s="1928" t="s">
        <v>4534</v>
      </c>
      <c r="E319" s="1794">
        <f>((-1)*(2/((K_CO2_NOB_pH_AS)*(L_ograngeCO2_NOB_pH_AS)))*LN((1/19)*(1+(1/2)*((K_CO2_NOB_pH_AS)*(L_ograngeCO2_NOB_pH_AS)/(K_CO2_NOB_pH_AS)))))</f>
        <v>112564.58993032474</v>
      </c>
      <c r="F319" s="1730" t="s">
        <v>4475</v>
      </c>
      <c r="G319" s="1730">
        <v>1</v>
      </c>
      <c r="H319" s="1730"/>
      <c r="I319" s="1805" t="s">
        <v>4537</v>
      </c>
    </row>
    <row r="320" spans="1:9" s="1817" customFormat="1" ht="18.75" outlineLevel="1" x14ac:dyDescent="0.25">
      <c r="A320" s="4"/>
      <c r="B320" s="618" t="s">
        <v>4479</v>
      </c>
      <c r="C320" s="1759" t="s">
        <v>4480</v>
      </c>
      <c r="D320" s="1759" t="s">
        <v>4533</v>
      </c>
      <c r="E320" s="1023">
        <f>((-1)*(2/((K_CO2_AMX_pH_AS)*(L_ograngeCO2_AMX_pH_AS)))*LN((1/19)*(1+(1/2)*((K_CO2_AMX_pH_AS)*(L_ograngeCO2_AMX_pH_AS)/(K_CO2_AMX_pH_AS)))))</f>
        <v>11256.458993032476</v>
      </c>
      <c r="F320" s="1057" t="s">
        <v>4475</v>
      </c>
      <c r="G320" s="847">
        <v>1</v>
      </c>
      <c r="H320" s="848"/>
      <c r="I320" s="1795" t="s">
        <v>4537</v>
      </c>
    </row>
    <row r="321" spans="1:9" s="2310" customFormat="1" ht="18" outlineLevel="1" x14ac:dyDescent="0.25">
      <c r="A321" s="4"/>
      <c r="B321" s="1203" t="s">
        <v>4485</v>
      </c>
      <c r="C321" s="1202" t="s">
        <v>4486</v>
      </c>
      <c r="D321" s="1202" t="s">
        <v>4531</v>
      </c>
      <c r="E321" s="1764">
        <f>((-1)*(2/((K_PO4_PAO)*(L_ograngePO4_PAO_AS_sat)))*LN((1/19)*(1+(1/2)*((K_PO4_PAO)*(L_ograngePO4_PAO_AS_sat)/(K_PO4_PAO)))))</f>
        <v>43.466112375753802</v>
      </c>
      <c r="F321" s="1202" t="s">
        <v>4487</v>
      </c>
      <c r="G321" s="1202">
        <v>1</v>
      </c>
      <c r="H321" s="1202" t="s">
        <v>1249</v>
      </c>
      <c r="I321" s="1588" t="s">
        <v>4537</v>
      </c>
    </row>
    <row r="322" spans="1:9" s="2310" customFormat="1" ht="18" outlineLevel="1" x14ac:dyDescent="0.25">
      <c r="A322" s="4"/>
      <c r="B322" s="1203" t="s">
        <v>4485</v>
      </c>
      <c r="C322" s="1202" t="s">
        <v>4488</v>
      </c>
      <c r="D322" s="1202" t="s">
        <v>4523</v>
      </c>
      <c r="E322" s="1764">
        <f>(-1)*(2/(_xlfn.SINGLE(K_PO4_PAO)*L_ograngePO4_PAO_AS_sat))*LN((1/19)*(1+(1/2)*(_xlfn.SINGLE(K_PO4_PAO)*L_ograngePO4_PAO_AS_sat/_xlfn.SINGLE(K_PO4_PAO)))) / f_KS</f>
        <v>434.66112375753801</v>
      </c>
      <c r="F322" s="1202" t="s">
        <v>4487</v>
      </c>
      <c r="G322" s="1202">
        <v>1</v>
      </c>
      <c r="H322" s="1202" t="s">
        <v>1176</v>
      </c>
      <c r="I322" s="1588" t="s">
        <v>3706</v>
      </c>
    </row>
    <row r="323" spans="1:9" s="2310" customFormat="1" ht="18" outlineLevel="1" x14ac:dyDescent="0.25">
      <c r="A323" s="4"/>
      <c r="B323" s="1203" t="s">
        <v>4489</v>
      </c>
      <c r="C323" s="1202" t="s">
        <v>4490</v>
      </c>
      <c r="D323" s="1202" t="s">
        <v>4530</v>
      </c>
      <c r="E323" s="1764">
        <f>((-1)*(2/((K_PO4_PAO)*(L_ograngePP_PAO_AS_sat)))*LN((1/19)*(1+(1/2)*((K_PO4_PAO)*(L_ograngePP_PAO_AS_sat)/(K_PO4_PAO)))))</f>
        <v>92.070580745749538</v>
      </c>
      <c r="F323" s="1202" t="s">
        <v>4487</v>
      </c>
      <c r="G323" s="1202">
        <v>1</v>
      </c>
      <c r="H323" s="1202" t="s">
        <v>1249</v>
      </c>
      <c r="I323" s="1588" t="s">
        <v>4537</v>
      </c>
    </row>
    <row r="324" spans="1:9" s="2310" customFormat="1" ht="18" outlineLevel="1" x14ac:dyDescent="0.25">
      <c r="A324" s="4"/>
      <c r="B324" s="1203" t="s">
        <v>4489</v>
      </c>
      <c r="C324" s="1202" t="s">
        <v>4491</v>
      </c>
      <c r="D324" s="1202" t="s">
        <v>4524</v>
      </c>
      <c r="E324" s="1764">
        <f>(-1)*(2/(_xlfn.SINGLE(K_PO4_PAO)*L_ograngePP_PAO_AS_sat))*LN((1/19)*(1+(1/2)*(_xlfn.SINGLE(K_PO4_PAO)*L_ograngePP_PAO_AS_sat/_xlfn.SINGLE(K_PO4_PAO)))) / f_KS</f>
        <v>920.70580745749533</v>
      </c>
      <c r="F324" s="1202" t="s">
        <v>4487</v>
      </c>
      <c r="G324" s="1202">
        <v>1</v>
      </c>
      <c r="H324" s="1202" t="s">
        <v>1176</v>
      </c>
      <c r="I324" s="1588" t="s">
        <v>3706</v>
      </c>
    </row>
    <row r="325" spans="1:9" s="2310" customFormat="1" ht="18" outlineLevel="1" x14ac:dyDescent="0.25">
      <c r="A325" s="4"/>
      <c r="B325" s="1203" t="s">
        <v>4492</v>
      </c>
      <c r="C325" s="1202" t="s">
        <v>4493</v>
      </c>
      <c r="D325" s="1202" t="s">
        <v>4528</v>
      </c>
      <c r="E325" s="1764">
        <f>((-1)*(2/((K_iPHA_PAO_max)*(L_ograngePHA_PAO_inh)))*LN((1/19)*(1+(1/2)*((K_iPHA_PAO_max)*(L_ograngePHA_PAO_inh)/(K_iPHA_PAO_max)))))</f>
        <v>96.521627166566958</v>
      </c>
      <c r="F325" s="1160" t="s">
        <v>2111</v>
      </c>
      <c r="G325" s="1202">
        <v>1</v>
      </c>
      <c r="H325" s="1202"/>
      <c r="I325" s="1588" t="s">
        <v>4537</v>
      </c>
    </row>
    <row r="326" spans="1:9" s="2310" customFormat="1" ht="18" outlineLevel="1" x14ac:dyDescent="0.25">
      <c r="A326" s="4"/>
      <c r="B326" s="1203" t="s">
        <v>4494</v>
      </c>
      <c r="C326" s="1202" t="s">
        <v>4495</v>
      </c>
      <c r="D326" s="1202" t="s">
        <v>4527</v>
      </c>
      <c r="E326" s="1764">
        <f>((-1)*(2/((K_iPP_PAO_max)*(L_ograngePP_PAO_inh)))*LN((1/19)*(1+(1/2)*((K_iPP_PAO_max)*(L_ograngePP_PAO_inh)/(K_iPP_PAO_max)))))</f>
        <v>96.230554358790513</v>
      </c>
      <c r="F326" s="1160" t="s">
        <v>3976</v>
      </c>
      <c r="G326" s="1202">
        <v>1</v>
      </c>
      <c r="H326" s="1202"/>
      <c r="I326" s="1588" t="s">
        <v>4537</v>
      </c>
    </row>
    <row r="327" spans="1:9" s="2310" customFormat="1" ht="18" outlineLevel="1" x14ac:dyDescent="0.25">
      <c r="A327" s="4"/>
      <c r="B327" s="2575" t="s">
        <v>5263</v>
      </c>
      <c r="C327" s="2588" t="s">
        <v>5264</v>
      </c>
      <c r="D327" s="2588" t="s">
        <v>5265</v>
      </c>
      <c r="E327" s="1765">
        <f>((-1)*(2/((K_iPHA_GAO_max)*(L_ograngePHA_GAO_inh)))*LN((1/19)*(1+(1/2)*((K_iPHA_GAO_max)*(L_ograngePHA_GAO_inh)/(K_iPHA_GAO_max)))))</f>
        <v>96.205669034748837</v>
      </c>
      <c r="F327" s="1304" t="s">
        <v>2111</v>
      </c>
      <c r="G327" s="1304">
        <v>1</v>
      </c>
      <c r="H327" s="1766"/>
      <c r="I327" s="1590" t="s">
        <v>4537</v>
      </c>
    </row>
    <row r="328" spans="1:9" s="1828" customFormat="1" ht="18.75" outlineLevel="1" x14ac:dyDescent="0.25">
      <c r="B328" s="607" t="s">
        <v>4547</v>
      </c>
      <c r="C328" s="1921" t="s">
        <v>4548</v>
      </c>
      <c r="D328" s="1921" t="s">
        <v>4549</v>
      </c>
      <c r="E328" s="2032">
        <f>((-1)*(2/((K_iNH3_AMETO_pH)*(L_ograngeNH3_AMETO)))*LN((1/19)*(1+(1/2)*((K_iNH3_AMETO_pH)*(L_ograngeNH3_AMETO)/(K_iNH3_AMETO_pH)))))</f>
        <v>57.970947247187361</v>
      </c>
      <c r="F328" s="1135" t="s">
        <v>4550</v>
      </c>
      <c r="G328" s="1134">
        <v>1</v>
      </c>
      <c r="H328" s="1136"/>
      <c r="I328" s="1846" t="s">
        <v>4537</v>
      </c>
    </row>
    <row r="329" spans="1:9" s="2310" customFormat="1" ht="18" outlineLevel="1" x14ac:dyDescent="0.25">
      <c r="A329" s="4"/>
      <c r="B329" s="1767" t="s">
        <v>4496</v>
      </c>
      <c r="C329" s="1768" t="s">
        <v>4497</v>
      </c>
      <c r="D329" s="1768" t="s">
        <v>4526</v>
      </c>
      <c r="E329" s="1769">
        <f>((-1)*(2/((K_iP_HFO_DISS)*(L_ograngeP_HFO_DISS)))*LN((1/19)*(1+(1/2)*((K_iP_HFO_DISS)*(L_ograngeP_HFO_DISS)/(K_iP_HFO_DISS)))))</f>
        <v>507.79477421165524</v>
      </c>
      <c r="F329" s="1768" t="s">
        <v>4487</v>
      </c>
      <c r="G329" s="1770">
        <v>1</v>
      </c>
      <c r="H329" s="1768"/>
      <c r="I329" s="1771" t="s">
        <v>4537</v>
      </c>
    </row>
    <row r="330" spans="1:9" s="2310" customFormat="1" ht="18.75" outlineLevel="1" thickBot="1" x14ac:dyDescent="0.3">
      <c r="A330" s="4"/>
      <c r="B330" s="1772" t="s">
        <v>4498</v>
      </c>
      <c r="C330" s="1391" t="s">
        <v>4499</v>
      </c>
      <c r="D330" s="1391" t="s">
        <v>4525</v>
      </c>
      <c r="E330" s="1773">
        <f>((-1)*(2/((K_iP_HAO_DISS)*(L_ograngeP_HAO_DISS)))*LN((1/19)*(1+(1/2)*((K_iP_HAO_DISS)*(L_ograngeP_HAO_DISS)/(K_iP_HAO_DISS)))))</f>
        <v>2251.2917986064954</v>
      </c>
      <c r="F330" s="1391" t="s">
        <v>4487</v>
      </c>
      <c r="G330" s="1774">
        <v>1</v>
      </c>
      <c r="H330" s="1391"/>
      <c r="I330" s="1775" t="s">
        <v>4537</v>
      </c>
    </row>
    <row r="331" spans="1:9" s="2310" customFormat="1" ht="18" customHeight="1" thickBot="1" x14ac:dyDescent="0.3">
      <c r="A331" s="4"/>
      <c r="B331" s="4"/>
      <c r="C331" s="4"/>
      <c r="D331" s="4"/>
      <c r="E331" s="1798"/>
      <c r="F331" s="4"/>
      <c r="G331" s="4"/>
      <c r="H331" s="4"/>
      <c r="I331" s="4"/>
    </row>
    <row r="332" spans="1:9" s="2310" customFormat="1" ht="18" customHeight="1" thickBot="1" x14ac:dyDescent="0.3">
      <c r="A332" s="4"/>
      <c r="B332" s="131"/>
      <c r="C332" s="1258" t="s">
        <v>1930</v>
      </c>
      <c r="D332" s="14" t="s">
        <v>303</v>
      </c>
      <c r="E332" s="14"/>
      <c r="F332" s="131"/>
      <c r="G332" s="131"/>
      <c r="H332" s="131"/>
      <c r="I332" s="131"/>
    </row>
    <row r="333" spans="1:9" s="2310" customFormat="1" ht="18" customHeight="1" thickBot="1" x14ac:dyDescent="0.3">
      <c r="A333" s="4"/>
      <c r="B333" s="1259" t="s">
        <v>0</v>
      </c>
      <c r="C333" s="1868" t="s">
        <v>1</v>
      </c>
      <c r="D333" s="1260" t="s">
        <v>5</v>
      </c>
      <c r="E333" s="1260" t="s">
        <v>152</v>
      </c>
      <c r="F333" s="1260" t="s">
        <v>2</v>
      </c>
      <c r="G333" s="1260" t="s">
        <v>302</v>
      </c>
      <c r="H333" s="1260" t="s">
        <v>116</v>
      </c>
      <c r="I333" s="1261" t="s">
        <v>117</v>
      </c>
    </row>
    <row r="334" spans="1:9" ht="18" outlineLevel="1" x14ac:dyDescent="0.25">
      <c r="B334" s="1720" t="s">
        <v>1815</v>
      </c>
      <c r="C334" s="1929" t="s">
        <v>2675</v>
      </c>
      <c r="D334" s="1929" t="s">
        <v>1816</v>
      </c>
      <c r="E334" s="1722">
        <f>((1+2*10^(0.5*((p_Hlow)-(p_Hhigh))))/(1+10^((p_H)-(p_Hhigh))+10^((p_Hlow)-(p_H))))</f>
        <v>0.99997841972817147</v>
      </c>
      <c r="F334" s="1721" t="s">
        <v>282</v>
      </c>
      <c r="G334" s="1721">
        <v>2</v>
      </c>
      <c r="H334" s="1806" t="s">
        <v>11</v>
      </c>
      <c r="I334" s="1807"/>
    </row>
    <row r="335" spans="1:9" ht="18" outlineLevel="1" x14ac:dyDescent="0.25">
      <c r="B335" s="555" t="s">
        <v>1815</v>
      </c>
      <c r="C335" s="1425" t="s">
        <v>2675</v>
      </c>
      <c r="D335" s="2154" t="s">
        <v>5069</v>
      </c>
      <c r="E335" s="1723">
        <f>1</f>
        <v>1</v>
      </c>
      <c r="F335" s="1142" t="s">
        <v>282</v>
      </c>
      <c r="G335" s="1142">
        <v>0</v>
      </c>
      <c r="H335" s="1143" t="s">
        <v>1152</v>
      </c>
      <c r="I335" s="1165"/>
    </row>
    <row r="336" spans="1:9" ht="18" outlineLevel="1" x14ac:dyDescent="0.25">
      <c r="B336" s="2132" t="s">
        <v>4949</v>
      </c>
      <c r="C336" s="554" t="s">
        <v>4950</v>
      </c>
      <c r="D336" s="2303" t="s">
        <v>4951</v>
      </c>
      <c r="E336" s="2307">
        <f>((1+2*10^(0.5*((p_Hlow_AOB)-(p_Hhigh_AOB))))/(1+10^((p_H)-(p_Hhigh_AOB))+10^((p_Hlow_AOB)-(p_H))))</f>
        <v>0.98233028995495941</v>
      </c>
      <c r="F336" s="2304" t="s">
        <v>282</v>
      </c>
      <c r="G336" s="2304">
        <v>2</v>
      </c>
      <c r="H336" s="2305" t="s">
        <v>11</v>
      </c>
      <c r="I336" s="2306"/>
    </row>
    <row r="337" spans="1:9" ht="18" outlineLevel="1" x14ac:dyDescent="0.25">
      <c r="B337" s="2132" t="s">
        <v>4949</v>
      </c>
      <c r="C337" s="2303" t="s">
        <v>4950</v>
      </c>
      <c r="D337" s="2303" t="s">
        <v>5070</v>
      </c>
      <c r="E337" s="2307">
        <f>1</f>
        <v>1</v>
      </c>
      <c r="F337" s="2304" t="s">
        <v>282</v>
      </c>
      <c r="G337" s="2304">
        <v>0</v>
      </c>
      <c r="H337" s="2305" t="s">
        <v>1152</v>
      </c>
      <c r="I337" s="2306"/>
    </row>
    <row r="338" spans="1:9" ht="18" outlineLevel="1" x14ac:dyDescent="0.25">
      <c r="B338" s="2132" t="s">
        <v>4952</v>
      </c>
      <c r="C338" s="554" t="s">
        <v>4953</v>
      </c>
      <c r="D338" s="2303" t="s">
        <v>4954</v>
      </c>
      <c r="E338" s="2307">
        <f>((1+2*10^(0.5*((p_Hlow_NOB)-(p_Hhigh_NOB))))/(1+10^((p_H)-(p_Hhigh_NOB))+10^((p_Hlow_NOB)-(p_H))))</f>
        <v>0.98233028995495941</v>
      </c>
      <c r="F338" s="2304" t="s">
        <v>282</v>
      </c>
      <c r="G338" s="2304">
        <v>2</v>
      </c>
      <c r="H338" s="2305" t="s">
        <v>11</v>
      </c>
      <c r="I338" s="2306"/>
    </row>
    <row r="339" spans="1:9" ht="18" outlineLevel="1" x14ac:dyDescent="0.25">
      <c r="B339" s="2132" t="s">
        <v>4952</v>
      </c>
      <c r="C339" s="2303" t="s">
        <v>4953</v>
      </c>
      <c r="D339" s="2303" t="s">
        <v>5071</v>
      </c>
      <c r="E339" s="2307">
        <f>1</f>
        <v>1</v>
      </c>
      <c r="F339" s="2304" t="s">
        <v>282</v>
      </c>
      <c r="G339" s="2304">
        <v>0</v>
      </c>
      <c r="H339" s="2305" t="s">
        <v>1152</v>
      </c>
      <c r="I339" s="2306"/>
    </row>
    <row r="340" spans="1:9" ht="18" outlineLevel="1" x14ac:dyDescent="0.25">
      <c r="B340" s="555" t="s">
        <v>1963</v>
      </c>
      <c r="C340" s="1425" t="s">
        <v>2676</v>
      </c>
      <c r="D340" s="1425" t="s">
        <v>1965</v>
      </c>
      <c r="E340" s="1724">
        <f>((1+2*10^(0.5*((p_Hlow_AMETO)-(p_Hhigh_AMETO))))/(1+10^((p_H)-(p_Hhigh_AMETO))+10^((p_Hlow_AMETO)-(p_H))))</f>
        <v>0.99932217031298287</v>
      </c>
      <c r="F340" s="1142" t="s">
        <v>282</v>
      </c>
      <c r="G340" s="1142">
        <v>2</v>
      </c>
      <c r="H340" s="1143" t="s">
        <v>11</v>
      </c>
      <c r="I340" s="1165"/>
    </row>
    <row r="341" spans="1:9" ht="18" outlineLevel="1" x14ac:dyDescent="0.25">
      <c r="B341" s="555" t="s">
        <v>1963</v>
      </c>
      <c r="C341" s="1425" t="s">
        <v>2676</v>
      </c>
      <c r="D341" s="1425" t="s">
        <v>5072</v>
      </c>
      <c r="E341" s="1723">
        <f>1</f>
        <v>1</v>
      </c>
      <c r="F341" s="1142" t="s">
        <v>282</v>
      </c>
      <c r="G341" s="1142">
        <v>0</v>
      </c>
      <c r="H341" s="1143" t="s">
        <v>1152</v>
      </c>
      <c r="I341" s="1165"/>
    </row>
    <row r="342" spans="1:9" ht="18" outlineLevel="1" x14ac:dyDescent="0.25">
      <c r="B342" s="555" t="s">
        <v>1964</v>
      </c>
      <c r="C342" s="1425" t="s">
        <v>2677</v>
      </c>
      <c r="D342" s="1425" t="s">
        <v>1966</v>
      </c>
      <c r="E342" s="1724">
        <f>((1+2*10^(0.5*((p_Hlow_HMETO)-(p_Hhigh_HMETO))))/(1+10^((p_H)-(p_Hhigh_HMETO))+10^((p_Hlow_HMETO)-(p_H))))</f>
        <v>0.99932217031298287</v>
      </c>
      <c r="F342" s="1142" t="s">
        <v>282</v>
      </c>
      <c r="G342" s="1142">
        <v>2</v>
      </c>
      <c r="H342" s="1143" t="s">
        <v>11</v>
      </c>
      <c r="I342" s="1165"/>
    </row>
    <row r="343" spans="1:9" ht="18" outlineLevel="1" x14ac:dyDescent="0.25">
      <c r="B343" s="555" t="s">
        <v>1964</v>
      </c>
      <c r="C343" s="1425" t="s">
        <v>2677</v>
      </c>
      <c r="D343" s="1425" t="s">
        <v>5073</v>
      </c>
      <c r="E343" s="1723">
        <f>1</f>
        <v>1</v>
      </c>
      <c r="F343" s="1142" t="s">
        <v>282</v>
      </c>
      <c r="G343" s="1142">
        <v>0</v>
      </c>
      <c r="H343" s="1143" t="s">
        <v>1152</v>
      </c>
      <c r="I343" s="1165"/>
    </row>
    <row r="344" spans="1:9" ht="18" outlineLevel="1" x14ac:dyDescent="0.25">
      <c r="B344" s="2132" t="s">
        <v>5136</v>
      </c>
      <c r="C344" s="554" t="s">
        <v>5137</v>
      </c>
      <c r="D344" s="2154" t="s">
        <v>5138</v>
      </c>
      <c r="E344" s="2521">
        <f>((1+2*10^(0.5*((p_Hlow_FLOC_HFO)-(p_Hhigh_FLOC_HFO))))/(1+10^((p_H)-(p_Hhigh_FLOC_HFO))+10^((p_Hlow_FLOC_HFO)-(p_H))))</f>
        <v>0.99788828703368959</v>
      </c>
      <c r="F344" s="2520" t="s">
        <v>282</v>
      </c>
      <c r="G344" s="2520">
        <v>2</v>
      </c>
      <c r="H344" s="2156" t="s">
        <v>11</v>
      </c>
      <c r="I344" s="2306"/>
    </row>
    <row r="345" spans="1:9" ht="18" outlineLevel="1" x14ac:dyDescent="0.25">
      <c r="B345" s="2132" t="s">
        <v>5136</v>
      </c>
      <c r="C345" s="2154" t="s">
        <v>5137</v>
      </c>
      <c r="D345" s="2154" t="s">
        <v>5139</v>
      </c>
      <c r="E345" s="2521">
        <f>1</f>
        <v>1</v>
      </c>
      <c r="F345" s="2520" t="s">
        <v>282</v>
      </c>
      <c r="G345" s="2520">
        <v>0</v>
      </c>
      <c r="H345" s="2156" t="s">
        <v>1152</v>
      </c>
      <c r="I345" s="2306"/>
    </row>
    <row r="346" spans="1:9" ht="18" outlineLevel="1" x14ac:dyDescent="0.25">
      <c r="B346" s="2132" t="s">
        <v>5140</v>
      </c>
      <c r="C346" s="554" t="s">
        <v>5141</v>
      </c>
      <c r="D346" s="2154" t="s">
        <v>5142</v>
      </c>
      <c r="E346" s="2521">
        <f>((1+2*10^(0.5*((p_Hlow_FLOC_HAO)-(p_Hhigh_FLOC_HAO))))/(1+10^((p_H)-(p_Hhigh_FLOC_HAO))+10^((p_Hlow_FLOC_HAO)-(p_H))))</f>
        <v>0.99788828703368959</v>
      </c>
      <c r="F346" s="2520" t="s">
        <v>282</v>
      </c>
      <c r="G346" s="2520">
        <v>2</v>
      </c>
      <c r="H346" s="2156" t="s">
        <v>11</v>
      </c>
      <c r="I346" s="2306"/>
    </row>
    <row r="347" spans="1:9" ht="18" outlineLevel="1" x14ac:dyDescent="0.25">
      <c r="B347" s="2132" t="s">
        <v>5140</v>
      </c>
      <c r="C347" s="2154" t="s">
        <v>5141</v>
      </c>
      <c r="D347" s="2154" t="s">
        <v>5143</v>
      </c>
      <c r="E347" s="2521">
        <f>1</f>
        <v>1</v>
      </c>
      <c r="F347" s="2520" t="s">
        <v>282</v>
      </c>
      <c r="G347" s="2520">
        <v>0</v>
      </c>
      <c r="H347" s="2156" t="s">
        <v>1152</v>
      </c>
      <c r="I347" s="2306"/>
    </row>
    <row r="348" spans="1:9" ht="18" outlineLevel="1" x14ac:dyDescent="0.25">
      <c r="B348" s="886" t="s">
        <v>2292</v>
      </c>
      <c r="C348" s="1744" t="s">
        <v>2678</v>
      </c>
      <c r="D348" s="1744" t="s">
        <v>2686</v>
      </c>
      <c r="E348" s="1725">
        <f>((K_iHNO2_AOB_pH)/((K_iHNO2_AOB_pH)+(conc_HNO2_I)))</f>
        <v>0.99999999999991396</v>
      </c>
      <c r="F348" s="1726" t="s">
        <v>282</v>
      </c>
      <c r="G348" s="1726">
        <v>2</v>
      </c>
      <c r="H348" s="1726"/>
      <c r="I348" s="1852"/>
    </row>
    <row r="349" spans="1:9" s="103" customFormat="1" ht="18.75" outlineLevel="1" x14ac:dyDescent="0.25">
      <c r="A349" s="131"/>
      <c r="B349" s="886" t="s">
        <v>2293</v>
      </c>
      <c r="C349" s="1744" t="s">
        <v>2679</v>
      </c>
      <c r="D349" s="1758" t="s">
        <v>4503</v>
      </c>
      <c r="E349" s="1725">
        <f>((conc_HCO3m_I)/((conc_HCO3m_I)+(K_CO2_AOB_pH)*EXP(((K_CO2_AOB_pH)-(conc_HCO3m_I))*(L_ogslopeCO2_AOB_pH))))</f>
        <v>0.99999999997903732</v>
      </c>
      <c r="F349" s="1727" t="s">
        <v>282</v>
      </c>
      <c r="G349" s="1727">
        <v>2</v>
      </c>
      <c r="H349" s="1726"/>
      <c r="I349" s="1852"/>
    </row>
    <row r="350" spans="1:9" s="103" customFormat="1" ht="18" outlineLevel="1" x14ac:dyDescent="0.25">
      <c r="A350" s="131"/>
      <c r="B350" s="887" t="s">
        <v>2294</v>
      </c>
      <c r="C350" s="1928" t="s">
        <v>2680</v>
      </c>
      <c r="D350" s="1930" t="s">
        <v>2685</v>
      </c>
      <c r="E350" s="1729">
        <f>((K_iNH3_NOB_pH)/((K_iNH3_NOB_pH)+(conc_NH3_I)))</f>
        <v>0.99999999995542743</v>
      </c>
      <c r="F350" s="1728" t="s">
        <v>282</v>
      </c>
      <c r="G350" s="1728">
        <v>2</v>
      </c>
      <c r="H350" s="1730"/>
      <c r="I350" s="1808"/>
    </row>
    <row r="351" spans="1:9" s="103" customFormat="1" ht="18.75" outlineLevel="1" x14ac:dyDescent="0.25">
      <c r="A351" s="131"/>
      <c r="B351" s="887" t="s">
        <v>2295</v>
      </c>
      <c r="C351" s="1928" t="s">
        <v>2681</v>
      </c>
      <c r="D351" s="1930" t="s">
        <v>4504</v>
      </c>
      <c r="E351" s="1729">
        <f>((conc_HCO3m_I)/((conc_HCO3m_I)+(K_CO2_NOB_pH)*EXP(((K_CO2_NOB_pH)-(conc_HCO3m_I))*(L_ogslopeCO2_NOB_pH))))</f>
        <v>1</v>
      </c>
      <c r="F351" s="1728" t="s">
        <v>282</v>
      </c>
      <c r="G351" s="1728">
        <v>2</v>
      </c>
      <c r="H351" s="1730"/>
      <c r="I351" s="1805"/>
    </row>
    <row r="352" spans="1:9" s="103" customFormat="1" ht="18.75" outlineLevel="1" x14ac:dyDescent="0.25">
      <c r="A352" s="131"/>
      <c r="B352" s="617" t="s">
        <v>2296</v>
      </c>
      <c r="C352" s="1931" t="s">
        <v>2682</v>
      </c>
      <c r="D352" s="1932" t="s">
        <v>4505</v>
      </c>
      <c r="E352" s="1731">
        <f>((conc_HCO3m_I)/((conc_HCO3m_I)+(K_CO2_AMX_pH)*EXP(((K_CO2_AMX_pH)-(conc_HCO3m_I))*(L_ogslopeCO2_AMX_pH))))</f>
        <v>1</v>
      </c>
      <c r="F352" s="1012" t="s">
        <v>282</v>
      </c>
      <c r="G352" s="1012">
        <v>2</v>
      </c>
      <c r="H352" s="1008"/>
      <c r="I352" s="1013"/>
    </row>
    <row r="353" spans="1:9" ht="18" outlineLevel="1" x14ac:dyDescent="0.25">
      <c r="B353" s="617" t="s">
        <v>2297</v>
      </c>
      <c r="C353" s="1931" t="s">
        <v>2683</v>
      </c>
      <c r="D353" s="1933" t="s">
        <v>2684</v>
      </c>
      <c r="E353" s="1008">
        <f>((K_iHNO2_AMX_pH)/((K_iHNO2_AMX_pH)+(conc_HNO2_I)))</f>
        <v>0.99999999913998838</v>
      </c>
      <c r="F353" s="1008" t="s">
        <v>282</v>
      </c>
      <c r="G353" s="1008">
        <v>2</v>
      </c>
      <c r="H353" s="1008"/>
      <c r="I353" s="1013"/>
    </row>
    <row r="354" spans="1:9" s="1828" customFormat="1" ht="18.75" outlineLevel="1" thickBot="1" x14ac:dyDescent="0.3">
      <c r="B354" s="2522" t="s">
        <v>4551</v>
      </c>
      <c r="C354" s="2523" t="s">
        <v>4552</v>
      </c>
      <c r="D354" s="2523" t="s">
        <v>4553</v>
      </c>
      <c r="E354" s="2524">
        <f>(1-(conc_NH3_I)/((conc_NH3_I)+(K_iNH3_AMETO_pH)*EXP(((K_iNH3_AMETO_pH)-(conc_NH3_I))*(L_ogslopeNH3_AMETO_pH))))</f>
        <v>1</v>
      </c>
      <c r="F354" s="2525" t="s">
        <v>282</v>
      </c>
      <c r="G354" s="2526">
        <v>2</v>
      </c>
      <c r="H354" s="2527"/>
      <c r="I354" s="2528"/>
    </row>
    <row r="355" spans="1:9" s="2310" customFormat="1" ht="18" customHeight="1" thickBot="1" x14ac:dyDescent="0.3">
      <c r="A355" s="4"/>
      <c r="B355" s="4"/>
      <c r="C355" s="4"/>
      <c r="D355" s="4"/>
      <c r="E355" s="1798"/>
      <c r="F355" s="4"/>
      <c r="G355" s="4"/>
      <c r="H355" s="4"/>
      <c r="I355" s="4"/>
    </row>
    <row r="356" spans="1:9" s="2310" customFormat="1" ht="18" customHeight="1" thickBot="1" x14ac:dyDescent="0.3">
      <c r="A356" s="4"/>
      <c r="B356" s="131"/>
      <c r="C356" s="1258" t="s">
        <v>893</v>
      </c>
      <c r="D356" s="14" t="s">
        <v>303</v>
      </c>
      <c r="E356" s="14"/>
      <c r="F356" s="131"/>
      <c r="G356" s="131"/>
      <c r="H356" s="131"/>
      <c r="I356" s="131"/>
    </row>
    <row r="357" spans="1:9" s="2310" customFormat="1" ht="18" customHeight="1" thickBot="1" x14ac:dyDescent="0.3">
      <c r="A357" s="4"/>
      <c r="B357" s="1259" t="s">
        <v>0</v>
      </c>
      <c r="C357" s="1868" t="s">
        <v>1</v>
      </c>
      <c r="D357" s="1260" t="s">
        <v>5</v>
      </c>
      <c r="E357" s="1260" t="s">
        <v>152</v>
      </c>
      <c r="F357" s="1260" t="s">
        <v>2</v>
      </c>
      <c r="G357" s="1260" t="s">
        <v>302</v>
      </c>
      <c r="H357" s="1260" t="s">
        <v>116</v>
      </c>
      <c r="I357" s="1261" t="s">
        <v>117</v>
      </c>
    </row>
    <row r="358" spans="1:9" ht="18" outlineLevel="1" x14ac:dyDescent="0.25">
      <c r="B358" s="611" t="s">
        <v>1793</v>
      </c>
      <c r="C358" s="554" t="s">
        <v>2689</v>
      </c>
      <c r="D358" s="554" t="s">
        <v>1794</v>
      </c>
      <c r="E358" s="496">
        <f>((S_AN)/((K_AN)+(S_AN)))</f>
        <v>0.99933377748167895</v>
      </c>
      <c r="F358" s="496" t="s">
        <v>282</v>
      </c>
      <c r="G358" s="496">
        <v>2</v>
      </c>
      <c r="H358" s="702"/>
      <c r="I358" s="612"/>
    </row>
    <row r="359" spans="1:9" ht="18" outlineLevel="1" x14ac:dyDescent="0.25">
      <c r="B359" s="136" t="s">
        <v>1791</v>
      </c>
      <c r="C359" s="1935" t="s">
        <v>2690</v>
      </c>
      <c r="D359" s="508" t="s">
        <v>1792</v>
      </c>
      <c r="E359" s="297">
        <f>((S_CAT)/((K_CAT)+(S_CAT)))</f>
        <v>0.99715099715099709</v>
      </c>
      <c r="F359" s="297" t="s">
        <v>282</v>
      </c>
      <c r="G359" s="297">
        <v>2</v>
      </c>
      <c r="H359" s="83"/>
      <c r="I359" s="417"/>
    </row>
    <row r="360" spans="1:9" ht="18" customHeight="1" outlineLevel="1" x14ac:dyDescent="0.25">
      <c r="B360" s="555" t="s">
        <v>3817</v>
      </c>
      <c r="C360" s="1425" t="s">
        <v>3818</v>
      </c>
      <c r="D360" s="1425" t="s">
        <v>3819</v>
      </c>
      <c r="E360" s="1142">
        <f>((S_Ca)/((K_Ca_BIO)+(S_Ca)))</f>
        <v>0.99999933333377777</v>
      </c>
      <c r="F360" s="1142" t="s">
        <v>282</v>
      </c>
      <c r="G360" s="1142">
        <v>2</v>
      </c>
      <c r="H360" s="1143"/>
      <c r="I360" s="1165"/>
    </row>
    <row r="361" spans="1:9" ht="18" customHeight="1" outlineLevel="1" x14ac:dyDescent="0.25">
      <c r="B361" s="555" t="s">
        <v>3820</v>
      </c>
      <c r="C361" s="1425" t="s">
        <v>3821</v>
      </c>
      <c r="D361" s="1425" t="s">
        <v>3822</v>
      </c>
      <c r="E361" s="1142">
        <f>((S_Mg)/((K_Mg_BIO)+(S_Mg)))</f>
        <v>0.99999333337777752</v>
      </c>
      <c r="F361" s="1142" t="s">
        <v>282</v>
      </c>
      <c r="G361" s="1142">
        <v>2</v>
      </c>
      <c r="H361" s="1143"/>
      <c r="I361" s="1165"/>
    </row>
    <row r="362" spans="1:9" ht="18" outlineLevel="1" x14ac:dyDescent="0.25">
      <c r="B362" s="136" t="s">
        <v>1805</v>
      </c>
      <c r="C362" s="1935" t="s">
        <v>2691</v>
      </c>
      <c r="D362" s="508" t="s">
        <v>1806</v>
      </c>
      <c r="E362" s="297">
        <f>((S_CO2)/((K_CO2_BIO)+(S_CO2)))</f>
        <v>0.98404255319148937</v>
      </c>
      <c r="F362" s="297" t="s">
        <v>282</v>
      </c>
      <c r="G362" s="297">
        <v>2</v>
      </c>
      <c r="H362" s="83"/>
      <c r="I362" s="417"/>
    </row>
    <row r="363" spans="1:9" ht="18" outlineLevel="1" x14ac:dyDescent="0.25">
      <c r="B363" s="136" t="s">
        <v>1787</v>
      </c>
      <c r="C363" s="1935" t="s">
        <v>2692</v>
      </c>
      <c r="D363" s="508" t="s">
        <v>1788</v>
      </c>
      <c r="E363" s="297">
        <f>((S_NHx)/((K_NHx_BIO)+(S_NHx)))</f>
        <v>0.99502487562189068</v>
      </c>
      <c r="F363" s="297" t="s">
        <v>282</v>
      </c>
      <c r="G363" s="297">
        <v>2</v>
      </c>
      <c r="H363" s="83"/>
      <c r="I363" s="417"/>
    </row>
    <row r="364" spans="1:9" ht="18" outlineLevel="1" x14ac:dyDescent="0.25">
      <c r="B364" s="136" t="s">
        <v>1789</v>
      </c>
      <c r="C364" s="1935" t="s">
        <v>2693</v>
      </c>
      <c r="D364" s="508" t="s">
        <v>1790</v>
      </c>
      <c r="E364" s="297">
        <f>((S_PO4)/((K_PO4_BIO)+(S_PO4)))</f>
        <v>0.99601593625498008</v>
      </c>
      <c r="F364" s="297" t="s">
        <v>282</v>
      </c>
      <c r="G364" s="297">
        <v>2</v>
      </c>
      <c r="H364" s="83"/>
      <c r="I364" s="417"/>
    </row>
    <row r="365" spans="1:9" ht="18" outlineLevel="1" x14ac:dyDescent="0.25">
      <c r="B365" s="362" t="s">
        <v>3246</v>
      </c>
      <c r="C365" s="1936" t="s">
        <v>3247</v>
      </c>
      <c r="D365" s="1937" t="s">
        <v>3248</v>
      </c>
      <c r="E365" s="365">
        <f>((S_O2)/((K_O2_EPS)+(S_O2)))</f>
        <v>0.8</v>
      </c>
      <c r="F365" s="365" t="s">
        <v>282</v>
      </c>
      <c r="G365" s="365">
        <v>2</v>
      </c>
      <c r="H365" s="363"/>
      <c r="I365" s="434"/>
    </row>
    <row r="366" spans="1:9" ht="18" outlineLevel="1" x14ac:dyDescent="0.25">
      <c r="B366" s="362" t="s">
        <v>3271</v>
      </c>
      <c r="C366" s="1936" t="s">
        <v>3272</v>
      </c>
      <c r="D366" s="1937" t="s">
        <v>3273</v>
      </c>
      <c r="E366" s="365">
        <f>((S_NO2)/((K_NO2_EPS)+(S_NO2)))</f>
        <v>0.66666666666666663</v>
      </c>
      <c r="F366" s="365" t="s">
        <v>282</v>
      </c>
      <c r="G366" s="365">
        <v>2</v>
      </c>
      <c r="H366" s="363"/>
      <c r="I366" s="434"/>
    </row>
    <row r="367" spans="1:9" ht="18" outlineLevel="1" x14ac:dyDescent="0.25">
      <c r="B367" s="362" t="s">
        <v>3274</v>
      </c>
      <c r="C367" s="1936" t="s">
        <v>3275</v>
      </c>
      <c r="D367" s="1937" t="s">
        <v>3276</v>
      </c>
      <c r="E367" s="365">
        <f>((S_NO3)/((K_NO3_EPS)+(S_NO3)))</f>
        <v>0.98039215686274517</v>
      </c>
      <c r="F367" s="365" t="s">
        <v>282</v>
      </c>
      <c r="G367" s="365">
        <v>2</v>
      </c>
      <c r="H367" s="363"/>
      <c r="I367" s="434"/>
    </row>
    <row r="368" spans="1:9" ht="18" outlineLevel="1" x14ac:dyDescent="0.25">
      <c r="B368" s="362" t="s">
        <v>3277</v>
      </c>
      <c r="C368" s="1936" t="s">
        <v>3280</v>
      </c>
      <c r="D368" s="1937" t="s">
        <v>3283</v>
      </c>
      <c r="E368" s="365">
        <f>((K_O2_EPS)/((K_O2_EPS)+(S_O2)))</f>
        <v>0.2</v>
      </c>
      <c r="F368" s="365" t="s">
        <v>282</v>
      </c>
      <c r="G368" s="365">
        <v>2</v>
      </c>
      <c r="H368" s="363"/>
      <c r="I368" s="434"/>
    </row>
    <row r="369" spans="1:13" ht="18" outlineLevel="1" x14ac:dyDescent="0.25">
      <c r="B369" s="618" t="s">
        <v>3555</v>
      </c>
      <c r="C369" s="1938" t="s">
        <v>3556</v>
      </c>
      <c r="D369" s="1938" t="s">
        <v>3557</v>
      </c>
      <c r="E369" s="1022">
        <f>((K_iO2_EPS)/((K_iO2_EPS)+(S_O2)))</f>
        <v>4.9975012493753133E-4</v>
      </c>
      <c r="F369" s="1022" t="s">
        <v>282</v>
      </c>
      <c r="G369" s="1022">
        <v>2</v>
      </c>
      <c r="H369" s="1023"/>
      <c r="I369" s="1024"/>
    </row>
    <row r="370" spans="1:13" ht="18" outlineLevel="1" x14ac:dyDescent="0.25">
      <c r="B370" s="362" t="s">
        <v>3278</v>
      </c>
      <c r="C370" s="1936" t="s">
        <v>3281</v>
      </c>
      <c r="D370" s="1937" t="s">
        <v>3284</v>
      </c>
      <c r="E370" s="365">
        <f>((K_NO2_EPS)/((K_NO2_EPS)+(S_NO2)))</f>
        <v>0.33333333333333331</v>
      </c>
      <c r="F370" s="365" t="s">
        <v>282</v>
      </c>
      <c r="G370" s="365">
        <v>2</v>
      </c>
      <c r="H370" s="363"/>
      <c r="I370" s="434"/>
    </row>
    <row r="371" spans="1:13" ht="18" outlineLevel="1" x14ac:dyDescent="0.25">
      <c r="B371" s="362" t="s">
        <v>3279</v>
      </c>
      <c r="C371" s="1936" t="s">
        <v>3282</v>
      </c>
      <c r="D371" s="1937" t="s">
        <v>3285</v>
      </c>
      <c r="E371" s="365">
        <f>((K_NO3_EPS)/((K_NO3_EPS)+(S_NO3)))</f>
        <v>1.9607843137254905E-2</v>
      </c>
      <c r="F371" s="365" t="s">
        <v>282</v>
      </c>
      <c r="G371" s="365">
        <v>2</v>
      </c>
      <c r="H371" s="363"/>
      <c r="I371" s="434"/>
    </row>
    <row r="372" spans="1:13" ht="18" outlineLevel="1" x14ac:dyDescent="0.25">
      <c r="B372" s="169" t="s">
        <v>2298</v>
      </c>
      <c r="C372" s="1906" t="s">
        <v>2833</v>
      </c>
      <c r="D372" s="1907" t="s">
        <v>2299</v>
      </c>
      <c r="E372" s="419">
        <f>((K_NO2_OHO)/((K_NO2_OHO)+(S_NO2)))</f>
        <v>0.33333333333333331</v>
      </c>
      <c r="F372" s="357" t="s">
        <v>282</v>
      </c>
      <c r="G372" s="357">
        <v>2</v>
      </c>
      <c r="H372" s="291"/>
      <c r="I372" s="430"/>
    </row>
    <row r="373" spans="1:13" ht="18" outlineLevel="1" x14ac:dyDescent="0.25">
      <c r="B373" s="169" t="s">
        <v>2300</v>
      </c>
      <c r="C373" s="1906" t="s">
        <v>2834</v>
      </c>
      <c r="D373" s="1907" t="s">
        <v>2301</v>
      </c>
      <c r="E373" s="419">
        <f>((K_NO3_OHO)/((K_NO3_OHO)+(S_NO3)))</f>
        <v>0.2</v>
      </c>
      <c r="F373" s="357" t="s">
        <v>282</v>
      </c>
      <c r="G373" s="357">
        <v>2</v>
      </c>
      <c r="H373" s="291"/>
      <c r="I373" s="430"/>
    </row>
    <row r="374" spans="1:13" ht="18" outlineLevel="1" x14ac:dyDescent="0.25">
      <c r="B374" s="722" t="s">
        <v>1812</v>
      </c>
      <c r="C374" s="1906" t="s">
        <v>2694</v>
      </c>
      <c r="D374" s="1906" t="s">
        <v>1929</v>
      </c>
      <c r="E374" s="606">
        <f>((K_O2_OHO)/((K_O2_OHO)+(S_O2)))</f>
        <v>6.9767441860465115E-2</v>
      </c>
      <c r="F374" s="606" t="s">
        <v>282</v>
      </c>
      <c r="G374" s="606">
        <v>2</v>
      </c>
      <c r="H374" s="609"/>
      <c r="I374" s="610"/>
    </row>
    <row r="375" spans="1:13" ht="18" outlineLevel="1" x14ac:dyDescent="0.25">
      <c r="B375" s="613" t="s">
        <v>1810</v>
      </c>
      <c r="C375" s="1939" t="s">
        <v>2695</v>
      </c>
      <c r="D375" s="1908" t="s">
        <v>1811</v>
      </c>
      <c r="E375" s="725">
        <f>((K_VFA)/((K_VFA)+(S_VFA)))</f>
        <v>0.98039215686274506</v>
      </c>
      <c r="F375" s="725" t="s">
        <v>282</v>
      </c>
      <c r="G375" s="725">
        <v>2</v>
      </c>
      <c r="H375" s="711"/>
      <c r="I375" s="614"/>
    </row>
    <row r="376" spans="1:13" ht="18" outlineLevel="1" x14ac:dyDescent="0.25">
      <c r="B376" s="722" t="s">
        <v>3143</v>
      </c>
      <c r="C376" s="1940" t="s">
        <v>3144</v>
      </c>
      <c r="D376" s="1908" t="s">
        <v>3145</v>
      </c>
      <c r="E376" s="724">
        <f>((S_B_poly)/((K_SB_poly)+(S_B_poly)))</f>
        <v>0.16666666666666666</v>
      </c>
      <c r="F376" s="724" t="s">
        <v>282</v>
      </c>
      <c r="G376" s="724">
        <v>2</v>
      </c>
      <c r="H376" s="723"/>
      <c r="I376" s="726"/>
      <c r="L376" s="2310"/>
      <c r="M376" s="2310"/>
    </row>
    <row r="377" spans="1:13" ht="30" outlineLevel="1" x14ac:dyDescent="0.25">
      <c r="B377" s="722" t="s">
        <v>3146</v>
      </c>
      <c r="C377" s="1940" t="s">
        <v>3147</v>
      </c>
      <c r="D377" s="1908" t="s">
        <v>3148</v>
      </c>
      <c r="E377" s="724">
        <f>((S_B_poly)/((K_SB_poly_ana)+(S_B_poly)))</f>
        <v>0.16666666666666666</v>
      </c>
      <c r="F377" s="724" t="s">
        <v>282</v>
      </c>
      <c r="G377" s="724">
        <v>2</v>
      </c>
      <c r="H377" s="723"/>
      <c r="I377" s="726"/>
    </row>
    <row r="378" spans="1:13" ht="18" outlineLevel="1" x14ac:dyDescent="0.25">
      <c r="B378" s="169" t="s">
        <v>1783</v>
      </c>
      <c r="C378" s="1906" t="s">
        <v>2696</v>
      </c>
      <c r="D378" s="1907" t="s">
        <v>1784</v>
      </c>
      <c r="E378" s="357">
        <f>((S_MEOL)/((K_MEOL_OHO)+(S_MEOL)))</f>
        <v>9.9999999999999994E-50</v>
      </c>
      <c r="F378" s="357" t="s">
        <v>282</v>
      </c>
      <c r="G378" s="357">
        <v>2</v>
      </c>
      <c r="H378" s="291"/>
      <c r="I378" s="430"/>
    </row>
    <row r="379" spans="1:13" s="2310" customFormat="1" ht="18" outlineLevel="1" x14ac:dyDescent="0.25">
      <c r="A379" s="4"/>
      <c r="B379" s="1853" t="s">
        <v>2393</v>
      </c>
      <c r="C379" s="1906" t="s">
        <v>2703</v>
      </c>
      <c r="D379" s="1941" t="s">
        <v>2394</v>
      </c>
      <c r="E379" s="484">
        <f>((S_NO2)/((K_NO2_OHO)+(S_NO2)))</f>
        <v>0.66666666666666663</v>
      </c>
      <c r="F379" s="484" t="s">
        <v>282</v>
      </c>
      <c r="G379" s="484">
        <v>2</v>
      </c>
      <c r="H379" s="1809"/>
      <c r="I379" s="1854"/>
    </row>
    <row r="380" spans="1:13" s="549" customFormat="1" ht="18" customHeight="1" outlineLevel="1" x14ac:dyDescent="0.25">
      <c r="A380" s="131"/>
      <c r="B380" s="1853" t="s">
        <v>2395</v>
      </c>
      <c r="C380" s="1906" t="s">
        <v>2702</v>
      </c>
      <c r="D380" s="1941" t="s">
        <v>2396</v>
      </c>
      <c r="E380" s="484">
        <f>((S_NO3)/((K_NO3_OHO)+(S_NO3)))</f>
        <v>0.8</v>
      </c>
      <c r="F380" s="484" t="s">
        <v>282</v>
      </c>
      <c r="G380" s="484">
        <v>2</v>
      </c>
      <c r="H380" s="1809"/>
      <c r="I380" s="1854"/>
    </row>
    <row r="381" spans="1:13" ht="18" outlineLevel="1" x14ac:dyDescent="0.25">
      <c r="B381" s="169" t="s">
        <v>1781</v>
      </c>
      <c r="C381" s="1906" t="s">
        <v>2697</v>
      </c>
      <c r="D381" s="1907" t="s">
        <v>1782</v>
      </c>
      <c r="E381" s="357">
        <f>((S_O2)/((K_O2_OHO)+(S_O2)))</f>
        <v>0.93023255813953487</v>
      </c>
      <c r="F381" s="357" t="s">
        <v>282</v>
      </c>
      <c r="G381" s="357">
        <v>2</v>
      </c>
      <c r="H381" s="291"/>
      <c r="I381" s="430"/>
    </row>
    <row r="382" spans="1:13" ht="18" outlineLevel="1" x14ac:dyDescent="0.25">
      <c r="B382" s="169" t="s">
        <v>894</v>
      </c>
      <c r="C382" s="1906" t="s">
        <v>2698</v>
      </c>
      <c r="D382" s="1907" t="s">
        <v>895</v>
      </c>
      <c r="E382" s="357">
        <f>((S_VFA)/((K_VFA)+(S_VFA)))</f>
        <v>1.9607843137254902E-2</v>
      </c>
      <c r="F382" s="357" t="s">
        <v>282</v>
      </c>
      <c r="G382" s="357">
        <v>2</v>
      </c>
      <c r="H382" s="291"/>
      <c r="I382" s="430"/>
    </row>
    <row r="383" spans="1:13" ht="18" outlineLevel="1" x14ac:dyDescent="0.25">
      <c r="B383" s="169" t="s">
        <v>2141</v>
      </c>
      <c r="C383" s="1906" t="s">
        <v>2140</v>
      </c>
      <c r="D383" s="1760" t="s">
        <v>4506</v>
      </c>
      <c r="E383" s="1762">
        <f>((S_VFA)/((S_VFA)+(K_VFA_FERM)*EXP(((K_VFA_FERM)-(S_VFA))*(L_ogslopeVFA_FERM))))</f>
        <v>4.4767737282903354E-217</v>
      </c>
      <c r="F383" s="357" t="s">
        <v>282</v>
      </c>
      <c r="G383" s="357">
        <v>2</v>
      </c>
      <c r="H383" s="291"/>
      <c r="I383" s="430"/>
    </row>
    <row r="384" spans="1:13" ht="18" outlineLevel="1" x14ac:dyDescent="0.25">
      <c r="B384" s="169" t="s">
        <v>2142</v>
      </c>
      <c r="C384" s="1906" t="s">
        <v>4791</v>
      </c>
      <c r="D384" s="1760" t="s">
        <v>4507</v>
      </c>
      <c r="E384" s="1762">
        <f>(1-(S_VFA)/((S_VFA)+(K_VFA_FERM)*EXP(((K_VFA_FERM)-(S_VFA))*(L_ogslopeVFA_FERM))))</f>
        <v>1</v>
      </c>
      <c r="F384" s="357" t="s">
        <v>282</v>
      </c>
      <c r="G384" s="357">
        <v>2</v>
      </c>
      <c r="H384" s="291"/>
      <c r="I384" s="430"/>
    </row>
    <row r="385" spans="1:9" ht="18" customHeight="1" outlineLevel="1" x14ac:dyDescent="0.25">
      <c r="B385" s="2536" t="s">
        <v>5174</v>
      </c>
      <c r="C385" s="2567" t="s">
        <v>5212</v>
      </c>
      <c r="D385" s="2568" t="s">
        <v>5213</v>
      </c>
      <c r="E385" s="2550">
        <f>(1-(S_NO3)/((S_NO3)+(K_NO3_OHO)*EXP(((K_NO3_OHO)-(S_NO3))*(L_ogslopeSNO3))))</f>
        <v>0</v>
      </c>
      <c r="F385" s="2550" t="s">
        <v>282</v>
      </c>
      <c r="G385" s="2550">
        <v>2</v>
      </c>
      <c r="H385" s="2551"/>
      <c r="I385" s="2552"/>
    </row>
    <row r="386" spans="1:9" ht="18" customHeight="1" outlineLevel="1" x14ac:dyDescent="0.25">
      <c r="B386" s="2536" t="s">
        <v>5175</v>
      </c>
      <c r="C386" s="2568" t="s">
        <v>5176</v>
      </c>
      <c r="D386" s="2568" t="s">
        <v>5214</v>
      </c>
      <c r="E386" s="2550">
        <f>((S_NO3)/((S_NO3)+(K_NO3_OHO)*EXP(((K_NO3_OHO)-(S_NO3))*(L_ogslopeKSNO3))))</f>
        <v>0.99998200839176266</v>
      </c>
      <c r="F386" s="2550" t="s">
        <v>282</v>
      </c>
      <c r="G386" s="2550">
        <v>2</v>
      </c>
      <c r="H386" s="2551"/>
      <c r="I386" s="2552"/>
    </row>
    <row r="387" spans="1:9" ht="18" customHeight="1" outlineLevel="1" x14ac:dyDescent="0.25">
      <c r="B387" s="2536" t="s">
        <v>5177</v>
      </c>
      <c r="C387" s="2568" t="s">
        <v>5178</v>
      </c>
      <c r="D387" s="2568" t="s">
        <v>5215</v>
      </c>
      <c r="E387" s="2550">
        <f>((S_VFA)/((S_VFA)+(K_VFA_OHO_SNO2)*EXP(((K_VFA_OHO_SNO2)-(S_VFA))*(L_ogslopeKVFA_SNO2))))</f>
        <v>1.0242188679984519E-89</v>
      </c>
      <c r="F387" s="2550" t="s">
        <v>282</v>
      </c>
      <c r="G387" s="2550">
        <v>2</v>
      </c>
      <c r="H387" s="2551"/>
      <c r="I387" s="2552"/>
    </row>
    <row r="388" spans="1:9" ht="18" customHeight="1" outlineLevel="1" x14ac:dyDescent="0.25">
      <c r="B388" s="2536" t="s">
        <v>5179</v>
      </c>
      <c r="C388" s="2568" t="s">
        <v>5180</v>
      </c>
      <c r="D388" s="2568" t="s">
        <v>5216</v>
      </c>
      <c r="E388" s="2550">
        <f>(1-(S_VFA)/((S_VFA)+(K_VFA_OHO_SNO2)*EXP(((K_VFA_OHO_SNO2)-(S_VFA))*(L_ogslopeKVFA_SNO2))))</f>
        <v>1</v>
      </c>
      <c r="F388" s="2550" t="s">
        <v>282</v>
      </c>
      <c r="G388" s="2550">
        <v>2</v>
      </c>
      <c r="H388" s="2551"/>
      <c r="I388" s="2552"/>
    </row>
    <row r="389" spans="1:9" s="103" customFormat="1" ht="18" outlineLevel="1" x14ac:dyDescent="0.25">
      <c r="A389" s="131"/>
      <c r="B389" s="727" t="s">
        <v>3149</v>
      </c>
      <c r="C389" s="1942" t="s">
        <v>3150</v>
      </c>
      <c r="D389" s="1942" t="s">
        <v>3151</v>
      </c>
      <c r="E389" s="729">
        <f>((S_B_mono)/((K_SB_mono)+(S_B_mono)))</f>
        <v>0.66666666666666663</v>
      </c>
      <c r="F389" s="728" t="s">
        <v>282</v>
      </c>
      <c r="G389" s="728">
        <v>2</v>
      </c>
      <c r="H389" s="730"/>
      <c r="I389" s="731"/>
    </row>
    <row r="390" spans="1:9" s="103" customFormat="1" ht="18" outlineLevel="1" x14ac:dyDescent="0.25">
      <c r="A390" s="131"/>
      <c r="B390" s="727" t="s">
        <v>3152</v>
      </c>
      <c r="C390" s="1942" t="s">
        <v>3153</v>
      </c>
      <c r="D390" s="1942" t="s">
        <v>3154</v>
      </c>
      <c r="E390" s="729">
        <f>(((X_STO)/(X_AHO))/((X_STO)/(X_AHO)+(K_STO)))</f>
        <v>0.94669509594882728</v>
      </c>
      <c r="F390" s="728" t="s">
        <v>282</v>
      </c>
      <c r="G390" s="728">
        <v>2</v>
      </c>
      <c r="H390" s="730"/>
      <c r="I390" s="731"/>
    </row>
    <row r="391" spans="1:9" s="103" customFormat="1" ht="18" outlineLevel="1" x14ac:dyDescent="0.25">
      <c r="A391" s="131"/>
      <c r="B391" s="727" t="s">
        <v>3202</v>
      </c>
      <c r="C391" s="1942" t="s">
        <v>3203</v>
      </c>
      <c r="D391" s="1942" t="s">
        <v>4517</v>
      </c>
      <c r="E391" s="729">
        <f>(1-(X_STO/X_AHO)/((X_STO/X_AHO)+(K_iSTO_AHO_max)*EXP(((K_iSTO_AHO_max)-(X_STO/X_AHO))*(L_ogslopeSTO_AHO_inh))))</f>
        <v>0</v>
      </c>
      <c r="F391" s="728" t="s">
        <v>282</v>
      </c>
      <c r="G391" s="728">
        <v>2</v>
      </c>
      <c r="H391" s="730"/>
      <c r="I391" s="731"/>
    </row>
    <row r="392" spans="1:9" s="103" customFormat="1" ht="18" outlineLevel="1" x14ac:dyDescent="0.25">
      <c r="A392" s="131"/>
      <c r="B392" s="727" t="s">
        <v>3222</v>
      </c>
      <c r="C392" s="1942" t="s">
        <v>3234</v>
      </c>
      <c r="D392" s="1942" t="s">
        <v>3228</v>
      </c>
      <c r="E392" s="729">
        <f>((K_NO2_AHO)/((K_NO2_AHO)+(S_NO2)))</f>
        <v>0.33333333333333331</v>
      </c>
      <c r="F392" s="728" t="s">
        <v>282</v>
      </c>
      <c r="G392" s="728">
        <v>2</v>
      </c>
      <c r="H392" s="730"/>
      <c r="I392" s="731"/>
    </row>
    <row r="393" spans="1:9" s="103" customFormat="1" ht="18" outlineLevel="1" x14ac:dyDescent="0.25">
      <c r="A393" s="131"/>
      <c r="B393" s="727" t="s">
        <v>3223</v>
      </c>
      <c r="C393" s="1942" t="s">
        <v>3235</v>
      </c>
      <c r="D393" s="1942" t="s">
        <v>3229</v>
      </c>
      <c r="E393" s="729">
        <f>((K_NO3_AHO)/((K_NO3_AHO)+(S_NO3)))</f>
        <v>1.9607843137254905E-2</v>
      </c>
      <c r="F393" s="728" t="s">
        <v>282</v>
      </c>
      <c r="G393" s="728">
        <v>2</v>
      </c>
      <c r="H393" s="730"/>
      <c r="I393" s="731"/>
    </row>
    <row r="394" spans="1:9" s="103" customFormat="1" ht="18" outlineLevel="1" x14ac:dyDescent="0.25">
      <c r="A394" s="131"/>
      <c r="B394" s="727" t="s">
        <v>3224</v>
      </c>
      <c r="C394" s="1942" t="s">
        <v>3236</v>
      </c>
      <c r="D394" s="1942" t="s">
        <v>3230</v>
      </c>
      <c r="E394" s="729">
        <f>((K_O2_AHO)/((K_O2_AHO)+(S_O2)))</f>
        <v>0.2</v>
      </c>
      <c r="F394" s="728" t="s">
        <v>282</v>
      </c>
      <c r="G394" s="728">
        <v>2</v>
      </c>
      <c r="H394" s="730"/>
      <c r="I394" s="731"/>
    </row>
    <row r="395" spans="1:9" s="103" customFormat="1" ht="18" outlineLevel="1" x14ac:dyDescent="0.25">
      <c r="A395" s="131"/>
      <c r="B395" s="727" t="s">
        <v>3558</v>
      </c>
      <c r="C395" s="1943" t="s">
        <v>3559</v>
      </c>
      <c r="D395" s="1943" t="s">
        <v>3560</v>
      </c>
      <c r="E395" s="1032">
        <f>((K_iO2_AHO)/((K_iO2_AHO)+(S_O2)))</f>
        <v>4.9975012493753133E-4</v>
      </c>
      <c r="F395" s="1025" t="s">
        <v>282</v>
      </c>
      <c r="G395" s="1025">
        <v>2</v>
      </c>
      <c r="H395" s="1026"/>
      <c r="I395" s="731"/>
    </row>
    <row r="396" spans="1:9" s="103" customFormat="1" ht="18" outlineLevel="1" x14ac:dyDescent="0.25">
      <c r="A396" s="131"/>
      <c r="B396" s="727" t="s">
        <v>3225</v>
      </c>
      <c r="C396" s="1942" t="s">
        <v>3237</v>
      </c>
      <c r="D396" s="1942" t="s">
        <v>3231</v>
      </c>
      <c r="E396" s="729">
        <f>((S_NO2)/((K_NO2_AHO)+(S_NO2)))</f>
        <v>0.66666666666666663</v>
      </c>
      <c r="F396" s="728" t="s">
        <v>282</v>
      </c>
      <c r="G396" s="728">
        <v>2</v>
      </c>
      <c r="H396" s="730"/>
      <c r="I396" s="731"/>
    </row>
    <row r="397" spans="1:9" s="103" customFormat="1" ht="18" outlineLevel="1" x14ac:dyDescent="0.25">
      <c r="A397" s="131"/>
      <c r="B397" s="727" t="s">
        <v>3226</v>
      </c>
      <c r="C397" s="1942" t="s">
        <v>3238</v>
      </c>
      <c r="D397" s="1942" t="s">
        <v>3232</v>
      </c>
      <c r="E397" s="729">
        <f>((S_NO3)/((K_NO3_AHO)+(S_NO3)))</f>
        <v>0.98039215686274517</v>
      </c>
      <c r="F397" s="728" t="s">
        <v>282</v>
      </c>
      <c r="G397" s="728">
        <v>2</v>
      </c>
      <c r="H397" s="730"/>
      <c r="I397" s="731"/>
    </row>
    <row r="398" spans="1:9" s="103" customFormat="1" ht="18" outlineLevel="1" x14ac:dyDescent="0.25">
      <c r="A398" s="131"/>
      <c r="B398" s="727" t="s">
        <v>3227</v>
      </c>
      <c r="C398" s="1942" t="s">
        <v>3239</v>
      </c>
      <c r="D398" s="1942" t="s">
        <v>3233</v>
      </c>
      <c r="E398" s="729">
        <f>((S_O2)/((K_O2_AHO)+(S_O2)))</f>
        <v>0.8</v>
      </c>
      <c r="F398" s="728" t="s">
        <v>282</v>
      </c>
      <c r="G398" s="728">
        <v>2</v>
      </c>
      <c r="H398" s="730"/>
      <c r="I398" s="731"/>
    </row>
    <row r="399" spans="1:9" ht="18" outlineLevel="1" x14ac:dyDescent="0.25">
      <c r="B399" s="350" t="s">
        <v>3730</v>
      </c>
      <c r="C399" s="1944" t="s">
        <v>2699</v>
      </c>
      <c r="D399" s="1945" t="s">
        <v>3731</v>
      </c>
      <c r="E399" s="358">
        <f>((K_iO2_MEOLO)/((K_iO2_MEOLO)+(S_O2)))</f>
        <v>2.4390243902439029E-2</v>
      </c>
      <c r="F399" s="358" t="s">
        <v>282</v>
      </c>
      <c r="G399" s="358">
        <v>2</v>
      </c>
      <c r="H399" s="359"/>
      <c r="I399" s="431"/>
    </row>
    <row r="400" spans="1:9" s="2310" customFormat="1" ht="18" customHeight="1" outlineLevel="1" x14ac:dyDescent="0.25">
      <c r="A400" s="131"/>
      <c r="B400" s="350" t="s">
        <v>2302</v>
      </c>
      <c r="C400" s="1944" t="s">
        <v>2704</v>
      </c>
      <c r="D400" s="1945" t="s">
        <v>2303</v>
      </c>
      <c r="E400" s="760">
        <f>((K_NO2_MEOLO)/((K_NO2_MEOLO)+(S_NO2)))</f>
        <v>0.16666666666666666</v>
      </c>
      <c r="F400" s="358" t="s">
        <v>282</v>
      </c>
      <c r="G400" s="358">
        <v>2</v>
      </c>
      <c r="H400" s="359"/>
      <c r="I400" s="431"/>
    </row>
    <row r="401" spans="1:9" s="2310" customFormat="1" ht="18" customHeight="1" outlineLevel="1" x14ac:dyDescent="0.25">
      <c r="A401" s="131"/>
      <c r="B401" s="350" t="s">
        <v>2304</v>
      </c>
      <c r="C401" s="1944" t="s">
        <v>2705</v>
      </c>
      <c r="D401" s="1945" t="s">
        <v>2305</v>
      </c>
      <c r="E401" s="760">
        <f>((K_NO3_MEOLO)/((K_NO3_MEOLO)+(S_NO3)))</f>
        <v>9.9009900990099011E-3</v>
      </c>
      <c r="F401" s="358" t="s">
        <v>282</v>
      </c>
      <c r="G401" s="358">
        <v>2</v>
      </c>
      <c r="H401" s="359"/>
      <c r="I401" s="431"/>
    </row>
    <row r="402" spans="1:9" s="2310" customFormat="1" ht="18" customHeight="1" outlineLevel="1" x14ac:dyDescent="0.25">
      <c r="A402" s="131"/>
      <c r="B402" s="350" t="s">
        <v>1785</v>
      </c>
      <c r="C402" s="1944" t="s">
        <v>2700</v>
      </c>
      <c r="D402" s="1945" t="s">
        <v>1786</v>
      </c>
      <c r="E402" s="760">
        <f>((S_MEOL)/((K_MEOL)+(S_MEOL)))</f>
        <v>2E-50</v>
      </c>
      <c r="F402" s="358" t="s">
        <v>282</v>
      </c>
      <c r="G402" s="358">
        <v>2</v>
      </c>
      <c r="H402" s="359"/>
      <c r="I402" s="431"/>
    </row>
    <row r="403" spans="1:9" s="2310" customFormat="1" ht="18" outlineLevel="1" x14ac:dyDescent="0.25">
      <c r="A403" s="131"/>
      <c r="B403" s="1855" t="s">
        <v>2306</v>
      </c>
      <c r="C403" s="1944" t="s">
        <v>2706</v>
      </c>
      <c r="D403" s="1946" t="s">
        <v>2307</v>
      </c>
      <c r="E403" s="761">
        <f>((S_NO2)/((K_NO2_MEOLO)+(S_NO2)))</f>
        <v>0.83333333333333326</v>
      </c>
      <c r="F403" s="359" t="s">
        <v>282</v>
      </c>
      <c r="G403" s="359">
        <v>2</v>
      </c>
      <c r="H403" s="1810"/>
      <c r="I403" s="1856"/>
    </row>
    <row r="404" spans="1:9" s="2310" customFormat="1" ht="18" outlineLevel="1" x14ac:dyDescent="0.25">
      <c r="A404" s="131"/>
      <c r="B404" s="1855" t="s">
        <v>2308</v>
      </c>
      <c r="C404" s="1944" t="s">
        <v>2707</v>
      </c>
      <c r="D404" s="1946" t="s">
        <v>2309</v>
      </c>
      <c r="E404" s="761">
        <f>((S_NO3)/((K_NO3_MEOLO)+(S_NO3)))</f>
        <v>0.99009900990099009</v>
      </c>
      <c r="F404" s="359" t="s">
        <v>282</v>
      </c>
      <c r="G404" s="359">
        <v>2</v>
      </c>
      <c r="H404" s="1810"/>
      <c r="I404" s="1856"/>
    </row>
    <row r="405" spans="1:9" ht="18" outlineLevel="1" x14ac:dyDescent="0.25">
      <c r="B405" s="350" t="s">
        <v>3755</v>
      </c>
      <c r="C405" s="1944" t="s">
        <v>2701</v>
      </c>
      <c r="D405" s="1945" t="s">
        <v>3756</v>
      </c>
      <c r="E405" s="358">
        <f>((S_O2)/((K_iO2_MEOLO)+(S_O2)))</f>
        <v>0.97560975609756106</v>
      </c>
      <c r="F405" s="358" t="s">
        <v>282</v>
      </c>
      <c r="G405" s="358">
        <v>2</v>
      </c>
      <c r="H405" s="359"/>
      <c r="I405" s="431"/>
    </row>
    <row r="406" spans="1:9" ht="18" customHeight="1" outlineLevel="1" x14ac:dyDescent="0.25">
      <c r="B406" s="2541" t="s">
        <v>5181</v>
      </c>
      <c r="C406" s="2570" t="s">
        <v>5182</v>
      </c>
      <c r="D406" s="2570" t="s">
        <v>5217</v>
      </c>
      <c r="E406" s="2565">
        <f>((S_MEOL)/((S_MEOL)+(K_MEOL_SNO2)*EXP(((K_MEOL_SNO2)-(S_MEOL))*(L_ogslopeKMEOL_SNO2))))</f>
        <v>1.0109697494805068E-137</v>
      </c>
      <c r="F406" s="2565" t="s">
        <v>282</v>
      </c>
      <c r="G406" s="2565">
        <v>2</v>
      </c>
      <c r="H406" s="2566"/>
      <c r="I406" s="2569"/>
    </row>
    <row r="407" spans="1:9" ht="18" customHeight="1" outlineLevel="1" x14ac:dyDescent="0.25">
      <c r="B407" s="2541" t="s">
        <v>5183</v>
      </c>
      <c r="C407" s="2570" t="s">
        <v>5184</v>
      </c>
      <c r="D407" s="2570" t="s">
        <v>5218</v>
      </c>
      <c r="E407" s="2565">
        <f>(1-(S_MEOL)/((S_MEOL)+(K_MEOL_SNO2)*EXP(((K_MEOL_SNO2)-(S_MEOL))*(L_ogslopeKMEOL_SNO2))))</f>
        <v>1</v>
      </c>
      <c r="F407" s="2565" t="s">
        <v>282</v>
      </c>
      <c r="G407" s="2565">
        <v>2</v>
      </c>
      <c r="H407" s="2566"/>
      <c r="I407" s="2569"/>
    </row>
    <row r="408" spans="1:9" ht="18" customHeight="1" outlineLevel="1" x14ac:dyDescent="0.25">
      <c r="B408" s="2541" t="s">
        <v>5185</v>
      </c>
      <c r="C408" s="2567" t="s">
        <v>5219</v>
      </c>
      <c r="D408" s="2570" t="s">
        <v>5220</v>
      </c>
      <c r="E408" s="2565">
        <f>((S_NO3)/((S_NO3)+(K_NO3_MEOLO)*EXP(((K_NO3_MEOLO)-(S_NO3))*(L_ogslopeKSNO3_MEOLO))))</f>
        <v>1</v>
      </c>
      <c r="F408" s="2565" t="s">
        <v>282</v>
      </c>
      <c r="G408" s="2565">
        <v>2</v>
      </c>
      <c r="H408" s="2566"/>
      <c r="I408" s="2569"/>
    </row>
    <row r="409" spans="1:9" ht="18" customHeight="1" outlineLevel="1" x14ac:dyDescent="0.25">
      <c r="B409" s="2541" t="s">
        <v>5186</v>
      </c>
      <c r="C409" s="2567" t="s">
        <v>5221</v>
      </c>
      <c r="D409" s="2570" t="s">
        <v>5222</v>
      </c>
      <c r="E409" s="2565">
        <f>(1-(S_NO3)/((S_NO3)+(K_NO3_MEOLO)*EXP(((K_NO3_MEOLO)-(S_NO3))*(L_ogslopeKSNO3_MEOLO))))</f>
        <v>0</v>
      </c>
      <c r="F409" s="2565" t="s">
        <v>282</v>
      </c>
      <c r="G409" s="2565">
        <v>2</v>
      </c>
      <c r="H409" s="2566"/>
      <c r="I409" s="2569"/>
    </row>
    <row r="410" spans="1:9" s="2310" customFormat="1" ht="18" customHeight="1" outlineLevel="1" x14ac:dyDescent="0.25">
      <c r="A410" s="131"/>
      <c r="B410" s="888" t="s">
        <v>4168</v>
      </c>
      <c r="C410" s="1947" t="s">
        <v>2708</v>
      </c>
      <c r="D410" s="1895" t="s">
        <v>4167</v>
      </c>
      <c r="E410" s="762">
        <f>((K_NOx_AOB)/((K_NOx_AOB)+(S_NOx)))</f>
        <v>5.8479532163742687E-3</v>
      </c>
      <c r="F410" s="485" t="s">
        <v>282</v>
      </c>
      <c r="G410" s="485">
        <v>2</v>
      </c>
      <c r="H410" s="411"/>
      <c r="I410" s="1820"/>
    </row>
    <row r="411" spans="1:9" s="549" customFormat="1" ht="18" customHeight="1" outlineLevel="1" x14ac:dyDescent="0.25">
      <c r="A411" s="131"/>
      <c r="B411" s="888" t="s">
        <v>2310</v>
      </c>
      <c r="C411" s="1947" t="s">
        <v>2709</v>
      </c>
      <c r="D411" s="1895" t="s">
        <v>2311</v>
      </c>
      <c r="E411" s="762">
        <f>((K_O2_AOB)/((K_O2_AOB)+(S_O2)))</f>
        <v>0.2</v>
      </c>
      <c r="F411" s="753" t="s">
        <v>282</v>
      </c>
      <c r="G411" s="753">
        <v>2</v>
      </c>
      <c r="H411" s="411"/>
      <c r="I411" s="1820"/>
    </row>
    <row r="412" spans="1:9" s="549" customFormat="1" ht="18" customHeight="1" outlineLevel="1" x14ac:dyDescent="0.25">
      <c r="A412" s="131"/>
      <c r="B412" s="888" t="s">
        <v>2312</v>
      </c>
      <c r="C412" s="1947" t="s">
        <v>2710</v>
      </c>
      <c r="D412" s="1895" t="s">
        <v>2313</v>
      </c>
      <c r="E412" s="762">
        <f>((S_NHx)/((K_NHx_AOB)+(S_NHx)))</f>
        <v>0.58823529411764708</v>
      </c>
      <c r="F412" s="485" t="s">
        <v>282</v>
      </c>
      <c r="G412" s="485">
        <v>2</v>
      </c>
      <c r="H412" s="411"/>
      <c r="I412" s="1820"/>
    </row>
    <row r="413" spans="1:9" s="549" customFormat="1" ht="18" customHeight="1" outlineLevel="1" x14ac:dyDescent="0.25">
      <c r="A413" s="131"/>
      <c r="B413" s="888" t="s">
        <v>4171</v>
      </c>
      <c r="C413" s="1947" t="s">
        <v>2711</v>
      </c>
      <c r="D413" s="1895" t="s">
        <v>4170</v>
      </c>
      <c r="E413" s="762">
        <f>((S_NOx)/((K_NOx_AOB)+(S_NOx)))</f>
        <v>0.99415204678362568</v>
      </c>
      <c r="F413" s="753" t="s">
        <v>282</v>
      </c>
      <c r="G413" s="753">
        <v>2</v>
      </c>
      <c r="H413" s="411"/>
      <c r="I413" s="1820"/>
    </row>
    <row r="414" spans="1:9" s="2310" customFormat="1" ht="18" outlineLevel="1" x14ac:dyDescent="0.25">
      <c r="A414" s="131"/>
      <c r="B414" s="888" t="s">
        <v>2314</v>
      </c>
      <c r="C414" s="1947" t="s">
        <v>2712</v>
      </c>
      <c r="D414" s="1895" t="s">
        <v>2315</v>
      </c>
      <c r="E414" s="762">
        <f>((S_O2)/((K_O2_AOB)+(S_O2)))</f>
        <v>0.8</v>
      </c>
      <c r="F414" s="485" t="s">
        <v>282</v>
      </c>
      <c r="G414" s="485">
        <v>2</v>
      </c>
      <c r="H414" s="411"/>
      <c r="I414" s="1820"/>
    </row>
    <row r="415" spans="1:9" s="2310" customFormat="1" ht="18" customHeight="1" outlineLevel="1" x14ac:dyDescent="0.25">
      <c r="A415" s="131"/>
      <c r="B415" s="889" t="s">
        <v>4174</v>
      </c>
      <c r="C415" s="1948" t="s">
        <v>2713</v>
      </c>
      <c r="D415" s="1949" t="s">
        <v>4173</v>
      </c>
      <c r="E415" s="763">
        <f>((K_NOx_NOB)/((K_NOx_NOB)+(S_NOx)))</f>
        <v>5.8479532163742687E-3</v>
      </c>
      <c r="F415" s="764" t="s">
        <v>282</v>
      </c>
      <c r="G415" s="764">
        <v>2</v>
      </c>
      <c r="H415" s="1811"/>
      <c r="I415" s="1857"/>
    </row>
    <row r="416" spans="1:9" s="549" customFormat="1" ht="18" customHeight="1" outlineLevel="1" x14ac:dyDescent="0.25">
      <c r="A416" s="131"/>
      <c r="B416" s="889" t="s">
        <v>2316</v>
      </c>
      <c r="C416" s="1948" t="s">
        <v>2714</v>
      </c>
      <c r="D416" s="1949" t="s">
        <v>2317</v>
      </c>
      <c r="E416" s="763">
        <f>((K_O2_NOB)/((K_O2_NOB)+(S_O2)))</f>
        <v>0.2</v>
      </c>
      <c r="F416" s="764" t="s">
        <v>282</v>
      </c>
      <c r="G416" s="764">
        <v>2</v>
      </c>
      <c r="H416" s="1811"/>
      <c r="I416" s="1857"/>
    </row>
    <row r="417" spans="1:9" s="2310" customFormat="1" ht="18" outlineLevel="1" x14ac:dyDescent="0.25">
      <c r="A417" s="131"/>
      <c r="B417" s="889" t="s">
        <v>2318</v>
      </c>
      <c r="C417" s="1948" t="s">
        <v>2715</v>
      </c>
      <c r="D417" s="1949" t="s">
        <v>2319</v>
      </c>
      <c r="E417" s="763">
        <f>((S_NO2)/((K_NO2_NOB)+(S_NO2)))</f>
        <v>0.5</v>
      </c>
      <c r="F417" s="764" t="s">
        <v>282</v>
      </c>
      <c r="G417" s="764">
        <v>2</v>
      </c>
      <c r="H417" s="1811"/>
      <c r="I417" s="1857"/>
    </row>
    <row r="418" spans="1:9" s="2310" customFormat="1" ht="18" outlineLevel="1" x14ac:dyDescent="0.25">
      <c r="A418" s="131"/>
      <c r="B418" s="889" t="s">
        <v>4177</v>
      </c>
      <c r="C418" s="1948" t="s">
        <v>2716</v>
      </c>
      <c r="D418" s="1949" t="s">
        <v>4176</v>
      </c>
      <c r="E418" s="763">
        <f>((S_NOx)/((K_NOx_NOB)+(S_NOx)))</f>
        <v>0.99415204678362568</v>
      </c>
      <c r="F418" s="765" t="s">
        <v>282</v>
      </c>
      <c r="G418" s="765">
        <v>2</v>
      </c>
      <c r="H418" s="1811"/>
      <c r="I418" s="1857"/>
    </row>
    <row r="419" spans="1:9" s="549" customFormat="1" ht="18" customHeight="1" outlineLevel="1" x14ac:dyDescent="0.25">
      <c r="A419" s="131"/>
      <c r="B419" s="889" t="s">
        <v>2320</v>
      </c>
      <c r="C419" s="1948" t="s">
        <v>2717</v>
      </c>
      <c r="D419" s="1949" t="s">
        <v>2321</v>
      </c>
      <c r="E419" s="763">
        <f>((S_O2)/((K_O2_NOB)+(S_O2)))</f>
        <v>0.8</v>
      </c>
      <c r="F419" s="765" t="s">
        <v>282</v>
      </c>
      <c r="G419" s="765">
        <v>2</v>
      </c>
      <c r="H419" s="1811"/>
      <c r="I419" s="1857"/>
    </row>
    <row r="420" spans="1:9" s="2310" customFormat="1" ht="18" customHeight="1" outlineLevel="1" x14ac:dyDescent="0.25">
      <c r="A420" s="131"/>
      <c r="B420" s="890" t="s">
        <v>4181</v>
      </c>
      <c r="C420" s="1950" t="s">
        <v>2718</v>
      </c>
      <c r="D420" s="1951" t="s">
        <v>4179</v>
      </c>
      <c r="E420" s="766">
        <f>((K_NOx_AMX)/((K_NOx_AMX)+(S_NOx)))</f>
        <v>1.9230769230769235E-2</v>
      </c>
      <c r="F420" s="323" t="s">
        <v>282</v>
      </c>
      <c r="G420" s="323">
        <v>2</v>
      </c>
      <c r="H420" s="1812"/>
      <c r="I420" s="1858"/>
    </row>
    <row r="421" spans="1:9" s="549" customFormat="1" ht="18" customHeight="1" outlineLevel="1" x14ac:dyDescent="0.25">
      <c r="A421" s="131"/>
      <c r="B421" s="890" t="s">
        <v>3744</v>
      </c>
      <c r="C421" s="1950" t="s">
        <v>2719</v>
      </c>
      <c r="D421" s="1951" t="s">
        <v>3747</v>
      </c>
      <c r="E421" s="766">
        <f>((K_iO2_AMX)/((K_iO2_AMX)+(S_O2)))</f>
        <v>0.16666666666666669</v>
      </c>
      <c r="F421" s="323" t="s">
        <v>282</v>
      </c>
      <c r="G421" s="323">
        <v>2</v>
      </c>
      <c r="H421" s="1812"/>
      <c r="I421" s="1858"/>
    </row>
    <row r="422" spans="1:9" s="549" customFormat="1" ht="18" customHeight="1" outlineLevel="1" x14ac:dyDescent="0.25">
      <c r="A422" s="131"/>
      <c r="B422" s="890" t="s">
        <v>2322</v>
      </c>
      <c r="C422" s="1950" t="s">
        <v>2720</v>
      </c>
      <c r="D422" s="1951" t="s">
        <v>2323</v>
      </c>
      <c r="E422" s="766">
        <f>((S_NHx)/((K_NHx_AMX)+(S_NHx)))</f>
        <v>0.33333333333333331</v>
      </c>
      <c r="F422" s="323" t="s">
        <v>282</v>
      </c>
      <c r="G422" s="323">
        <v>2</v>
      </c>
      <c r="H422" s="1812"/>
      <c r="I422" s="1858"/>
    </row>
    <row r="423" spans="1:9" s="2310" customFormat="1" ht="18" outlineLevel="1" x14ac:dyDescent="0.25">
      <c r="A423" s="131"/>
      <c r="B423" s="890" t="s">
        <v>2324</v>
      </c>
      <c r="C423" s="1950" t="s">
        <v>2721</v>
      </c>
      <c r="D423" s="1951" t="s">
        <v>2325</v>
      </c>
      <c r="E423" s="766">
        <f>((S_NO2)/((K_NO2_AMX)+(S_NO2)))</f>
        <v>9.0909090909090912E-2</v>
      </c>
      <c r="F423" s="519" t="s">
        <v>282</v>
      </c>
      <c r="G423" s="519">
        <v>2</v>
      </c>
      <c r="H423" s="1812"/>
      <c r="I423" s="1858"/>
    </row>
    <row r="424" spans="1:9" s="549" customFormat="1" ht="18" customHeight="1" outlineLevel="1" x14ac:dyDescent="0.25">
      <c r="A424" s="131"/>
      <c r="B424" s="890" t="s">
        <v>4183</v>
      </c>
      <c r="C424" s="1950" t="s">
        <v>2722</v>
      </c>
      <c r="D424" s="1951" t="s">
        <v>4182</v>
      </c>
      <c r="E424" s="766">
        <f>((S_NOx)/((K_NOx_AMX)+(S_NOx)))</f>
        <v>0.98076923076923084</v>
      </c>
      <c r="F424" s="519" t="s">
        <v>282</v>
      </c>
      <c r="G424" s="519">
        <v>2</v>
      </c>
      <c r="H424" s="1812"/>
      <c r="I424" s="1858"/>
    </row>
    <row r="425" spans="1:9" s="2310" customFormat="1" ht="18" outlineLevel="1" x14ac:dyDescent="0.25">
      <c r="A425" s="131"/>
      <c r="B425" s="890" t="s">
        <v>3745</v>
      </c>
      <c r="C425" s="1950" t="s">
        <v>2723</v>
      </c>
      <c r="D425" s="1951" t="s">
        <v>3746</v>
      </c>
      <c r="E425" s="766">
        <f>((S_O2)/((K_iO2_AMX)+(S_O2)))</f>
        <v>0.83333333333333337</v>
      </c>
      <c r="F425" s="323" t="s">
        <v>282</v>
      </c>
      <c r="G425" s="323">
        <v>2</v>
      </c>
      <c r="H425" s="1812"/>
      <c r="I425" s="1858"/>
    </row>
    <row r="426" spans="1:9" ht="18" outlineLevel="1" x14ac:dyDescent="0.25">
      <c r="B426" s="145" t="s">
        <v>4059</v>
      </c>
      <c r="C426" s="1918" t="s">
        <v>4053</v>
      </c>
      <c r="D426" s="1918" t="s">
        <v>4054</v>
      </c>
      <c r="E426" s="509">
        <f>((K_NO2_CASTO)/((K_NO2_CASTO)+(S_NO2)))</f>
        <v>0.33333333333333331</v>
      </c>
      <c r="F426" s="423" t="s">
        <v>282</v>
      </c>
      <c r="G426" s="423">
        <v>2</v>
      </c>
      <c r="H426" s="285"/>
      <c r="I426" s="432"/>
    </row>
    <row r="427" spans="1:9" ht="18" outlineLevel="1" x14ac:dyDescent="0.25">
      <c r="B427" s="145" t="s">
        <v>4060</v>
      </c>
      <c r="C427" s="1918" t="s">
        <v>4055</v>
      </c>
      <c r="D427" s="1918" t="s">
        <v>4056</v>
      </c>
      <c r="E427" s="509">
        <f>((K_NO3_CASTO)/((K_NO3_CASTO)+(S_NO3)))</f>
        <v>1.9607843137254905E-2</v>
      </c>
      <c r="F427" s="423" t="s">
        <v>282</v>
      </c>
      <c r="G427" s="423">
        <v>2</v>
      </c>
      <c r="H427" s="285"/>
      <c r="I427" s="432"/>
    </row>
    <row r="428" spans="1:9" ht="18" outlineLevel="1" x14ac:dyDescent="0.25">
      <c r="B428" s="145" t="s">
        <v>4061</v>
      </c>
      <c r="C428" s="1918" t="s">
        <v>4057</v>
      </c>
      <c r="D428" s="1918" t="s">
        <v>4058</v>
      </c>
      <c r="E428" s="423">
        <f>((K_O2_CASTO)/((K_O2_CASTO)+(S_O2)))</f>
        <v>2.4390243902439029E-2</v>
      </c>
      <c r="F428" s="423" t="s">
        <v>282</v>
      </c>
      <c r="G428" s="423">
        <v>2</v>
      </c>
      <c r="H428" s="285"/>
      <c r="I428" s="432"/>
    </row>
    <row r="429" spans="1:9" ht="18" outlineLevel="1" x14ac:dyDescent="0.25">
      <c r="B429" s="579" t="s">
        <v>2724</v>
      </c>
      <c r="C429" s="1952" t="s">
        <v>2725</v>
      </c>
      <c r="D429" s="1952" t="s">
        <v>2726</v>
      </c>
      <c r="E429" s="423">
        <f>((K_iPO4_lim)/((K_iPO4_lim)+(S_PO4)))</f>
        <v>9.9009900990099011E-3</v>
      </c>
      <c r="F429" s="423" t="s">
        <v>282</v>
      </c>
      <c r="G429" s="423">
        <v>2</v>
      </c>
      <c r="H429" s="285"/>
      <c r="I429" s="432"/>
    </row>
    <row r="430" spans="1:9" ht="18" customHeight="1" outlineLevel="1" x14ac:dyDescent="0.25">
      <c r="B430" s="579" t="s">
        <v>4062</v>
      </c>
      <c r="C430" s="2589" t="s">
        <v>5266</v>
      </c>
      <c r="D430" s="1918" t="s">
        <v>4063</v>
      </c>
      <c r="E430" s="1159">
        <f>(((X_STC)/(X_CASTO))/((X_STC)/(X_CASTO)+(K_STC)))</f>
        <v>0.31506849315068486</v>
      </c>
      <c r="F430" s="1159" t="s">
        <v>282</v>
      </c>
      <c r="G430" s="1159">
        <v>2</v>
      </c>
      <c r="H430" s="1160"/>
      <c r="I430" s="1305"/>
    </row>
    <row r="431" spans="1:9" ht="18" outlineLevel="1" x14ac:dyDescent="0.25">
      <c r="B431" s="145" t="s">
        <v>1809</v>
      </c>
      <c r="C431" s="1918" t="s">
        <v>4785</v>
      </c>
      <c r="D431" s="1953" t="s">
        <v>5268</v>
      </c>
      <c r="E431" s="423">
        <f>(((X_PHA_PAO)/(X_PAO))/((X_PHA_PAO)/(X_PAO)+(K_PHA)))</f>
        <v>0.8214285714285714</v>
      </c>
      <c r="F431" s="423" t="s">
        <v>282</v>
      </c>
      <c r="G431" s="423">
        <v>2</v>
      </c>
      <c r="H431" s="285"/>
      <c r="I431" s="432"/>
    </row>
    <row r="432" spans="1:9" ht="18" outlineLevel="1" x14ac:dyDescent="0.25">
      <c r="B432" s="145" t="s">
        <v>4064</v>
      </c>
      <c r="C432" s="1918" t="s">
        <v>4786</v>
      </c>
      <c r="D432" s="1918" t="s">
        <v>5269</v>
      </c>
      <c r="E432" s="423">
        <f>(((K_PHA_cle))/((X_PHA_PAO)/(X_PAO)+(K_PHA_cle)))</f>
        <v>0.68493150684931503</v>
      </c>
      <c r="F432" s="423" t="s">
        <v>282</v>
      </c>
      <c r="G432" s="423">
        <v>2</v>
      </c>
      <c r="H432" s="285"/>
      <c r="I432" s="432"/>
    </row>
    <row r="433" spans="1:9" ht="18" customHeight="1" outlineLevel="1" x14ac:dyDescent="0.25">
      <c r="B433" s="579" t="s">
        <v>4065</v>
      </c>
      <c r="C433" s="2589" t="s">
        <v>5267</v>
      </c>
      <c r="D433" s="1918" t="s">
        <v>4066</v>
      </c>
      <c r="E433" s="1159">
        <f>(((K_STC))/((X_STC)/(X_CASTO)+(K_STC)))</f>
        <v>0.68493150684931503</v>
      </c>
      <c r="F433" s="1159" t="s">
        <v>282</v>
      </c>
      <c r="G433" s="1159">
        <v>2</v>
      </c>
      <c r="H433" s="1160"/>
      <c r="I433" s="1305"/>
    </row>
    <row r="434" spans="1:9" ht="18" outlineLevel="1" x14ac:dyDescent="0.25">
      <c r="B434" s="145" t="s">
        <v>2166</v>
      </c>
      <c r="C434" s="1918" t="s">
        <v>4787</v>
      </c>
      <c r="D434" s="1953" t="s">
        <v>2167</v>
      </c>
      <c r="E434" s="423">
        <f>(((K_PP))/((X_PP)/(X_PAO)+(K_PP)))</f>
        <v>6.7567567567567571E-2</v>
      </c>
      <c r="F434" s="423" t="s">
        <v>282</v>
      </c>
      <c r="G434" s="423">
        <v>2</v>
      </c>
      <c r="H434" s="285"/>
      <c r="I434" s="432"/>
    </row>
    <row r="435" spans="1:9" ht="18" outlineLevel="1" x14ac:dyDescent="0.25">
      <c r="B435" s="145" t="s">
        <v>2101</v>
      </c>
      <c r="C435" s="1918" t="s">
        <v>4788</v>
      </c>
      <c r="D435" s="1953" t="s">
        <v>2095</v>
      </c>
      <c r="E435" s="423">
        <f>(((X_PP)/(X_PAO))/((X_PP)/(X_PAO)+(K_PP)))</f>
        <v>0.93243243243243235</v>
      </c>
      <c r="F435" s="423" t="s">
        <v>282</v>
      </c>
      <c r="G435" s="423">
        <v>2</v>
      </c>
      <c r="H435" s="285"/>
      <c r="I435" s="432"/>
    </row>
    <row r="436" spans="1:9" ht="18" outlineLevel="1" x14ac:dyDescent="0.25">
      <c r="B436" s="145" t="s">
        <v>1797</v>
      </c>
      <c r="C436" s="1952" t="s">
        <v>2727</v>
      </c>
      <c r="D436" s="1953" t="s">
        <v>1798</v>
      </c>
      <c r="E436" s="423">
        <f>((S_Ca)/((K_Ca_PAO)+(S_Ca)))</f>
        <v>0.9999933333777774</v>
      </c>
      <c r="F436" s="423" t="s">
        <v>282</v>
      </c>
      <c r="G436" s="423">
        <v>2</v>
      </c>
      <c r="H436" s="285"/>
      <c r="I436" s="432"/>
    </row>
    <row r="437" spans="1:9" ht="18" outlineLevel="1" x14ac:dyDescent="0.25">
      <c r="B437" s="145" t="s">
        <v>1801</v>
      </c>
      <c r="C437" s="1952" t="s">
        <v>2728</v>
      </c>
      <c r="D437" s="1953" t="s">
        <v>1802</v>
      </c>
      <c r="E437" s="423">
        <f>((S_K)/((K_K_PAO)+(S_K)))</f>
        <v>0.9999333377774815</v>
      </c>
      <c r="F437" s="423" t="s">
        <v>282</v>
      </c>
      <c r="G437" s="423">
        <v>2</v>
      </c>
      <c r="H437" s="285"/>
      <c r="I437" s="432"/>
    </row>
    <row r="438" spans="1:9" ht="18" outlineLevel="1" x14ac:dyDescent="0.25">
      <c r="B438" s="145" t="s">
        <v>1799</v>
      </c>
      <c r="C438" s="1952" t="s">
        <v>2729</v>
      </c>
      <c r="D438" s="1953" t="s">
        <v>1800</v>
      </c>
      <c r="E438" s="423">
        <f>((S_Mg)/((K_Mg_PAO)+(S_Mg)))</f>
        <v>0.9999333377774815</v>
      </c>
      <c r="F438" s="423" t="s">
        <v>282</v>
      </c>
      <c r="G438" s="423">
        <v>2</v>
      </c>
      <c r="H438" s="285"/>
      <c r="I438" s="432"/>
    </row>
    <row r="439" spans="1:9" s="2310" customFormat="1" ht="18" outlineLevel="1" x14ac:dyDescent="0.25">
      <c r="A439" s="131"/>
      <c r="B439" s="891" t="s">
        <v>4073</v>
      </c>
      <c r="C439" s="1918" t="s">
        <v>4067</v>
      </c>
      <c r="D439" s="1954" t="s">
        <v>4068</v>
      </c>
      <c r="E439" s="767">
        <f>((S_NO2)/((K_NO2_CASTO)+(S_NO2)))</f>
        <v>0.66666666666666663</v>
      </c>
      <c r="F439" s="277" t="s">
        <v>282</v>
      </c>
      <c r="G439" s="277">
        <v>2</v>
      </c>
      <c r="H439" s="1813"/>
      <c r="I439" s="1859"/>
    </row>
    <row r="440" spans="1:9" s="549" customFormat="1" ht="18" outlineLevel="1" x14ac:dyDescent="0.25">
      <c r="A440" s="131"/>
      <c r="B440" s="891" t="s">
        <v>4074</v>
      </c>
      <c r="C440" s="1918" t="s">
        <v>4069</v>
      </c>
      <c r="D440" s="1954" t="s">
        <v>4070</v>
      </c>
      <c r="E440" s="767">
        <f>((S_NO3)/((K_NO3_CASTO)+(S_NO3)))</f>
        <v>0.98039215686274517</v>
      </c>
      <c r="F440" s="277" t="s">
        <v>282</v>
      </c>
      <c r="G440" s="277">
        <v>2</v>
      </c>
      <c r="H440" s="1813"/>
      <c r="I440" s="1859"/>
    </row>
    <row r="441" spans="1:9" ht="18" outlineLevel="1" x14ac:dyDescent="0.25">
      <c r="B441" s="145" t="s">
        <v>4075</v>
      </c>
      <c r="C441" s="1918" t="s">
        <v>4071</v>
      </c>
      <c r="D441" s="1918" t="s">
        <v>4072</v>
      </c>
      <c r="E441" s="423">
        <f>((S_O2)/((K_O2_CASTO)+(S_O2)))</f>
        <v>0.97560975609756106</v>
      </c>
      <c r="F441" s="423" t="s">
        <v>282</v>
      </c>
      <c r="G441" s="423">
        <v>2</v>
      </c>
      <c r="H441" s="285"/>
      <c r="I441" s="432"/>
    </row>
    <row r="442" spans="1:9" ht="18" customHeight="1" outlineLevel="1" x14ac:dyDescent="0.25">
      <c r="B442" s="579" t="s">
        <v>4076</v>
      </c>
      <c r="C442" s="1918" t="s">
        <v>4077</v>
      </c>
      <c r="D442" s="1918" t="s">
        <v>4508</v>
      </c>
      <c r="E442" s="1159">
        <f>((S_PO4)/((S_PO4)+(K_PO4_PAO)*EXP(((K_PO4_PAO)-(S_PO4))*(L_ogslopePO4_PAO_sat))))</f>
        <v>0.99999992584528696</v>
      </c>
      <c r="F442" s="1159" t="s">
        <v>282</v>
      </c>
      <c r="G442" s="1159">
        <v>2</v>
      </c>
      <c r="H442" s="1160"/>
      <c r="I442" s="1305"/>
    </row>
    <row r="443" spans="1:9" ht="18" outlineLevel="1" x14ac:dyDescent="0.25">
      <c r="B443" s="145" t="s">
        <v>1795</v>
      </c>
      <c r="C443" s="1952" t="s">
        <v>2730</v>
      </c>
      <c r="D443" s="1953" t="s">
        <v>1796</v>
      </c>
      <c r="E443" s="423">
        <f>((S_PO4)/((K_PO4_PAO)+(S_PO4)))</f>
        <v>0.76923076923076916</v>
      </c>
      <c r="F443" s="423" t="s">
        <v>282</v>
      </c>
      <c r="G443" s="423">
        <v>2</v>
      </c>
      <c r="H443" s="285"/>
      <c r="I443" s="432"/>
    </row>
    <row r="444" spans="1:9" ht="18" outlineLevel="1" x14ac:dyDescent="0.25">
      <c r="B444" s="145" t="s">
        <v>4080</v>
      </c>
      <c r="C444" s="1918" t="s">
        <v>4078</v>
      </c>
      <c r="D444" s="1918" t="s">
        <v>4079</v>
      </c>
      <c r="E444" s="423">
        <f>((S_VFA)/((K_VFA_CASTO)+(S_VFA)))</f>
        <v>1.9960079840319364E-3</v>
      </c>
      <c r="F444" s="423" t="s">
        <v>282</v>
      </c>
      <c r="G444" s="423">
        <v>2</v>
      </c>
      <c r="H444" s="285"/>
      <c r="I444" s="432"/>
    </row>
    <row r="445" spans="1:9" ht="18" outlineLevel="1" x14ac:dyDescent="0.25">
      <c r="B445" s="145" t="s">
        <v>4400</v>
      </c>
      <c r="C445" s="1952" t="s">
        <v>4401</v>
      </c>
      <c r="D445" s="1918" t="s">
        <v>4509</v>
      </c>
      <c r="E445" s="1159">
        <f>((X_PP)/((X_PP)+(K_PO4_PAO)*EXP(((K_PO4_PAO)-(X_PP))*(L_ogslopePP_PAO_sat))))</f>
        <v>1</v>
      </c>
      <c r="F445" s="423" t="s">
        <v>282</v>
      </c>
      <c r="G445" s="423">
        <v>2</v>
      </c>
      <c r="H445" s="285"/>
      <c r="I445" s="432"/>
    </row>
    <row r="446" spans="1:9" ht="18" outlineLevel="1" x14ac:dyDescent="0.25">
      <c r="B446" s="145" t="s">
        <v>2096</v>
      </c>
      <c r="C446" s="1952" t="s">
        <v>2731</v>
      </c>
      <c r="D446" s="1953" t="s">
        <v>2097</v>
      </c>
      <c r="E446" s="423">
        <f>((X_PP)/((K_PP_lim)+(X_PP)))</f>
        <v>0.99996666777774068</v>
      </c>
      <c r="F446" s="423" t="s">
        <v>282</v>
      </c>
      <c r="G446" s="423">
        <v>2</v>
      </c>
      <c r="H446" s="285"/>
      <c r="I446" s="432"/>
    </row>
    <row r="447" spans="1:9" ht="18" outlineLevel="1" x14ac:dyDescent="0.25">
      <c r="B447" s="145" t="s">
        <v>2112</v>
      </c>
      <c r="C447" s="1918" t="s">
        <v>4081</v>
      </c>
      <c r="D447" s="1918" t="s">
        <v>5270</v>
      </c>
      <c r="E447" s="1462">
        <f>(1-(X_PHA_PAO/X_PAO)/((X_PHA_PAO/X_PAO)+(K_iPHA_PAO_max)*EXP(((K_iPHA_PAO_max)-(X_PHA_PAO/X_PAO))*(L_ogslopePHA_PAO_inh))))</f>
        <v>1</v>
      </c>
      <c r="F447" s="423" t="s">
        <v>282</v>
      </c>
      <c r="G447" s="423">
        <v>2</v>
      </c>
      <c r="H447" s="285"/>
      <c r="I447" s="432"/>
    </row>
    <row r="448" spans="1:9" ht="18" outlineLevel="1" x14ac:dyDescent="0.25">
      <c r="B448" s="145" t="s">
        <v>2113</v>
      </c>
      <c r="C448" s="1918" t="s">
        <v>4082</v>
      </c>
      <c r="D448" s="1918" t="s">
        <v>4510</v>
      </c>
      <c r="E448" s="1462">
        <f>(1-(X_PP/X_PAO)/((X_PP/X_PAO)+(K_iPP_PAO_max)*EXP(((K_iPP_PAO_max)-(X_PP/X_PAO))*(L_ogslopePP_PAO_inh))))</f>
        <v>0.99999999945571982</v>
      </c>
      <c r="F448" s="423" t="s">
        <v>282</v>
      </c>
      <c r="G448" s="423">
        <v>2</v>
      </c>
      <c r="H448" s="285"/>
      <c r="I448" s="432"/>
    </row>
    <row r="449" spans="2:9" ht="18" outlineLevel="1" x14ac:dyDescent="0.25">
      <c r="B449" s="2575" t="s">
        <v>5271</v>
      </c>
      <c r="C449" s="2588" t="s">
        <v>5272</v>
      </c>
      <c r="D449" s="2588" t="s">
        <v>5273</v>
      </c>
      <c r="E449" s="1776">
        <f>(1-(X_PHA_GAO/X_GAO)/((X_PHA_GAO/X_GAO)+(K_iPHA_GAO_max)*EXP(((K_iPHA_GAO_max)-(X_PHA_GAO/X_GAO))*(L_ogslopePHA_GAO_inh))))</f>
        <v>1</v>
      </c>
      <c r="F449" s="500" t="s">
        <v>282</v>
      </c>
      <c r="G449" s="500">
        <v>2</v>
      </c>
      <c r="H449" s="499"/>
      <c r="I449" s="501"/>
    </row>
    <row r="450" spans="2:9" ht="18" outlineLevel="1" x14ac:dyDescent="0.25">
      <c r="B450" s="2575" t="s">
        <v>5274</v>
      </c>
      <c r="C450" s="2588" t="s">
        <v>5275</v>
      </c>
      <c r="D450" s="2588" t="s">
        <v>5276</v>
      </c>
      <c r="E450" s="500">
        <f>(((K_PHA_GAO))/((X_PHA_GAO)/(X_GAO)+(K_PHA_GAO)))</f>
        <v>0.52083333333333337</v>
      </c>
      <c r="F450" s="500" t="s">
        <v>282</v>
      </c>
      <c r="G450" s="500">
        <v>2</v>
      </c>
      <c r="H450" s="499"/>
      <c r="I450" s="501"/>
    </row>
    <row r="451" spans="2:9" ht="18" outlineLevel="1" x14ac:dyDescent="0.25">
      <c r="B451" s="2575" t="s">
        <v>5277</v>
      </c>
      <c r="C451" s="2588" t="s">
        <v>5278</v>
      </c>
      <c r="D451" s="2588" t="s">
        <v>5279</v>
      </c>
      <c r="E451" s="500">
        <f>(((X_PHA_GAO)/(X_GAO))/((X_PHA_GAO)/(X_GAO)+(K_PHA_GAO)))</f>
        <v>0.47916666666666663</v>
      </c>
      <c r="F451" s="500" t="s">
        <v>282</v>
      </c>
      <c r="G451" s="500">
        <v>2</v>
      </c>
      <c r="H451" s="499"/>
      <c r="I451" s="501"/>
    </row>
    <row r="452" spans="2:9" ht="18" outlineLevel="1" x14ac:dyDescent="0.25">
      <c r="B452" s="175" t="s">
        <v>1813</v>
      </c>
      <c r="C452" s="1925" t="s">
        <v>2732</v>
      </c>
      <c r="D452" s="1926" t="s">
        <v>4185</v>
      </c>
      <c r="E452" s="424">
        <f>((K_NOx_AMETO)/((K_NOx_AMETO)+(S_NOx)))</f>
        <v>9.7087378640776708E-3</v>
      </c>
      <c r="F452" s="424" t="s">
        <v>282</v>
      </c>
      <c r="G452" s="424">
        <v>2</v>
      </c>
      <c r="H452" s="176"/>
      <c r="I452" s="252"/>
    </row>
    <row r="453" spans="2:9" ht="18" outlineLevel="1" x14ac:dyDescent="0.25">
      <c r="B453" s="175" t="s">
        <v>3732</v>
      </c>
      <c r="C453" s="1925" t="s">
        <v>2733</v>
      </c>
      <c r="D453" s="1926" t="s">
        <v>3733</v>
      </c>
      <c r="E453" s="424">
        <f>((K_iO2_AMETO)/((K_iO2_AMETO)+(S_O2)))</f>
        <v>2.4390243902439029E-2</v>
      </c>
      <c r="F453" s="424" t="s">
        <v>282</v>
      </c>
      <c r="G453" s="424">
        <v>2</v>
      </c>
      <c r="H453" s="176"/>
      <c r="I453" s="252"/>
    </row>
    <row r="454" spans="2:9" ht="18" outlineLevel="1" x14ac:dyDescent="0.25">
      <c r="B454" s="175" t="s">
        <v>1803</v>
      </c>
      <c r="C454" s="1925" t="s">
        <v>2734</v>
      </c>
      <c r="D454" s="1955" t="s">
        <v>4186</v>
      </c>
      <c r="E454" s="424">
        <f>((S_NOx)/((K_NOx_AMETO)+(S_NOx)))</f>
        <v>0.99029126213592233</v>
      </c>
      <c r="F454" s="424" t="s">
        <v>282</v>
      </c>
      <c r="G454" s="424">
        <v>2</v>
      </c>
      <c r="H454" s="176"/>
      <c r="I454" s="252"/>
    </row>
    <row r="455" spans="2:9" ht="18" outlineLevel="1" x14ac:dyDescent="0.25">
      <c r="B455" s="175" t="s">
        <v>3748</v>
      </c>
      <c r="C455" s="1925" t="s">
        <v>2735</v>
      </c>
      <c r="D455" s="1926" t="s">
        <v>3749</v>
      </c>
      <c r="E455" s="424">
        <f>((S_O2)/((K_iO2_AMETO)+(S_O2)))</f>
        <v>0.97560975609756106</v>
      </c>
      <c r="F455" s="424" t="s">
        <v>282</v>
      </c>
      <c r="G455" s="424">
        <v>2</v>
      </c>
      <c r="H455" s="176"/>
      <c r="I455" s="252"/>
    </row>
    <row r="456" spans="2:9" ht="18" outlineLevel="1" x14ac:dyDescent="0.25">
      <c r="B456" s="175" t="s">
        <v>1967</v>
      </c>
      <c r="C456" s="1925" t="s">
        <v>2736</v>
      </c>
      <c r="D456" s="1925" t="s">
        <v>2742</v>
      </c>
      <c r="E456" s="424">
        <f>((S_VFA)/((K_VFA_AMETO)+(S_VFA)+((S_VFA)^2/(K_iVFA_AMETO))))</f>
        <v>2.4999375015562114E-5</v>
      </c>
      <c r="F456" s="424" t="s">
        <v>282</v>
      </c>
      <c r="G456" s="424">
        <v>2</v>
      </c>
      <c r="H456" s="176"/>
      <c r="I456" s="252"/>
    </row>
    <row r="457" spans="2:9" ht="18" outlineLevel="1" x14ac:dyDescent="0.25">
      <c r="B457" s="274" t="s">
        <v>1814</v>
      </c>
      <c r="C457" s="1956" t="s">
        <v>2737</v>
      </c>
      <c r="D457" s="1957" t="s">
        <v>4187</v>
      </c>
      <c r="E457" s="361">
        <f>((K_NOx_HMETO)/((K_NOx_HMETO)+(S_NOx)))</f>
        <v>9.7087378640776708E-3</v>
      </c>
      <c r="F457" s="361" t="s">
        <v>282</v>
      </c>
      <c r="G457" s="361">
        <v>2</v>
      </c>
      <c r="H457" s="360"/>
      <c r="I457" s="433"/>
    </row>
    <row r="458" spans="2:9" ht="18" outlineLevel="1" x14ac:dyDescent="0.25">
      <c r="B458" s="274" t="s">
        <v>3734</v>
      </c>
      <c r="C458" s="1956" t="s">
        <v>2738</v>
      </c>
      <c r="D458" s="1957" t="s">
        <v>3735</v>
      </c>
      <c r="E458" s="361">
        <f>((K_iO2_HMETO)/((K_iO2_HMETO)+(S_O2)))</f>
        <v>2.4390243902439029E-2</v>
      </c>
      <c r="F458" s="361" t="s">
        <v>282</v>
      </c>
      <c r="G458" s="361">
        <v>2</v>
      </c>
      <c r="H458" s="360"/>
      <c r="I458" s="433"/>
    </row>
    <row r="459" spans="2:9" ht="18" outlineLevel="1" x14ac:dyDescent="0.25">
      <c r="B459" s="274" t="s">
        <v>1807</v>
      </c>
      <c r="C459" s="1956" t="s">
        <v>2739</v>
      </c>
      <c r="D459" s="1957" t="s">
        <v>1808</v>
      </c>
      <c r="E459" s="361">
        <f>((S_H2)/((K_H2_HMETO)+(S_H2)))</f>
        <v>9.0909090909090912E-2</v>
      </c>
      <c r="F459" s="361" t="s">
        <v>282</v>
      </c>
      <c r="G459" s="361">
        <v>2</v>
      </c>
      <c r="H459" s="360"/>
      <c r="I459" s="433"/>
    </row>
    <row r="460" spans="2:9" ht="18" outlineLevel="1" x14ac:dyDescent="0.25">
      <c r="B460" s="274" t="s">
        <v>1804</v>
      </c>
      <c r="C460" s="1956" t="s">
        <v>2740</v>
      </c>
      <c r="D460" s="1958" t="s">
        <v>4188</v>
      </c>
      <c r="E460" s="361">
        <f>((S_NOx)/((K_NOx_HMETO)+(S_NOx)))</f>
        <v>0.99029126213592233</v>
      </c>
      <c r="F460" s="361" t="s">
        <v>282</v>
      </c>
      <c r="G460" s="361">
        <v>2</v>
      </c>
      <c r="H460" s="360"/>
      <c r="I460" s="433"/>
    </row>
    <row r="461" spans="2:9" ht="18" outlineLevel="1" x14ac:dyDescent="0.25">
      <c r="B461" s="274" t="s">
        <v>3751</v>
      </c>
      <c r="C461" s="1956" t="s">
        <v>2741</v>
      </c>
      <c r="D461" s="1957" t="s">
        <v>3750</v>
      </c>
      <c r="E461" s="361">
        <f>((S_O2)/((K_iO2_HMETO)+(S_O2)))</f>
        <v>0.97560975609756106</v>
      </c>
      <c r="F461" s="361" t="s">
        <v>282</v>
      </c>
      <c r="G461" s="361">
        <v>2</v>
      </c>
      <c r="H461" s="360"/>
      <c r="I461" s="433"/>
    </row>
    <row r="462" spans="2:9" ht="18" outlineLevel="1" x14ac:dyDescent="0.25">
      <c r="B462" s="2281" t="s">
        <v>4856</v>
      </c>
      <c r="C462" s="2282" t="s">
        <v>4857</v>
      </c>
      <c r="D462" s="2282" t="s">
        <v>4858</v>
      </c>
      <c r="E462" s="2283">
        <f>((S_CO2)/((K_CO2_ALGAE)+(S_CO2)))</f>
        <v>0.88095238095238093</v>
      </c>
      <c r="F462" s="2283" t="s">
        <v>282</v>
      </c>
      <c r="G462" s="2283">
        <v>2</v>
      </c>
      <c r="H462" s="2284"/>
      <c r="I462" s="2285"/>
    </row>
    <row r="463" spans="2:9" ht="18" outlineLevel="1" x14ac:dyDescent="0.25">
      <c r="B463" s="2281" t="s">
        <v>4859</v>
      </c>
      <c r="C463" s="2282" t="s">
        <v>4860</v>
      </c>
      <c r="D463" s="2282" t="s">
        <v>4861</v>
      </c>
      <c r="E463" s="2283">
        <f>((S_NOx)/((K_NOx_ALGAE)+(S_NOx)))</f>
        <v>0.9107142857142857</v>
      </c>
      <c r="F463" s="2283" t="s">
        <v>282</v>
      </c>
      <c r="G463" s="2283">
        <v>2</v>
      </c>
      <c r="H463" s="2284"/>
      <c r="I463" s="2285"/>
    </row>
    <row r="464" spans="2:9" ht="18" outlineLevel="1" x14ac:dyDescent="0.25">
      <c r="B464" s="2281" t="s">
        <v>4862</v>
      </c>
      <c r="C464" s="2282" t="s">
        <v>4863</v>
      </c>
      <c r="D464" s="2282" t="s">
        <v>4864</v>
      </c>
      <c r="E464" s="2283">
        <f>((S_NHx)/((K_NHx_ALGAE)+(S_NHx)))</f>
        <v>0.58823529411764708</v>
      </c>
      <c r="F464" s="2283" t="s">
        <v>282</v>
      </c>
      <c r="G464" s="2283">
        <v>2</v>
      </c>
      <c r="H464" s="2284"/>
      <c r="I464" s="2285"/>
    </row>
    <row r="465" spans="2:9" ht="18" outlineLevel="1" x14ac:dyDescent="0.25">
      <c r="B465" s="2281" t="s">
        <v>4865</v>
      </c>
      <c r="C465" s="2282" t="s">
        <v>4866</v>
      </c>
      <c r="D465" s="2282" t="s">
        <v>4867</v>
      </c>
      <c r="E465" s="2283">
        <f>((S_O2)/((K_O2_ALGAE)+(S_O2)))</f>
        <v>0.97560975609756106</v>
      </c>
      <c r="F465" s="2283" t="s">
        <v>282</v>
      </c>
      <c r="G465" s="2283">
        <v>2</v>
      </c>
      <c r="H465" s="2284"/>
      <c r="I465" s="2285"/>
    </row>
    <row r="466" spans="2:9" ht="18" outlineLevel="1" x14ac:dyDescent="0.25">
      <c r="B466" s="2281" t="s">
        <v>4868</v>
      </c>
      <c r="C466" s="2282" t="s">
        <v>4869</v>
      </c>
      <c r="D466" s="2282" t="s">
        <v>4870</v>
      </c>
      <c r="E466" s="2283">
        <f>((K_O2_ALGAE)/((K_O2_ALGAE)+(S_O2)))</f>
        <v>2.4390243902439029E-2</v>
      </c>
      <c r="F466" s="2283" t="s">
        <v>282</v>
      </c>
      <c r="G466" s="2283">
        <v>2</v>
      </c>
      <c r="H466" s="2284"/>
      <c r="I466" s="2285"/>
    </row>
    <row r="467" spans="2:9" ht="18" outlineLevel="1" x14ac:dyDescent="0.25">
      <c r="B467" s="2281" t="s">
        <v>4871</v>
      </c>
      <c r="C467" s="2282" t="s">
        <v>4872</v>
      </c>
      <c r="D467" s="2282" t="s">
        <v>4873</v>
      </c>
      <c r="E467" s="2283">
        <f>((K_iNHx_ALGAE)/((K_iNHx_ALGAE)+(S_NHx)))</f>
        <v>0.33333333333333331</v>
      </c>
      <c r="F467" s="2283" t="s">
        <v>282</v>
      </c>
      <c r="G467" s="2283">
        <v>2</v>
      </c>
      <c r="H467" s="2284"/>
      <c r="I467" s="2285"/>
    </row>
    <row r="468" spans="2:9" ht="18" outlineLevel="1" x14ac:dyDescent="0.25">
      <c r="B468" s="618" t="s">
        <v>2743</v>
      </c>
      <c r="C468" s="1936" t="s">
        <v>2881</v>
      </c>
      <c r="D468" s="1936" t="s">
        <v>2744</v>
      </c>
      <c r="E468" s="365">
        <f>((K_iNHx_ASSIM)/((K_iNHx_ASSIM)+(S_NHx)))</f>
        <v>4.9975012493753133E-4</v>
      </c>
      <c r="F468" s="365" t="s">
        <v>282</v>
      </c>
      <c r="G468" s="365">
        <v>2</v>
      </c>
      <c r="H468" s="363"/>
      <c r="I468" s="434"/>
    </row>
    <row r="469" spans="2:9" ht="30" outlineLevel="1" x14ac:dyDescent="0.25">
      <c r="B469" s="2379" t="s">
        <v>4984</v>
      </c>
      <c r="C469" s="2380" t="s">
        <v>4985</v>
      </c>
      <c r="D469" s="2380" t="s">
        <v>4986</v>
      </c>
      <c r="E469" s="2381">
        <f>((C_B)/((K_CB_FLOC)+(C_B)))</f>
        <v>1.9960079840319364E-3</v>
      </c>
      <c r="F469" s="2381" t="s">
        <v>282</v>
      </c>
      <c r="G469" s="2381">
        <v>2</v>
      </c>
      <c r="H469" s="2382"/>
      <c r="I469" s="2383"/>
    </row>
    <row r="470" spans="2:9" ht="30" outlineLevel="1" x14ac:dyDescent="0.25">
      <c r="B470" s="2379" t="s">
        <v>4987</v>
      </c>
      <c r="C470" s="2380" t="s">
        <v>4988</v>
      </c>
      <c r="D470" s="2380" t="s">
        <v>4989</v>
      </c>
      <c r="E470" s="2381">
        <f>((C_U)/((K_CU_FLOC)+(C_U)))</f>
        <v>9.9009900990099011E-3</v>
      </c>
      <c r="F470" s="2381" t="s">
        <v>282</v>
      </c>
      <c r="G470" s="2381">
        <v>2</v>
      </c>
      <c r="H470" s="2382"/>
      <c r="I470" s="2383"/>
    </row>
    <row r="471" spans="2:9" ht="30" outlineLevel="1" x14ac:dyDescent="0.25">
      <c r="B471" s="2379" t="s">
        <v>5144</v>
      </c>
      <c r="C471" s="2380" t="s">
        <v>5145</v>
      </c>
      <c r="D471" s="2380" t="s">
        <v>5146</v>
      </c>
      <c r="E471" s="2381">
        <f>((C_B)/((K_CB_FLOC_HFO)+(C_B)))</f>
        <v>1.9960079840319364E-3</v>
      </c>
      <c r="F471" s="2381" t="s">
        <v>282</v>
      </c>
      <c r="G471" s="2381">
        <v>2</v>
      </c>
      <c r="H471" s="2382"/>
      <c r="I471" s="2383"/>
    </row>
    <row r="472" spans="2:9" ht="30" outlineLevel="1" x14ac:dyDescent="0.25">
      <c r="B472" s="2379" t="s">
        <v>5147</v>
      </c>
      <c r="C472" s="2380" t="s">
        <v>5148</v>
      </c>
      <c r="D472" s="2380" t="s">
        <v>5149</v>
      </c>
      <c r="E472" s="2381">
        <f>((C_U)/((K_CU_FLOC_HFO)+(C_U)))</f>
        <v>9.9009900990099011E-3</v>
      </c>
      <c r="F472" s="2381" t="s">
        <v>282</v>
      </c>
      <c r="G472" s="2381">
        <v>2</v>
      </c>
      <c r="H472" s="2382"/>
      <c r="I472" s="2383"/>
    </row>
    <row r="473" spans="2:9" ht="30" outlineLevel="1" x14ac:dyDescent="0.25">
      <c r="B473" s="2379" t="s">
        <v>5150</v>
      </c>
      <c r="C473" s="2380" t="s">
        <v>5151</v>
      </c>
      <c r="D473" s="2380" t="s">
        <v>5152</v>
      </c>
      <c r="E473" s="2381">
        <f>((C_B)/((K_CB_FLOC_HAO)+(C_B)))</f>
        <v>1.9960079840319364E-3</v>
      </c>
      <c r="F473" s="2381" t="s">
        <v>282</v>
      </c>
      <c r="G473" s="2381">
        <v>2</v>
      </c>
      <c r="H473" s="2382"/>
      <c r="I473" s="2383"/>
    </row>
    <row r="474" spans="2:9" ht="30" outlineLevel="1" x14ac:dyDescent="0.25">
      <c r="B474" s="2379" t="s">
        <v>5153</v>
      </c>
      <c r="C474" s="2380" t="s">
        <v>5154</v>
      </c>
      <c r="D474" s="2380" t="s">
        <v>5155</v>
      </c>
      <c r="E474" s="2381">
        <f>((C_U)/((K_CU_FLOC_HAO)+(C_U)))</f>
        <v>9.9009900990099011E-3</v>
      </c>
      <c r="F474" s="2381" t="s">
        <v>282</v>
      </c>
      <c r="G474" s="2381">
        <v>2</v>
      </c>
      <c r="H474" s="2382"/>
      <c r="I474" s="2383"/>
    </row>
    <row r="475" spans="2:9" ht="18" outlineLevel="1" x14ac:dyDescent="0.25">
      <c r="B475" s="362" t="s">
        <v>4890</v>
      </c>
      <c r="C475" s="1936" t="s">
        <v>2745</v>
      </c>
      <c r="D475" s="1937" t="s">
        <v>4892</v>
      </c>
      <c r="E475" s="365">
        <f>(((X_B)/(X_HET))/((X_B)/(X_HET)+(K_HYD)))</f>
        <v>0.21869874248223073</v>
      </c>
      <c r="F475" s="365" t="s">
        <v>282</v>
      </c>
      <c r="G475" s="365">
        <v>2</v>
      </c>
      <c r="H475" s="363"/>
      <c r="I475" s="434"/>
    </row>
    <row r="476" spans="2:9" ht="30" outlineLevel="1" x14ac:dyDescent="0.25">
      <c r="B476" s="362" t="s">
        <v>5348</v>
      </c>
      <c r="C476" s="1936" t="s">
        <v>5349</v>
      </c>
      <c r="D476" s="1937" t="s">
        <v>5350</v>
      </c>
      <c r="E476" s="365">
        <f>(((X_B_e)/(X_HET))/((X_B_e)/(X_HET)+(K_HYD)))</f>
        <v>0.56514367691170719</v>
      </c>
      <c r="F476" s="365" t="s">
        <v>282</v>
      </c>
      <c r="G476" s="365">
        <v>2</v>
      </c>
      <c r="H476" s="363"/>
      <c r="I476" s="434"/>
    </row>
    <row r="477" spans="2:9" ht="18" outlineLevel="1" x14ac:dyDescent="0.25">
      <c r="B477" s="364" t="s">
        <v>4891</v>
      </c>
      <c r="C477" s="1936" t="s">
        <v>2746</v>
      </c>
      <c r="D477" s="1937" t="s">
        <v>4893</v>
      </c>
      <c r="E477" s="365">
        <f>(((X_E_ana)/(X_HET))/((X_E_ana)/(X_HET)+(K_HYD)))</f>
        <v>1.9954105557218401E-3</v>
      </c>
      <c r="F477" s="365" t="s">
        <v>282</v>
      </c>
      <c r="G477" s="365">
        <v>2</v>
      </c>
      <c r="H477" s="363"/>
      <c r="I477" s="434"/>
    </row>
    <row r="478" spans="2:9" ht="30" outlineLevel="1" x14ac:dyDescent="0.25">
      <c r="B478" s="2379" t="s">
        <v>4990</v>
      </c>
      <c r="C478" s="2380" t="s">
        <v>4991</v>
      </c>
      <c r="D478" s="2380" t="s">
        <v>4992</v>
      </c>
      <c r="E478" s="2381">
        <f>((X_B)/((K_XB_HYD)+(X_B)))</f>
        <v>2.7237354085603113E-2</v>
      </c>
      <c r="F478" s="2381" t="s">
        <v>282</v>
      </c>
      <c r="G478" s="2381">
        <v>2</v>
      </c>
      <c r="H478" s="2382"/>
      <c r="I478" s="2383"/>
    </row>
    <row r="479" spans="2:9" ht="30" outlineLevel="1" x14ac:dyDescent="0.25">
      <c r="B479" s="2379" t="s">
        <v>5351</v>
      </c>
      <c r="C479" s="2380" t="s">
        <v>5352</v>
      </c>
      <c r="D479" s="2380" t="s">
        <v>5353</v>
      </c>
      <c r="E479" s="2381">
        <f>((X_B_e)/((K_XBe_HYD)+(X_B_e)))</f>
        <v>0.11504424778761062</v>
      </c>
      <c r="F479" s="2381" t="s">
        <v>282</v>
      </c>
      <c r="G479" s="2381">
        <v>2</v>
      </c>
      <c r="H479" s="2382"/>
      <c r="I479" s="2383"/>
    </row>
    <row r="480" spans="2:9" ht="30" outlineLevel="1" x14ac:dyDescent="0.25">
      <c r="B480" s="2379" t="s">
        <v>4993</v>
      </c>
      <c r="C480" s="2380" t="s">
        <v>4994</v>
      </c>
      <c r="D480" s="2380" t="s">
        <v>4995</v>
      </c>
      <c r="E480" s="2381">
        <f>((X_E_ana)/((K_XEana_HYD)+(X_E_ana)))</f>
        <v>1.9996000799840031E-4</v>
      </c>
      <c r="F480" s="2381" t="s">
        <v>282</v>
      </c>
      <c r="G480" s="2381">
        <v>2</v>
      </c>
      <c r="H480" s="2382"/>
      <c r="I480" s="2383"/>
    </row>
    <row r="481" spans="2:9" ht="18" outlineLevel="1" x14ac:dyDescent="0.25">
      <c r="B481" s="2379" t="s">
        <v>4996</v>
      </c>
      <c r="C481" s="2380" t="s">
        <v>5065</v>
      </c>
      <c r="D481" s="2380" t="s">
        <v>4997</v>
      </c>
      <c r="E481" s="2381">
        <f>((-1)*(2/((X_HET_HYD_lim)*(L_ograngeXHET_HYD_lim)))*LN((1/19)*(1+(1/2)*((X_HET_HYD_lim)*(L_ograngeXHET_HYD_lim)/(X_HET_HYD_lim)))))</f>
        <v>0.11582595259988035</v>
      </c>
      <c r="F481" s="2381" t="s">
        <v>1181</v>
      </c>
      <c r="G481" s="2381">
        <v>1</v>
      </c>
      <c r="H481" s="2382"/>
      <c r="I481" s="2383" t="s">
        <v>4537</v>
      </c>
    </row>
    <row r="482" spans="2:9" ht="18" outlineLevel="1" x14ac:dyDescent="0.25">
      <c r="B482" s="2379" t="s">
        <v>4998</v>
      </c>
      <c r="C482" s="2380" t="s">
        <v>4999</v>
      </c>
      <c r="D482" s="2380" t="s">
        <v>5000</v>
      </c>
      <c r="E482" s="2381">
        <f>((X_HET)/((X_HET)+(X_HET_HYD_lim)*EXP(((X_HET_HYD_lim)-(X_HET))*(L_ogslopeXHET_HYD_lim))))</f>
        <v>1</v>
      </c>
      <c r="F482" s="2381" t="s">
        <v>282</v>
      </c>
      <c r="G482" s="2381">
        <v>2</v>
      </c>
      <c r="H482" s="2382"/>
      <c r="I482" s="2383"/>
    </row>
    <row r="483" spans="2:9" ht="18" outlineLevel="1" x14ac:dyDescent="0.25">
      <c r="B483" s="2379" t="s">
        <v>5001</v>
      </c>
      <c r="C483" s="2380" t="s">
        <v>5002</v>
      </c>
      <c r="D483" s="2380" t="s">
        <v>5003</v>
      </c>
      <c r="E483" s="2381">
        <f>(1-(X_HET)/((X_HET)+(X_HET_HYD_lim)*EXP(((X_HET_HYD_lim)-(X_HET))*(L_ogslopeXHET_HYD_lim))))</f>
        <v>0</v>
      </c>
      <c r="F483" s="2381" t="s">
        <v>282</v>
      </c>
      <c r="G483" s="2381">
        <v>2</v>
      </c>
      <c r="H483" s="2382"/>
      <c r="I483" s="2383"/>
    </row>
    <row r="484" spans="2:9" s="1111" customFormat="1" ht="18" customHeight="1" outlineLevel="1" x14ac:dyDescent="0.25">
      <c r="B484" s="2196" t="s">
        <v>4778</v>
      </c>
      <c r="C484" s="2197" t="s">
        <v>4779</v>
      </c>
      <c r="D484" s="2198" t="s">
        <v>4780</v>
      </c>
      <c r="E484" s="2199">
        <f>((X_U)/((K_XU)+(X_U)))</f>
        <v>0.99009900990099009</v>
      </c>
      <c r="F484" s="2200" t="s">
        <v>282</v>
      </c>
      <c r="G484" s="2200">
        <v>2</v>
      </c>
      <c r="H484" s="2201"/>
      <c r="I484" s="2202"/>
    </row>
    <row r="485" spans="2:9" ht="18" outlineLevel="1" x14ac:dyDescent="0.25">
      <c r="B485" s="1860" t="s">
        <v>2342</v>
      </c>
      <c r="C485" s="1959" t="s">
        <v>2747</v>
      </c>
      <c r="D485" s="1960" t="s">
        <v>2343</v>
      </c>
      <c r="E485" s="551">
        <f>((S_NO2)/((K_NO2_ASSIM)+(S_NO2)))</f>
        <v>0.99009900990099009</v>
      </c>
      <c r="F485" s="356" t="s">
        <v>282</v>
      </c>
      <c r="G485" s="356">
        <v>2</v>
      </c>
      <c r="H485" s="412"/>
      <c r="I485" s="1861"/>
    </row>
    <row r="486" spans="2:9" ht="18" outlineLevel="1" x14ac:dyDescent="0.25">
      <c r="B486" s="1860" t="s">
        <v>2344</v>
      </c>
      <c r="C486" s="1959" t="s">
        <v>2748</v>
      </c>
      <c r="D486" s="1960" t="s">
        <v>2345</v>
      </c>
      <c r="E486" s="435">
        <f>((S_NO3)/((K_NO3_ASSIM)+(S_NO3)))</f>
        <v>0.99980003999200151</v>
      </c>
      <c r="F486" s="435" t="s">
        <v>282</v>
      </c>
      <c r="G486" s="435">
        <v>2</v>
      </c>
      <c r="H486" s="356"/>
      <c r="I486" s="437"/>
    </row>
    <row r="487" spans="2:9" ht="18" outlineLevel="1" x14ac:dyDescent="0.25">
      <c r="B487" s="355" t="s">
        <v>2340</v>
      </c>
      <c r="C487" s="1388" t="s">
        <v>2749</v>
      </c>
      <c r="D487" s="1961" t="s">
        <v>2341</v>
      </c>
      <c r="E487" s="550">
        <f>((K_NO2_ASSIM)/((K_NO2_ASSIM)+(S_NO2)))</f>
        <v>9.9009900990099011E-3</v>
      </c>
      <c r="F487" s="435" t="s">
        <v>282</v>
      </c>
      <c r="G487" s="435">
        <v>2</v>
      </c>
      <c r="H487" s="356"/>
      <c r="I487" s="437"/>
    </row>
    <row r="488" spans="2:9" ht="18" outlineLevel="1" x14ac:dyDescent="0.25">
      <c r="B488" s="743" t="s">
        <v>4501</v>
      </c>
      <c r="C488" s="1688" t="s">
        <v>2750</v>
      </c>
      <c r="D488" s="1688" t="s">
        <v>4511</v>
      </c>
      <c r="E488" s="1091">
        <f>(1-(S_PO4)/((S_PO4)+(K_iP_HFO_DISS)*EXP(((K_iP_HFO_DISS)-(S_PO4))*(L_ogslopeP_HFO_DISS))))</f>
        <v>0</v>
      </c>
      <c r="F488" s="1091" t="s">
        <v>282</v>
      </c>
      <c r="G488" s="1091">
        <v>2</v>
      </c>
      <c r="H488" s="1090"/>
      <c r="I488" s="1092"/>
    </row>
    <row r="489" spans="2:9" ht="18" outlineLevel="1" x14ac:dyDescent="0.25">
      <c r="B489" s="743" t="s">
        <v>4935</v>
      </c>
      <c r="C489" s="1688" t="s">
        <v>3591</v>
      </c>
      <c r="D489" s="1688" t="s">
        <v>4934</v>
      </c>
      <c r="E489" s="1091">
        <f>((K_iP_HFO_DESORP)/((K_iP_HFO_DESORP)+(S_PO4)))</f>
        <v>0.16666666666666669</v>
      </c>
      <c r="F489" s="1091" t="s">
        <v>282</v>
      </c>
      <c r="G489" s="1091">
        <v>2</v>
      </c>
      <c r="H489" s="1090"/>
      <c r="I489" s="1092"/>
    </row>
    <row r="490" spans="2:9" ht="18" outlineLevel="1" x14ac:dyDescent="0.25">
      <c r="B490" s="743" t="s">
        <v>4936</v>
      </c>
      <c r="C490" s="1962" t="s">
        <v>2751</v>
      </c>
      <c r="D490" s="1962" t="s">
        <v>4933</v>
      </c>
      <c r="E490" s="435">
        <f>((S_PO4)/((K_P_HFO_BIND)+(S_PO4)))</f>
        <v>0.83333333333333337</v>
      </c>
      <c r="F490" s="435" t="s">
        <v>282</v>
      </c>
      <c r="G490" s="435">
        <v>2</v>
      </c>
      <c r="H490" s="356"/>
      <c r="I490" s="437"/>
    </row>
    <row r="491" spans="2:9" ht="18" outlineLevel="1" x14ac:dyDescent="0.25">
      <c r="B491" s="743" t="s">
        <v>4355</v>
      </c>
      <c r="C491" s="1388" t="s">
        <v>4356</v>
      </c>
      <c r="D491" s="1688" t="s">
        <v>4512</v>
      </c>
      <c r="E491" s="1091">
        <f>(1-(S_PO4)/((S_PO4)+(K_iP_HAO_DISS)*EXP(((K_iP_HAO_DISS)-(S_PO4))*(L_ogslopeP_HAO_DISS))))</f>
        <v>0</v>
      </c>
      <c r="F491" s="616" t="s">
        <v>282</v>
      </c>
      <c r="G491" s="616">
        <v>2</v>
      </c>
      <c r="H491" s="615"/>
      <c r="I491" s="1092"/>
    </row>
    <row r="492" spans="2:9" ht="18" outlineLevel="1" x14ac:dyDescent="0.25">
      <c r="B492" s="743" t="s">
        <v>4357</v>
      </c>
      <c r="C492" s="1388" t="s">
        <v>4358</v>
      </c>
      <c r="D492" s="1388" t="s">
        <v>4359</v>
      </c>
      <c r="E492" s="616">
        <f>((K_iP_HAO_DESORP)/((K_iP_HAO_DESORP)+(S_PO4)))</f>
        <v>0.16666666666666669</v>
      </c>
      <c r="F492" s="616" t="s">
        <v>282</v>
      </c>
      <c r="G492" s="616">
        <v>2</v>
      </c>
      <c r="H492" s="615"/>
      <c r="I492" s="1092"/>
    </row>
    <row r="493" spans="2:9" ht="18" outlineLevel="1" x14ac:dyDescent="0.25">
      <c r="B493" s="743" t="s">
        <v>4360</v>
      </c>
      <c r="C493" s="1962" t="s">
        <v>4361</v>
      </c>
      <c r="D493" s="1962" t="s">
        <v>4362</v>
      </c>
      <c r="E493" s="616">
        <f>((S_PO4)/((K_P_HAO_BIND)+(S_PO4)))</f>
        <v>0.83333333333333337</v>
      </c>
      <c r="F493" s="616" t="s">
        <v>282</v>
      </c>
      <c r="G493" s="616">
        <v>2</v>
      </c>
      <c r="H493" s="615"/>
      <c r="I493" s="1387"/>
    </row>
    <row r="494" spans="2:9" ht="18" outlineLevel="1" x14ac:dyDescent="0.25">
      <c r="B494" s="743" t="s">
        <v>2752</v>
      </c>
      <c r="C494" s="1388" t="s">
        <v>2753</v>
      </c>
      <c r="D494" s="1388" t="s">
        <v>2754</v>
      </c>
      <c r="E494" s="435">
        <f>((X_ACP)/((K_ACP_DISS)+(X_ACP)))</f>
        <v>9.9999999999999997E-49</v>
      </c>
      <c r="F494" s="435" t="s">
        <v>282</v>
      </c>
      <c r="G494" s="435">
        <v>2</v>
      </c>
      <c r="H494" s="356"/>
      <c r="I494" s="436"/>
    </row>
    <row r="495" spans="2:9" ht="18" outlineLevel="1" x14ac:dyDescent="0.25">
      <c r="B495" s="743" t="s">
        <v>4238</v>
      </c>
      <c r="C495" s="1388" t="s">
        <v>4239</v>
      </c>
      <c r="D495" s="1388" t="s">
        <v>4240</v>
      </c>
      <c r="E495" s="435">
        <f>((X_BSH)/((K_BSH_DISS)+(X_BSH)))</f>
        <v>9.9999999999999997E-49</v>
      </c>
      <c r="F495" s="435" t="s">
        <v>282</v>
      </c>
      <c r="G495" s="435">
        <v>2</v>
      </c>
      <c r="H495" s="356"/>
      <c r="I495" s="436"/>
    </row>
    <row r="496" spans="2:9" ht="18" outlineLevel="1" x14ac:dyDescent="0.25">
      <c r="B496" s="743" t="s">
        <v>2755</v>
      </c>
      <c r="C496" s="1388" t="s">
        <v>2756</v>
      </c>
      <c r="D496" s="1388" t="s">
        <v>2757</v>
      </c>
      <c r="E496" s="435">
        <f>((X_CaCO3)/((K_CaCO3_DISS)+(X_CaCO3)))</f>
        <v>9.9999999999999997E-49</v>
      </c>
      <c r="F496" s="435" t="s">
        <v>282</v>
      </c>
      <c r="G496" s="435">
        <v>2</v>
      </c>
      <c r="H496" s="356"/>
      <c r="I496" s="436"/>
    </row>
    <row r="497" spans="1:9" ht="18" outlineLevel="1" x14ac:dyDescent="0.25">
      <c r="B497" s="743" t="s">
        <v>2758</v>
      </c>
      <c r="C497" s="1388" t="s">
        <v>2759</v>
      </c>
      <c r="D497" s="1388" t="s">
        <v>2760</v>
      </c>
      <c r="E497" s="435">
        <f>((X_STR)/((K_STR_DISS)+(X_STR)))</f>
        <v>9.9999999999999997E-49</v>
      </c>
      <c r="F497" s="435" t="s">
        <v>282</v>
      </c>
      <c r="G497" s="435">
        <v>2</v>
      </c>
      <c r="H497" s="356"/>
      <c r="I497" s="436"/>
    </row>
    <row r="498" spans="1:9" ht="18.75" outlineLevel="1" thickBot="1" x14ac:dyDescent="0.3">
      <c r="B498" s="377" t="s">
        <v>2761</v>
      </c>
      <c r="C498" s="1963" t="s">
        <v>2762</v>
      </c>
      <c r="D498" s="1963" t="s">
        <v>2763</v>
      </c>
      <c r="E498" s="438">
        <f>((X_Vivi)/((K_Vivi_DISS)+(X_Vivi)))</f>
        <v>9.9999999999999997E-49</v>
      </c>
      <c r="F498" s="438" t="s">
        <v>282</v>
      </c>
      <c r="G498" s="438">
        <v>2</v>
      </c>
      <c r="H498" s="378"/>
      <c r="I498" s="439"/>
    </row>
    <row r="499" spans="1:9" s="2310" customFormat="1" ht="18" customHeight="1" thickBot="1" x14ac:dyDescent="0.3">
      <c r="A499" s="4"/>
      <c r="B499" s="4"/>
      <c r="C499" s="4"/>
      <c r="D499" s="4"/>
      <c r="E499" s="1798"/>
      <c r="F499" s="4"/>
      <c r="G499" s="4"/>
      <c r="H499" s="4"/>
      <c r="I499" s="4"/>
    </row>
    <row r="500" spans="1:9" s="2310" customFormat="1" ht="18" customHeight="1" thickBot="1" x14ac:dyDescent="0.3">
      <c r="A500" s="4"/>
      <c r="B500" s="131"/>
      <c r="C500" s="1258" t="s">
        <v>2119</v>
      </c>
      <c r="D500" s="14" t="s">
        <v>303</v>
      </c>
      <c r="E500" s="14"/>
      <c r="F500" s="131"/>
      <c r="G500" s="131"/>
      <c r="H500" s="131"/>
      <c r="I500" s="131"/>
    </row>
    <row r="501" spans="1:9" s="2310" customFormat="1" ht="18" customHeight="1" thickBot="1" x14ac:dyDescent="0.3">
      <c r="A501" s="4"/>
      <c r="B501" s="1259" t="s">
        <v>0</v>
      </c>
      <c r="C501" s="1868" t="s">
        <v>1</v>
      </c>
      <c r="D501" s="1260" t="s">
        <v>5</v>
      </c>
      <c r="E501" s="1260" t="s">
        <v>152</v>
      </c>
      <c r="F501" s="1260" t="s">
        <v>2</v>
      </c>
      <c r="G501" s="1260" t="s">
        <v>302</v>
      </c>
      <c r="H501" s="1260" t="s">
        <v>116</v>
      </c>
      <c r="I501" s="1261" t="s">
        <v>117</v>
      </c>
    </row>
    <row r="502" spans="1:9" ht="18" outlineLevel="1" x14ac:dyDescent="0.25">
      <c r="B502" s="373" t="s">
        <v>1817</v>
      </c>
      <c r="C502" s="1964" t="s">
        <v>2767</v>
      </c>
      <c r="D502" s="1965" t="s">
        <v>1818</v>
      </c>
      <c r="E502" s="440">
        <f>µ_OHO*((θ_µ_OHO)^((T__)-(T_base)))</f>
        <v>2</v>
      </c>
      <c r="F502" s="440" t="s">
        <v>446</v>
      </c>
      <c r="G502" s="374">
        <v>2</v>
      </c>
      <c r="H502" s="374"/>
      <c r="I502" s="441"/>
    </row>
    <row r="503" spans="1:9" ht="18" outlineLevel="1" x14ac:dyDescent="0.25">
      <c r="B503" s="143" t="s">
        <v>1819</v>
      </c>
      <c r="C503" s="1966" t="s">
        <v>2768</v>
      </c>
      <c r="D503" s="1530" t="s">
        <v>1820</v>
      </c>
      <c r="E503" s="291">
        <f>µ_FERM_OHO*((θ_FERM_OHO)^((T__)-(T_base)))</f>
        <v>0.4</v>
      </c>
      <c r="F503" s="291" t="s">
        <v>446</v>
      </c>
      <c r="G503" s="298">
        <v>2</v>
      </c>
      <c r="H503" s="298"/>
      <c r="I503" s="442"/>
    </row>
    <row r="504" spans="1:9" ht="18" outlineLevel="1" x14ac:dyDescent="0.25">
      <c r="B504" s="143" t="s">
        <v>1821</v>
      </c>
      <c r="C504" s="1966" t="s">
        <v>2769</v>
      </c>
      <c r="D504" s="1530" t="s">
        <v>1822</v>
      </c>
      <c r="E504" s="291">
        <f>b_OHO*((θ_b_OHO)^((T__)-(T_base)))</f>
        <v>0.2</v>
      </c>
      <c r="F504" s="291" t="s">
        <v>446</v>
      </c>
      <c r="G504" s="298">
        <v>2</v>
      </c>
      <c r="H504" s="298"/>
      <c r="I504" s="442"/>
    </row>
    <row r="505" spans="1:9" ht="18" outlineLevel="1" x14ac:dyDescent="0.25">
      <c r="B505" s="143" t="s">
        <v>1823</v>
      </c>
      <c r="C505" s="1966" t="s">
        <v>2770</v>
      </c>
      <c r="D505" s="1530" t="s">
        <v>1824</v>
      </c>
      <c r="E505" s="291">
        <f>µ_MEOLO*((θ_µ_MEOLO)^((T__)-(T_base)))</f>
        <v>1.3</v>
      </c>
      <c r="F505" s="291" t="s">
        <v>446</v>
      </c>
      <c r="G505" s="298">
        <v>2</v>
      </c>
      <c r="H505" s="298"/>
      <c r="I505" s="442"/>
    </row>
    <row r="506" spans="1:9" ht="18" outlineLevel="1" x14ac:dyDescent="0.25">
      <c r="B506" s="143" t="s">
        <v>1825</v>
      </c>
      <c r="C506" s="1966" t="s">
        <v>2771</v>
      </c>
      <c r="D506" s="1530" t="s">
        <v>1826</v>
      </c>
      <c r="E506" s="291">
        <f>b_MEOLO*((θ_b_MEOLO)^((T__)-(T_base)))</f>
        <v>0.05</v>
      </c>
      <c r="F506" s="291" t="s">
        <v>446</v>
      </c>
      <c r="G506" s="298">
        <v>2</v>
      </c>
      <c r="H506" s="298"/>
      <c r="I506" s="442"/>
    </row>
    <row r="507" spans="1:9" ht="18" outlineLevel="1" x14ac:dyDescent="0.25">
      <c r="B507" s="732" t="s">
        <v>3155</v>
      </c>
      <c r="C507" s="1967" t="s">
        <v>3156</v>
      </c>
      <c r="D507" s="1967" t="s">
        <v>3157</v>
      </c>
      <c r="E507" s="734">
        <f>µ_AHO*((θ_µ_AHO)^((T__)-(T_base)))</f>
        <v>6</v>
      </c>
      <c r="F507" s="735" t="s">
        <v>446</v>
      </c>
      <c r="G507" s="733">
        <v>2</v>
      </c>
      <c r="H507" s="733"/>
      <c r="I507" s="736"/>
    </row>
    <row r="508" spans="1:9" ht="18" outlineLevel="1" x14ac:dyDescent="0.25">
      <c r="B508" s="737" t="s">
        <v>3158</v>
      </c>
      <c r="C508" s="1968" t="s">
        <v>3159</v>
      </c>
      <c r="D508" s="1968" t="s">
        <v>3160</v>
      </c>
      <c r="E508" s="739">
        <f>b_AHO*((θ_b_AHO)^((T__)-(T_base)))</f>
        <v>0.6</v>
      </c>
      <c r="F508" s="730" t="s">
        <v>446</v>
      </c>
      <c r="G508" s="738">
        <v>2</v>
      </c>
      <c r="H508" s="738"/>
      <c r="I508" s="740"/>
    </row>
    <row r="509" spans="1:9" ht="18" outlineLevel="1" x14ac:dyDescent="0.25">
      <c r="B509" s="299" t="s">
        <v>4086</v>
      </c>
      <c r="C509" s="1281" t="s">
        <v>4084</v>
      </c>
      <c r="D509" s="1281" t="s">
        <v>4085</v>
      </c>
      <c r="E509" s="285">
        <f>µ_CASTO*((θ_µ_CASTO)^((T__)-(T_base)))</f>
        <v>1</v>
      </c>
      <c r="F509" s="285" t="s">
        <v>446</v>
      </c>
      <c r="G509" s="300">
        <v>2</v>
      </c>
      <c r="H509" s="300"/>
      <c r="I509" s="443"/>
    </row>
    <row r="510" spans="1:9" ht="30" outlineLevel="1" x14ac:dyDescent="0.25">
      <c r="B510" s="299" t="s">
        <v>1850</v>
      </c>
      <c r="C510" s="1536" t="s">
        <v>2772</v>
      </c>
      <c r="D510" s="1535" t="s">
        <v>1853</v>
      </c>
      <c r="E510" s="285">
        <f>µ_PAO_lim*((θ_µ_PAO_lim)^((T__)-(T_base)))</f>
        <v>0.49</v>
      </c>
      <c r="F510" s="285" t="s">
        <v>446</v>
      </c>
      <c r="G510" s="300">
        <v>2</v>
      </c>
      <c r="H510" s="300"/>
      <c r="I510" s="443"/>
    </row>
    <row r="511" spans="1:9" ht="18" outlineLevel="1" x14ac:dyDescent="0.25">
      <c r="B511" s="587" t="s">
        <v>2764</v>
      </c>
      <c r="C511" s="1536" t="s">
        <v>2765</v>
      </c>
      <c r="D511" s="1536" t="s">
        <v>2766</v>
      </c>
      <c r="E511" s="511">
        <f>µ_FERM_PAO*((θ_FERM_PAO)^((T__)-(T_base)))</f>
        <v>0.45</v>
      </c>
      <c r="F511" s="511" t="s">
        <v>446</v>
      </c>
      <c r="G511" s="619">
        <v>2</v>
      </c>
      <c r="H511" s="619"/>
      <c r="I511" s="620"/>
    </row>
    <row r="512" spans="1:9" ht="18" customHeight="1" outlineLevel="1" x14ac:dyDescent="0.25">
      <c r="B512" s="587" t="s">
        <v>4087</v>
      </c>
      <c r="C512" s="1281" t="s">
        <v>4088</v>
      </c>
      <c r="D512" s="1281" t="s">
        <v>4089</v>
      </c>
      <c r="E512" s="1160">
        <f>q_PAO_PP*((θ_q_PAO_PP)^((T__)-(T_base)))</f>
        <v>0.1</v>
      </c>
      <c r="F512" s="1160" t="s">
        <v>446</v>
      </c>
      <c r="G512" s="1306">
        <v>2</v>
      </c>
      <c r="H512" s="1306"/>
      <c r="I512" s="1307"/>
    </row>
    <row r="513" spans="1:9" ht="18" outlineLevel="1" x14ac:dyDescent="0.25">
      <c r="B513" s="299" t="s">
        <v>1827</v>
      </c>
      <c r="C513" s="1536" t="s">
        <v>2773</v>
      </c>
      <c r="D513" s="1535" t="s">
        <v>1828</v>
      </c>
      <c r="E513" s="285">
        <f>q_PAO_PHA*((θ_q_PAO_PHA)^((T__)-(T_base)))</f>
        <v>7</v>
      </c>
      <c r="F513" s="285" t="s">
        <v>446</v>
      </c>
      <c r="G513" s="300">
        <v>2</v>
      </c>
      <c r="H513" s="300"/>
      <c r="I513" s="443"/>
    </row>
    <row r="514" spans="1:9" ht="18" outlineLevel="1" x14ac:dyDescent="0.25">
      <c r="B514" s="2581" t="s">
        <v>5280</v>
      </c>
      <c r="C514" s="2582" t="s">
        <v>5281</v>
      </c>
      <c r="D514" s="2582" t="s">
        <v>5282</v>
      </c>
      <c r="E514" s="499">
        <f>q_GAO_PHA*((θ_q_GAO_PHA)^((T__)-(T_base)))</f>
        <v>4</v>
      </c>
      <c r="F514" s="499" t="s">
        <v>446</v>
      </c>
      <c r="G514" s="503">
        <v>2</v>
      </c>
      <c r="H514" s="503"/>
      <c r="I514" s="504"/>
    </row>
    <row r="515" spans="1:9" ht="30" outlineLevel="1" x14ac:dyDescent="0.25">
      <c r="B515" s="299" t="s">
        <v>4091</v>
      </c>
      <c r="C515" s="2580" t="s">
        <v>5283</v>
      </c>
      <c r="D515" s="1281" t="s">
        <v>4090</v>
      </c>
      <c r="E515" s="285">
        <f>b_STC*((θ_b_STC)^((T__)-(T_base)))</f>
        <v>7.0000000000000007E-2</v>
      </c>
      <c r="F515" s="285" t="s">
        <v>446</v>
      </c>
      <c r="G515" s="300">
        <v>2</v>
      </c>
      <c r="H515" s="300"/>
      <c r="I515" s="443"/>
    </row>
    <row r="516" spans="1:9" ht="30" outlineLevel="1" x14ac:dyDescent="0.25">
      <c r="B516" s="299" t="s">
        <v>2098</v>
      </c>
      <c r="C516" s="1536" t="s">
        <v>2774</v>
      </c>
      <c r="D516" s="1535" t="s">
        <v>2099</v>
      </c>
      <c r="E516" s="285">
        <f>b_PP_ana*((θ_b_PP_ana)^((T__)-(T_base)))</f>
        <v>5.0000000000000001E-3</v>
      </c>
      <c r="F516" s="285" t="s">
        <v>446</v>
      </c>
      <c r="G516" s="300">
        <v>2</v>
      </c>
      <c r="H516" s="300"/>
      <c r="I516" s="443"/>
    </row>
    <row r="517" spans="1:9" ht="18" outlineLevel="1" x14ac:dyDescent="0.25">
      <c r="B517" s="299" t="s">
        <v>4094</v>
      </c>
      <c r="C517" s="1281" t="s">
        <v>4092</v>
      </c>
      <c r="D517" s="1281" t="s">
        <v>4093</v>
      </c>
      <c r="E517" s="285">
        <f>b_CASTO*((θ_b_CASTO)^((T__)-(T_base)))</f>
        <v>0.08</v>
      </c>
      <c r="F517" s="285" t="s">
        <v>446</v>
      </c>
      <c r="G517" s="300">
        <v>2</v>
      </c>
      <c r="H517" s="300"/>
      <c r="I517" s="443"/>
    </row>
    <row r="518" spans="1:9" s="2310" customFormat="1" ht="18" outlineLevel="1" x14ac:dyDescent="0.25">
      <c r="A518" s="4"/>
      <c r="B518" s="1862" t="s">
        <v>2326</v>
      </c>
      <c r="C518" s="1969" t="s">
        <v>2775</v>
      </c>
      <c r="D518" s="1970" t="s">
        <v>2327</v>
      </c>
      <c r="E518" s="1863">
        <f>µ_AOB*((θ_µ_AOB)^((T__)-(T_base)))</f>
        <v>0.9</v>
      </c>
      <c r="F518" s="1863" t="s">
        <v>446</v>
      </c>
      <c r="G518" s="1863">
        <v>2</v>
      </c>
      <c r="H518" s="1863"/>
      <c r="I518" s="1863"/>
    </row>
    <row r="519" spans="1:9" s="2310" customFormat="1" ht="18" outlineLevel="1" x14ac:dyDescent="0.25">
      <c r="A519" s="4"/>
      <c r="B519" s="1862" t="s">
        <v>2328</v>
      </c>
      <c r="C519" s="1969" t="s">
        <v>2776</v>
      </c>
      <c r="D519" s="1970" t="s">
        <v>2329</v>
      </c>
      <c r="E519" s="1863">
        <f>b_AOB*((θ_b_AOB)^((T__)-(T_base)))</f>
        <v>0.17</v>
      </c>
      <c r="F519" s="1863" t="s">
        <v>446</v>
      </c>
      <c r="G519" s="1863">
        <v>2</v>
      </c>
      <c r="H519" s="1863"/>
      <c r="I519" s="1863"/>
    </row>
    <row r="520" spans="1:9" s="2310" customFormat="1" ht="18" outlineLevel="1" x14ac:dyDescent="0.25">
      <c r="A520" s="4"/>
      <c r="B520" s="1862" t="s">
        <v>2330</v>
      </c>
      <c r="C520" s="1969" t="s">
        <v>2777</v>
      </c>
      <c r="D520" s="1970" t="s">
        <v>2331</v>
      </c>
      <c r="E520" s="1863">
        <f>µ_NOB*((θ_µ_NOB)^((T__)-(T_base)))</f>
        <v>0.65</v>
      </c>
      <c r="F520" s="1863" t="s">
        <v>446</v>
      </c>
      <c r="G520" s="1863">
        <v>2</v>
      </c>
      <c r="H520" s="1863"/>
      <c r="I520" s="1863"/>
    </row>
    <row r="521" spans="1:9" s="2310" customFormat="1" ht="18" outlineLevel="1" x14ac:dyDescent="0.25">
      <c r="A521" s="4"/>
      <c r="B521" s="1862" t="s">
        <v>2332</v>
      </c>
      <c r="C521" s="1969" t="s">
        <v>2778</v>
      </c>
      <c r="D521" s="1970" t="s">
        <v>2333</v>
      </c>
      <c r="E521" s="1863">
        <f>b_NOB*((θ_b_NOB)^((T__)-(T_base)))</f>
        <v>0.15</v>
      </c>
      <c r="F521" s="1863" t="s">
        <v>446</v>
      </c>
      <c r="G521" s="1863">
        <v>2</v>
      </c>
      <c r="H521" s="1863"/>
      <c r="I521" s="1863"/>
    </row>
    <row r="522" spans="1:9" s="2310" customFormat="1" ht="18" outlineLevel="1" x14ac:dyDescent="0.25">
      <c r="A522" s="4"/>
      <c r="B522" s="1864" t="s">
        <v>2334</v>
      </c>
      <c r="C522" s="1490" t="s">
        <v>2779</v>
      </c>
      <c r="D522" s="1971" t="s">
        <v>2335</v>
      </c>
      <c r="E522" s="1865">
        <f>µ_AMX*((θ_µ_AMX)^((T__)-(T_base)))</f>
        <v>0.1</v>
      </c>
      <c r="F522" s="1865" t="s">
        <v>446</v>
      </c>
      <c r="G522" s="1865">
        <v>2</v>
      </c>
      <c r="H522" s="1865"/>
      <c r="I522" s="1865"/>
    </row>
    <row r="523" spans="1:9" s="2310" customFormat="1" ht="18" outlineLevel="1" x14ac:dyDescent="0.25">
      <c r="A523" s="4"/>
      <c r="B523" s="1864" t="s">
        <v>2336</v>
      </c>
      <c r="C523" s="1490" t="s">
        <v>2780</v>
      </c>
      <c r="D523" s="1971" t="s">
        <v>2337</v>
      </c>
      <c r="E523" s="1865">
        <f>b_AMX*((θ_b_AMX)^((T__)-(T_base)))</f>
        <v>1.9E-2</v>
      </c>
      <c r="F523" s="1865" t="s">
        <v>446</v>
      </c>
      <c r="G523" s="1865">
        <v>2</v>
      </c>
      <c r="H523" s="1865"/>
      <c r="I523" s="1865"/>
    </row>
    <row r="524" spans="1:9" ht="18" outlineLevel="1" x14ac:dyDescent="0.25">
      <c r="B524" s="144" t="s">
        <v>1829</v>
      </c>
      <c r="C524" s="1972" t="s">
        <v>2781</v>
      </c>
      <c r="D524" s="1540" t="s">
        <v>1830</v>
      </c>
      <c r="E524" s="176">
        <f>µ_AMETO*((θ_µ_AMETO)^((T__)-(T_base)))</f>
        <v>0.3</v>
      </c>
      <c r="F524" s="176" t="s">
        <v>446</v>
      </c>
      <c r="G524" s="105">
        <v>2</v>
      </c>
      <c r="H524" s="105"/>
      <c r="I524" s="444"/>
    </row>
    <row r="525" spans="1:9" ht="18" outlineLevel="1" x14ac:dyDescent="0.25">
      <c r="B525" s="144" t="s">
        <v>1831</v>
      </c>
      <c r="C525" s="1972" t="s">
        <v>2782</v>
      </c>
      <c r="D525" s="1540" t="s">
        <v>1832</v>
      </c>
      <c r="E525" s="176">
        <f>b_AMETO*((θ_b_AMETO)^((T__)-(T_base)))</f>
        <v>0.03</v>
      </c>
      <c r="F525" s="176" t="s">
        <v>446</v>
      </c>
      <c r="G525" s="105">
        <v>2</v>
      </c>
      <c r="H525" s="105"/>
      <c r="I525" s="444"/>
    </row>
    <row r="526" spans="1:9" ht="18" outlineLevel="1" x14ac:dyDescent="0.25">
      <c r="B526" s="144" t="s">
        <v>1833</v>
      </c>
      <c r="C526" s="1972" t="s">
        <v>2783</v>
      </c>
      <c r="D526" s="1540" t="s">
        <v>1834</v>
      </c>
      <c r="E526" s="176">
        <f>µ_HMETO*((θ_µ_HMETO)^((T__)-(T_base)))</f>
        <v>1.3</v>
      </c>
      <c r="F526" s="176" t="s">
        <v>446</v>
      </c>
      <c r="G526" s="105">
        <v>2</v>
      </c>
      <c r="H526" s="105"/>
      <c r="I526" s="444"/>
    </row>
    <row r="527" spans="1:9" ht="18" outlineLevel="1" x14ac:dyDescent="0.25">
      <c r="B527" s="144" t="s">
        <v>1835</v>
      </c>
      <c r="C527" s="1972" t="s">
        <v>2784</v>
      </c>
      <c r="D527" s="1540" t="s">
        <v>1836</v>
      </c>
      <c r="E527" s="176">
        <f>b_HMETO*((θ_b_HMETO)^((T__)-(T_base)))</f>
        <v>0.13</v>
      </c>
      <c r="F527" s="176" t="s">
        <v>446</v>
      </c>
      <c r="G527" s="105">
        <v>2</v>
      </c>
      <c r="H527" s="105"/>
      <c r="I527" s="444"/>
    </row>
    <row r="528" spans="1:9" ht="18" outlineLevel="1" x14ac:dyDescent="0.25">
      <c r="B528" s="2223" t="s">
        <v>4877</v>
      </c>
      <c r="C528" s="2212" t="s">
        <v>4878</v>
      </c>
      <c r="D528" s="2212" t="s">
        <v>4879</v>
      </c>
      <c r="E528" s="2284">
        <f>µ_ALGAE*((θ_µ_ALGAE)^((T__)-(T_base)))</f>
        <v>2</v>
      </c>
      <c r="F528" s="2284" t="s">
        <v>3098</v>
      </c>
      <c r="G528" s="2287">
        <v>2</v>
      </c>
      <c r="H528" s="2287" t="s">
        <v>4832</v>
      </c>
      <c r="I528" s="2288"/>
    </row>
    <row r="529" spans="1:9" ht="18" outlineLevel="1" x14ac:dyDescent="0.25">
      <c r="B529" s="2223" t="s">
        <v>4880</v>
      </c>
      <c r="C529" s="2212" t="s">
        <v>4881</v>
      </c>
      <c r="D529" s="2212" t="s">
        <v>4882</v>
      </c>
      <c r="E529" s="2284">
        <f>b_ALGAE*((θ_b_ALGAE)^((T__)-(T_base)))</f>
        <v>0.1</v>
      </c>
      <c r="F529" s="2284" t="s">
        <v>3098</v>
      </c>
      <c r="G529" s="2287">
        <v>2</v>
      </c>
      <c r="H529" s="2287" t="s">
        <v>4832</v>
      </c>
      <c r="I529" s="2288"/>
    </row>
    <row r="530" spans="1:9" ht="18" outlineLevel="1" x14ac:dyDescent="0.25">
      <c r="B530" s="263" t="s">
        <v>1837</v>
      </c>
      <c r="C530" s="1973" t="s">
        <v>2785</v>
      </c>
      <c r="D530" s="1542" t="s">
        <v>1838</v>
      </c>
      <c r="E530" s="356">
        <f>q_FLOC*((θ_q_FLOC)^((T__)-(T_base)))</f>
        <v>0.5</v>
      </c>
      <c r="F530" s="356" t="s">
        <v>446</v>
      </c>
      <c r="G530" s="301">
        <v>2</v>
      </c>
      <c r="H530" s="301"/>
      <c r="I530" s="445"/>
    </row>
    <row r="531" spans="1:9" ht="18" outlineLevel="1" x14ac:dyDescent="0.25">
      <c r="B531" s="2159" t="s">
        <v>5156</v>
      </c>
      <c r="C531" s="2160" t="s">
        <v>2785</v>
      </c>
      <c r="D531" s="2160" t="s">
        <v>5157</v>
      </c>
      <c r="E531" s="2312">
        <f>q_FLOC_HFO*((θ_q_FLOC_HFO)^((T__)-(T_base)))</f>
        <v>1000</v>
      </c>
      <c r="F531" s="2312" t="s">
        <v>446</v>
      </c>
      <c r="G531" s="2163">
        <v>2</v>
      </c>
      <c r="H531" s="2163"/>
      <c r="I531" s="2194"/>
    </row>
    <row r="532" spans="1:9" ht="18" outlineLevel="1" x14ac:dyDescent="0.25">
      <c r="B532" s="2159" t="s">
        <v>5158</v>
      </c>
      <c r="C532" s="2160" t="s">
        <v>2785</v>
      </c>
      <c r="D532" s="2160" t="s">
        <v>5159</v>
      </c>
      <c r="E532" s="2312">
        <f>q_FLOC_HAO*((θ_q_FLOC_HAO)^((T__)-(T_base)))</f>
        <v>1000</v>
      </c>
      <c r="F532" s="2312" t="s">
        <v>446</v>
      </c>
      <c r="G532" s="2163">
        <v>2</v>
      </c>
      <c r="H532" s="2163"/>
      <c r="I532" s="2194"/>
    </row>
    <row r="533" spans="1:9" ht="18" outlineLevel="1" x14ac:dyDescent="0.25">
      <c r="B533" s="2159" t="s">
        <v>5346</v>
      </c>
      <c r="C533" s="1973" t="s">
        <v>2786</v>
      </c>
      <c r="D533" s="1542" t="s">
        <v>5347</v>
      </c>
      <c r="E533" s="356">
        <f>q_HYD_XB*((θ_q_HYD)^((T__)-(T_base)))</f>
        <v>3</v>
      </c>
      <c r="F533" s="356" t="s">
        <v>446</v>
      </c>
      <c r="G533" s="301">
        <v>2</v>
      </c>
      <c r="H533" s="301"/>
      <c r="I533" s="445"/>
    </row>
    <row r="534" spans="1:9" ht="18" outlineLevel="1" x14ac:dyDescent="0.25">
      <c r="B534" s="2159" t="s">
        <v>5343</v>
      </c>
      <c r="C534" s="1973" t="s">
        <v>5344</v>
      </c>
      <c r="D534" s="1542" t="s">
        <v>5345</v>
      </c>
      <c r="E534" s="356">
        <f>q_HYD_XBe*((θ_q_HYD)^((T__)-(T_base)))</f>
        <v>1</v>
      </c>
      <c r="F534" s="356" t="s">
        <v>446</v>
      </c>
      <c r="G534" s="301">
        <v>2</v>
      </c>
      <c r="H534" s="301"/>
      <c r="I534" s="445"/>
    </row>
    <row r="535" spans="1:9" ht="18" outlineLevel="1" x14ac:dyDescent="0.25">
      <c r="B535" s="263" t="s">
        <v>1839</v>
      </c>
      <c r="C535" s="1973" t="s">
        <v>2787</v>
      </c>
      <c r="D535" s="1542" t="s">
        <v>1840</v>
      </c>
      <c r="E535" s="356">
        <f>q_AMMON*((θ_q_AMMON)^((T__)-(T_base)))</f>
        <v>0.05</v>
      </c>
      <c r="F535" s="356" t="s">
        <v>446</v>
      </c>
      <c r="G535" s="301">
        <v>2</v>
      </c>
      <c r="H535" s="301"/>
      <c r="I535" s="445"/>
    </row>
    <row r="536" spans="1:9" ht="35.25" customHeight="1" outlineLevel="1" x14ac:dyDescent="0.25">
      <c r="B536" s="263" t="s">
        <v>1851</v>
      </c>
      <c r="C536" s="1973" t="s">
        <v>2788</v>
      </c>
      <c r="D536" s="1542" t="s">
        <v>1852</v>
      </c>
      <c r="E536" s="356">
        <f>q_SPB*((θ_q_SPB)^((T__)-(T_base)))</f>
        <v>0.5</v>
      </c>
      <c r="F536" s="356" t="s">
        <v>446</v>
      </c>
      <c r="G536" s="301">
        <v>2</v>
      </c>
      <c r="H536" s="301"/>
      <c r="I536" s="445"/>
    </row>
    <row r="537" spans="1:9" ht="18" outlineLevel="1" x14ac:dyDescent="0.25">
      <c r="B537" s="263" t="s">
        <v>1854</v>
      </c>
      <c r="C537" s="1973" t="s">
        <v>2789</v>
      </c>
      <c r="D537" s="1542" t="s">
        <v>1855</v>
      </c>
      <c r="E537" s="356">
        <f>q_XE*((θ_q_XE)^((T__)-(T_base)))</f>
        <v>7.0000000000000001E-3</v>
      </c>
      <c r="F537" s="356" t="s">
        <v>446</v>
      </c>
      <c r="G537" s="301">
        <v>2</v>
      </c>
      <c r="H537" s="301"/>
      <c r="I537" s="445"/>
    </row>
    <row r="538" spans="1:9" ht="30" outlineLevel="1" x14ac:dyDescent="0.25">
      <c r="B538" s="2159" t="s">
        <v>4773</v>
      </c>
      <c r="C538" s="2160" t="s">
        <v>4774</v>
      </c>
      <c r="D538" s="2160" t="s">
        <v>4775</v>
      </c>
      <c r="E538" s="2312">
        <f>q_XU*((θ_q_XU)^((T__)-(T_base)))</f>
        <v>9.9999999999999995E-7</v>
      </c>
      <c r="F538" s="2312" t="s">
        <v>446</v>
      </c>
      <c r="G538" s="2163">
        <v>2</v>
      </c>
      <c r="H538" s="2163"/>
      <c r="I538" s="2194"/>
    </row>
    <row r="539" spans="1:9" ht="18" outlineLevel="1" x14ac:dyDescent="0.25">
      <c r="B539" s="263" t="s">
        <v>1841</v>
      </c>
      <c r="C539" s="1973" t="s">
        <v>2790</v>
      </c>
      <c r="D539" s="1542" t="s">
        <v>1842</v>
      </c>
      <c r="E539" s="356">
        <f>q_ASSIM*((θ_q_ASSIM)^((T__)-(T_base)))</f>
        <v>1</v>
      </c>
      <c r="F539" s="356" t="s">
        <v>446</v>
      </c>
      <c r="G539" s="301">
        <v>2</v>
      </c>
      <c r="H539" s="301"/>
      <c r="I539" s="445"/>
    </row>
    <row r="540" spans="1:9" ht="18" outlineLevel="1" x14ac:dyDescent="0.25">
      <c r="B540" s="265" t="s">
        <v>2793</v>
      </c>
      <c r="C540" s="1974" t="s">
        <v>2791</v>
      </c>
      <c r="D540" s="1543" t="s">
        <v>2794</v>
      </c>
      <c r="E540" s="446">
        <f>q_Fe2_OX*((θ_q_Fe2_OX)^((T__)-(T_base)))</f>
        <v>50</v>
      </c>
      <c r="F540" s="446" t="s">
        <v>446</v>
      </c>
      <c r="G540" s="302">
        <v>2</v>
      </c>
      <c r="H540" s="302"/>
      <c r="I540" s="447"/>
    </row>
    <row r="541" spans="1:9" ht="18.75" outlineLevel="1" thickBot="1" x14ac:dyDescent="0.3">
      <c r="B541" s="375" t="s">
        <v>1856</v>
      </c>
      <c r="C541" s="1975" t="s">
        <v>2792</v>
      </c>
      <c r="D541" s="1975" t="s">
        <v>1857</v>
      </c>
      <c r="E541" s="448">
        <f>q_HFO_RED*((θ_q_HFO_RED)^((T__)-(T_base)))</f>
        <v>2</v>
      </c>
      <c r="F541" s="448" t="s">
        <v>446</v>
      </c>
      <c r="G541" s="376">
        <v>2</v>
      </c>
      <c r="H541" s="376"/>
      <c r="I541" s="449"/>
    </row>
    <row r="542" spans="1:9" s="2310" customFormat="1" ht="18" customHeight="1" thickBot="1" x14ac:dyDescent="0.3">
      <c r="A542" s="4"/>
      <c r="B542" s="4"/>
      <c r="C542" s="4"/>
      <c r="D542" s="4"/>
      <c r="E542" s="1798"/>
      <c r="F542" s="4"/>
      <c r="G542" s="4"/>
      <c r="H542" s="4"/>
      <c r="I542" s="4"/>
    </row>
    <row r="543" spans="1:9" s="2310" customFormat="1" ht="18" customHeight="1" thickBot="1" x14ac:dyDescent="0.3">
      <c r="A543" s="4"/>
      <c r="B543" s="131"/>
      <c r="C543" s="1258" t="s">
        <v>340</v>
      </c>
      <c r="D543" s="14" t="s">
        <v>321</v>
      </c>
      <c r="E543" s="14"/>
      <c r="F543" s="131"/>
      <c r="G543" s="131"/>
      <c r="H543" s="131"/>
      <c r="I543" s="131"/>
    </row>
    <row r="544" spans="1:9" s="2310" customFormat="1" ht="18" customHeight="1" thickBot="1" x14ac:dyDescent="0.3">
      <c r="A544" s="4"/>
      <c r="B544" s="1259" t="s">
        <v>0</v>
      </c>
      <c r="C544" s="1868" t="s">
        <v>1</v>
      </c>
      <c r="D544" s="1260" t="s">
        <v>5</v>
      </c>
      <c r="E544" s="1260" t="s">
        <v>152</v>
      </c>
      <c r="F544" s="1260" t="s">
        <v>2</v>
      </c>
      <c r="G544" s="1260" t="s">
        <v>302</v>
      </c>
      <c r="H544" s="1260" t="s">
        <v>116</v>
      </c>
      <c r="I544" s="1261" t="s">
        <v>117</v>
      </c>
    </row>
    <row r="545" spans="1:9" ht="18" outlineLevel="1" x14ac:dyDescent="0.25">
      <c r="B545" s="1004" t="s">
        <v>909</v>
      </c>
      <c r="C545" s="1976" t="s">
        <v>906</v>
      </c>
      <c r="D545" s="1976" t="s">
        <v>1843</v>
      </c>
      <c r="E545" s="1005">
        <f>1.82483*10^6*ρ__^(0.5)*(ε__*T_K)^(-1.5)</f>
        <v>0.50517320931567189</v>
      </c>
      <c r="F545" s="552" t="s">
        <v>1976</v>
      </c>
      <c r="G545" s="552">
        <v>3</v>
      </c>
      <c r="H545" s="552" t="s">
        <v>11</v>
      </c>
      <c r="I545" s="1006"/>
    </row>
    <row r="546" spans="1:9" ht="18" outlineLevel="1" x14ac:dyDescent="0.25">
      <c r="B546" s="1004" t="s">
        <v>908</v>
      </c>
      <c r="C546" s="1976" t="s">
        <v>2882</v>
      </c>
      <c r="D546" s="1976" t="s">
        <v>943</v>
      </c>
      <c r="E546" s="1005">
        <f>2727.586+0.6224107*T_K-466.9151*LN(T_K)-(52000.87/T_K)</f>
        <v>80.261801298291488</v>
      </c>
      <c r="F546" s="552" t="s">
        <v>1976</v>
      </c>
      <c r="G546" s="552">
        <v>3</v>
      </c>
      <c r="H546" s="552" t="s">
        <v>11</v>
      </c>
      <c r="I546" s="1006"/>
    </row>
    <row r="547" spans="1:9" outlineLevel="1" x14ac:dyDescent="0.25">
      <c r="B547" s="1004" t="s">
        <v>910</v>
      </c>
      <c r="C547" s="1976" t="s">
        <v>2883</v>
      </c>
      <c r="D547" s="1976" t="s">
        <v>907</v>
      </c>
      <c r="E547" s="1005">
        <f>1-(T__-3.9863)^2*(T__+288.9414)/(508929.2*(T__+68.12963))+0.011445*EXP(-374.3/T__)</f>
        <v>0.99823363622515204</v>
      </c>
      <c r="F547" s="552" t="s">
        <v>1976</v>
      </c>
      <c r="G547" s="552">
        <v>3</v>
      </c>
      <c r="H547" s="552" t="s">
        <v>11</v>
      </c>
      <c r="I547" s="1006"/>
    </row>
    <row r="548" spans="1:9" ht="18" outlineLevel="1" x14ac:dyDescent="0.25">
      <c r="B548" s="1007" t="s">
        <v>3526</v>
      </c>
      <c r="C548" s="1976" t="s">
        <v>3527</v>
      </c>
      <c r="D548" s="1931" t="s">
        <v>3528</v>
      </c>
      <c r="E548" s="1005">
        <f>f_mono_ISlim-I_Slim*S_lopeIS_corr</f>
        <v>0.78560775368648972</v>
      </c>
      <c r="F548" s="552" t="s">
        <v>1976</v>
      </c>
      <c r="G548" s="552">
        <v>3</v>
      </c>
      <c r="H548" s="552" t="s">
        <v>11</v>
      </c>
      <c r="I548" s="1006"/>
    </row>
    <row r="549" spans="1:9" ht="18" outlineLevel="1" x14ac:dyDescent="0.25">
      <c r="B549" s="1007" t="s">
        <v>3529</v>
      </c>
      <c r="C549" s="1976" t="s">
        <v>3530</v>
      </c>
      <c r="D549" s="1931" t="s">
        <v>3531</v>
      </c>
      <c r="E549" s="1005">
        <f>f_di_ISlim-I_Slim*S_lopeIS_corr</f>
        <v>0.38072284713919508</v>
      </c>
      <c r="F549" s="552" t="s">
        <v>1976</v>
      </c>
      <c r="G549" s="552">
        <v>3</v>
      </c>
      <c r="H549" s="552" t="s">
        <v>11</v>
      </c>
      <c r="I549" s="1006"/>
    </row>
    <row r="550" spans="1:9" ht="18" outlineLevel="1" x14ac:dyDescent="0.25">
      <c r="B550" s="1007" t="s">
        <v>3532</v>
      </c>
      <c r="C550" s="1976" t="s">
        <v>3533</v>
      </c>
      <c r="D550" s="1931" t="s">
        <v>3534</v>
      </c>
      <c r="E550" s="1005">
        <f>f_tri_ISlim-I_Slim*S_lopeIS_corr</f>
        <v>0.11392518696837291</v>
      </c>
      <c r="F550" s="552" t="s">
        <v>1976</v>
      </c>
      <c r="G550" s="552">
        <v>3</v>
      </c>
      <c r="H550" s="552" t="s">
        <v>11</v>
      </c>
      <c r="I550" s="1006"/>
    </row>
    <row r="551" spans="1:9" ht="18" outlineLevel="1" x14ac:dyDescent="0.25">
      <c r="B551" s="1007" t="s">
        <v>3535</v>
      </c>
      <c r="C551" s="1976" t="s">
        <v>3536</v>
      </c>
      <c r="D551" s="1931" t="s">
        <v>1977</v>
      </c>
      <c r="E551" s="1005">
        <f>10^(-A_Davies*1^(2)*(I_Slim^(0.5)/(1+1.5*I_Slim^(0.5))-0.3*I_Slim))</f>
        <v>0.78540775368648974</v>
      </c>
      <c r="F551" s="552" t="s">
        <v>1976</v>
      </c>
      <c r="G551" s="552">
        <v>3</v>
      </c>
      <c r="H551" s="552" t="s">
        <v>11</v>
      </c>
      <c r="I551" s="1006"/>
    </row>
    <row r="552" spans="1:9" ht="18" outlineLevel="1" x14ac:dyDescent="0.25">
      <c r="B552" s="1009" t="s">
        <v>3537</v>
      </c>
      <c r="C552" s="1931" t="s">
        <v>3538</v>
      </c>
      <c r="D552" s="1931" t="s">
        <v>1978</v>
      </c>
      <c r="E552" s="1010">
        <f>10^(-A_Davies*2^(2)*(I_Slim^(0.5)/(1+1.5*I_Slim^(0.5))-0.3*I_Slim))</f>
        <v>0.3805228471391951</v>
      </c>
      <c r="F552" s="1011" t="s">
        <v>1976</v>
      </c>
      <c r="G552" s="1012">
        <v>3</v>
      </c>
      <c r="H552" s="1008" t="s">
        <v>11</v>
      </c>
      <c r="I552" s="1013"/>
    </row>
    <row r="553" spans="1:9" ht="18" outlineLevel="1" x14ac:dyDescent="0.25">
      <c r="B553" s="1009" t="s">
        <v>3539</v>
      </c>
      <c r="C553" s="1931" t="s">
        <v>3540</v>
      </c>
      <c r="D553" s="1931" t="s">
        <v>1979</v>
      </c>
      <c r="E553" s="1010">
        <f>10^(-A_Davies*3^(2)*(I_Slim^(0.5)/(1+1.5*I_Slim^(0.5))-0.3*I_Slim))</f>
        <v>0.1137251869683729</v>
      </c>
      <c r="F553" s="1010" t="s">
        <v>1976</v>
      </c>
      <c r="G553" s="1012">
        <v>3</v>
      </c>
      <c r="H553" s="1008" t="s">
        <v>11</v>
      </c>
      <c r="I553" s="1013"/>
    </row>
    <row r="554" spans="1:9" ht="18" outlineLevel="1" x14ac:dyDescent="0.25">
      <c r="B554" s="1009" t="s">
        <v>341</v>
      </c>
      <c r="C554" s="1931" t="s">
        <v>342</v>
      </c>
      <c r="D554" s="1931" t="s">
        <v>3541</v>
      </c>
      <c r="E554" s="1010">
        <f>IF(I_S&lt;I_Slim,10^(-A_Davies*1^(2)*(I_S^(0.5)/(1+1.5*I_S^(0.5))-0.3*I_S)),S_lopeIS_corr*I_S+y_fmono)</f>
        <v>0.87920810737341937</v>
      </c>
      <c r="F554" s="1008" t="s">
        <v>1976</v>
      </c>
      <c r="G554" s="1012">
        <v>3</v>
      </c>
      <c r="H554" s="1008" t="s">
        <v>11</v>
      </c>
      <c r="I554" s="1013"/>
    </row>
    <row r="555" spans="1:9" ht="18" outlineLevel="1" x14ac:dyDescent="0.25">
      <c r="B555" s="1009" t="s">
        <v>343</v>
      </c>
      <c r="C555" s="1931" t="s">
        <v>344</v>
      </c>
      <c r="D555" s="1931" t="s">
        <v>3542</v>
      </c>
      <c r="E555" s="1010">
        <f>IF(I_S&lt;I_Slim,10^(-A_Davies*2^(2)*(I_S^(0.5)/(1+1.5*I_S^(0.5))-0.3*I_S)),S_lopeIS_corr*I_S+y_fdi)</f>
        <v>0.59753966137355408</v>
      </c>
      <c r="F555" s="1011" t="s">
        <v>1976</v>
      </c>
      <c r="G555" s="1012">
        <v>3</v>
      </c>
      <c r="H555" s="1008" t="s">
        <v>11</v>
      </c>
      <c r="I555" s="1013"/>
    </row>
    <row r="556" spans="1:9" ht="18.75" outlineLevel="1" thickBot="1" x14ac:dyDescent="0.3">
      <c r="B556" s="324" t="s">
        <v>345</v>
      </c>
      <c r="C556" s="1977" t="s">
        <v>346</v>
      </c>
      <c r="D556" s="1977" t="s">
        <v>3543</v>
      </c>
      <c r="E556" s="1014">
        <f>IF(I_S&lt;I_Slim,10^(-A_Davies*3^(2)*(I_S^(0.5)/(1+1.5*I_S^(0.5))-0.3*I_S)),S_lopeIS_corr*I_S+y_ftri)</f>
        <v>0.31392446113440575</v>
      </c>
      <c r="F556" s="1014" t="s">
        <v>1976</v>
      </c>
      <c r="G556" s="1015">
        <v>3</v>
      </c>
      <c r="H556" s="954" t="s">
        <v>11</v>
      </c>
      <c r="I556" s="455"/>
    </row>
    <row r="557" spans="1:9" s="2310" customFormat="1" ht="18" customHeight="1" thickBot="1" x14ac:dyDescent="0.3">
      <c r="A557" s="4"/>
      <c r="B557" s="4"/>
      <c r="C557" s="4"/>
      <c r="D557" s="4"/>
      <c r="E557" s="1798"/>
      <c r="F557" s="4"/>
      <c r="G557" s="4"/>
      <c r="H557" s="4"/>
      <c r="I557" s="4"/>
    </row>
    <row r="558" spans="1:9" s="2310" customFormat="1" ht="18" customHeight="1" thickBot="1" x14ac:dyDescent="0.3">
      <c r="A558" s="4"/>
      <c r="B558" s="131"/>
      <c r="C558" s="1258" t="s">
        <v>945</v>
      </c>
      <c r="D558" s="14" t="s">
        <v>321</v>
      </c>
      <c r="E558" s="14"/>
      <c r="F558" s="131"/>
      <c r="G558" s="131"/>
      <c r="H558" s="131"/>
      <c r="I558" s="131"/>
    </row>
    <row r="559" spans="1:9" s="2310" customFormat="1" ht="18" customHeight="1" thickBot="1" x14ac:dyDescent="0.3">
      <c r="A559" s="4"/>
      <c r="B559" s="1259" t="s">
        <v>0</v>
      </c>
      <c r="C559" s="1868" t="s">
        <v>1</v>
      </c>
      <c r="D559" s="1260" t="s">
        <v>5</v>
      </c>
      <c r="E559" s="1260" t="s">
        <v>152</v>
      </c>
      <c r="F559" s="1260" t="s">
        <v>2</v>
      </c>
      <c r="G559" s="1260" t="s">
        <v>302</v>
      </c>
      <c r="H559" s="1260" t="s">
        <v>116</v>
      </c>
      <c r="I559" s="1261" t="s">
        <v>117</v>
      </c>
    </row>
    <row r="560" spans="1:9" ht="18" outlineLevel="1" x14ac:dyDescent="0.25">
      <c r="B560" s="328" t="s">
        <v>946</v>
      </c>
      <c r="C560" s="1978" t="s">
        <v>2796</v>
      </c>
      <c r="D560" s="1979" t="s">
        <v>3452</v>
      </c>
      <c r="E560" s="489">
        <f>K_W_param*EXP(d_Hdiss_H2O/R__*(1/T_st_K-1/T_K))</f>
        <v>6.7545152316627035E-15</v>
      </c>
      <c r="F560" s="322" t="s">
        <v>1976</v>
      </c>
      <c r="G560" s="456">
        <v>3</v>
      </c>
      <c r="H560" s="329" t="s">
        <v>11</v>
      </c>
      <c r="I560" s="457"/>
    </row>
    <row r="561" spans="1:9" ht="18" outlineLevel="1" x14ac:dyDescent="0.25">
      <c r="B561" s="326" t="s">
        <v>947</v>
      </c>
      <c r="C561" s="1553" t="s">
        <v>2797</v>
      </c>
      <c r="D561" s="1980" t="s">
        <v>1844</v>
      </c>
      <c r="E561" s="451">
        <f>10^(-(3404.7/T_K-14.8435+T_K*0.03279))</f>
        <v>4.1392419480646479E-7</v>
      </c>
      <c r="F561" s="322" t="s">
        <v>1976</v>
      </c>
      <c r="G561" s="452">
        <v>3</v>
      </c>
      <c r="H561" s="323" t="s">
        <v>11</v>
      </c>
      <c r="I561" s="453"/>
    </row>
    <row r="562" spans="1:9" ht="18" outlineLevel="1" x14ac:dyDescent="0.25">
      <c r="B562" s="326" t="s">
        <v>948</v>
      </c>
      <c r="C562" s="1553" t="s">
        <v>2798</v>
      </c>
      <c r="D562" s="1980" t="s">
        <v>1845</v>
      </c>
      <c r="E562" s="451">
        <f>10^(-(2902.4/T_K-6.498+T_K*0.02379))</f>
        <v>4.1997949506593592E-11</v>
      </c>
      <c r="F562" s="322" t="s">
        <v>1976</v>
      </c>
      <c r="G562" s="452">
        <v>3</v>
      </c>
      <c r="H562" s="323" t="s">
        <v>11</v>
      </c>
      <c r="I562" s="453"/>
    </row>
    <row r="563" spans="1:9" ht="18" outlineLevel="1" x14ac:dyDescent="0.25">
      <c r="B563" s="326" t="s">
        <v>949</v>
      </c>
      <c r="C563" s="1553" t="s">
        <v>2799</v>
      </c>
      <c r="D563" s="1980" t="s">
        <v>1846</v>
      </c>
      <c r="E563" s="451">
        <f>10^(-(799.3/T_K-4.5535+T_K*0.01349))</f>
        <v>7.4527408036475567E-3</v>
      </c>
      <c r="F563" s="322" t="s">
        <v>1976</v>
      </c>
      <c r="G563" s="452">
        <v>3</v>
      </c>
      <c r="H563" s="323" t="s">
        <v>11</v>
      </c>
      <c r="I563" s="453"/>
    </row>
    <row r="564" spans="1:9" ht="18" outlineLevel="1" x14ac:dyDescent="0.25">
      <c r="B564" s="326" t="s">
        <v>950</v>
      </c>
      <c r="C564" s="1553" t="s">
        <v>2800</v>
      </c>
      <c r="D564" s="1980" t="s">
        <v>1847</v>
      </c>
      <c r="E564" s="451">
        <f>10^(-(1979.5/T_K-5.3541+T_K*0.01984))</f>
        <v>6.1022250881622208E-8</v>
      </c>
      <c r="F564" s="322" t="s">
        <v>1976</v>
      </c>
      <c r="G564" s="452">
        <v>3</v>
      </c>
      <c r="H564" s="323" t="s">
        <v>11</v>
      </c>
      <c r="I564" s="453"/>
    </row>
    <row r="565" spans="1:9" ht="18" outlineLevel="1" x14ac:dyDescent="0.25">
      <c r="B565" s="326" t="s">
        <v>951</v>
      </c>
      <c r="C565" s="1553" t="s">
        <v>2801</v>
      </c>
      <c r="D565" s="1980" t="s">
        <v>3453</v>
      </c>
      <c r="E565" s="451">
        <f>K_P3_param*EXP(d_Hdiss_PO4_3/R__*(1/T_st_K-1/T_K))</f>
        <v>3.7853629756273106E-13</v>
      </c>
      <c r="F565" s="451" t="s">
        <v>1976</v>
      </c>
      <c r="G565" s="452">
        <v>3</v>
      </c>
      <c r="H565" s="323" t="s">
        <v>11</v>
      </c>
      <c r="I565" s="453"/>
    </row>
    <row r="566" spans="1:9" ht="18" outlineLevel="1" x14ac:dyDescent="0.25">
      <c r="B566" s="326" t="s">
        <v>2827</v>
      </c>
      <c r="C566" s="1553" t="s">
        <v>2802</v>
      </c>
      <c r="D566" s="1980" t="s">
        <v>1848</v>
      </c>
      <c r="E566" s="451">
        <f>10^(-(1170.5/T_K-3.165+T_K*0.0134))</f>
        <v>1.7536929986944336E-5</v>
      </c>
      <c r="F566" s="451" t="s">
        <v>1976</v>
      </c>
      <c r="G566" s="452">
        <v>3</v>
      </c>
      <c r="H566" s="323" t="s">
        <v>11</v>
      </c>
      <c r="I566" s="453"/>
    </row>
    <row r="567" spans="1:9" ht="18" outlineLevel="1" x14ac:dyDescent="0.25">
      <c r="B567" s="326" t="s">
        <v>2828</v>
      </c>
      <c r="C567" s="1553" t="s">
        <v>2812</v>
      </c>
      <c r="D567" s="1980" t="s">
        <v>3454</v>
      </c>
      <c r="E567" s="451">
        <f>K_NO2_param*EXP(d_Hdiss_NO2/R__*(1/T_st_K-1/T_K))</f>
        <v>4.0484694649180739E-4</v>
      </c>
      <c r="F567" s="552" t="s">
        <v>1976</v>
      </c>
      <c r="G567" s="452">
        <v>3</v>
      </c>
      <c r="H567" s="323" t="s">
        <v>11</v>
      </c>
      <c r="I567" s="453"/>
    </row>
    <row r="568" spans="1:9" ht="18.75" outlineLevel="1" thickBot="1" x14ac:dyDescent="0.3">
      <c r="B568" s="327" t="s">
        <v>2818</v>
      </c>
      <c r="C568" s="491" t="s">
        <v>2803</v>
      </c>
      <c r="D568" s="491" t="s">
        <v>1057</v>
      </c>
      <c r="E568" s="458">
        <f>10^(-(2835.8/T_K-0.6322+0.00123*T_K))</f>
        <v>3.9635061259550542E-10</v>
      </c>
      <c r="F568" s="458" t="s">
        <v>1976</v>
      </c>
      <c r="G568" s="454">
        <v>3</v>
      </c>
      <c r="H568" s="325" t="s">
        <v>11</v>
      </c>
      <c r="I568" s="455"/>
    </row>
    <row r="569" spans="1:9" s="2310" customFormat="1" ht="18" customHeight="1" thickBot="1" x14ac:dyDescent="0.3">
      <c r="A569" s="4"/>
      <c r="B569" s="4"/>
      <c r="C569" s="4"/>
      <c r="D569" s="4"/>
      <c r="E569" s="1798"/>
      <c r="F569" s="4"/>
      <c r="G569" s="4"/>
      <c r="H569" s="4"/>
      <c r="I569" s="4"/>
    </row>
    <row r="570" spans="1:9" s="2310" customFormat="1" ht="18" customHeight="1" thickBot="1" x14ac:dyDescent="0.3">
      <c r="A570" s="4"/>
      <c r="B570" s="131"/>
      <c r="C570" s="1258" t="s">
        <v>983</v>
      </c>
      <c r="D570" s="14" t="s">
        <v>321</v>
      </c>
      <c r="E570" s="14"/>
      <c r="F570" s="131"/>
      <c r="G570" s="131"/>
      <c r="H570" s="131"/>
      <c r="I570" s="131"/>
    </row>
    <row r="571" spans="1:9" s="2310" customFormat="1" ht="18" customHeight="1" thickBot="1" x14ac:dyDescent="0.3">
      <c r="A571" s="4"/>
      <c r="B571" s="1259" t="s">
        <v>0</v>
      </c>
      <c r="C571" s="1868" t="s">
        <v>1</v>
      </c>
      <c r="D571" s="1260" t="s">
        <v>5</v>
      </c>
      <c r="E571" s="1260" t="s">
        <v>152</v>
      </c>
      <c r="F571" s="1260" t="s">
        <v>2</v>
      </c>
      <c r="G571" s="1260" t="s">
        <v>302</v>
      </c>
      <c r="H571" s="1260" t="s">
        <v>116</v>
      </c>
      <c r="I571" s="1261" t="s">
        <v>117</v>
      </c>
    </row>
    <row r="572" spans="1:9" ht="18" outlineLevel="1" x14ac:dyDescent="0.25">
      <c r="B572" s="380" t="s">
        <v>347</v>
      </c>
      <c r="C572" s="1978" t="s">
        <v>2804</v>
      </c>
      <c r="D572" s="1981" t="s">
        <v>952</v>
      </c>
      <c r="E572" s="490">
        <f>K_W_T/f_mono^2</f>
        <v>8.7379753867564399E-15</v>
      </c>
      <c r="F572" s="366" t="s">
        <v>1976</v>
      </c>
      <c r="G572" s="459">
        <v>3</v>
      </c>
      <c r="H572" s="366" t="s">
        <v>11</v>
      </c>
      <c r="I572" s="460"/>
    </row>
    <row r="573" spans="1:9" ht="18" outlineLevel="1" x14ac:dyDescent="0.25">
      <c r="B573" s="326" t="s">
        <v>348</v>
      </c>
      <c r="C573" s="1553" t="s">
        <v>2805</v>
      </c>
      <c r="D573" s="1980" t="s">
        <v>953</v>
      </c>
      <c r="E573" s="451">
        <f>K_C1_T/f_mono^2</f>
        <v>5.3547283589610541E-7</v>
      </c>
      <c r="F573" s="323" t="s">
        <v>1976</v>
      </c>
      <c r="G573" s="452">
        <v>3</v>
      </c>
      <c r="H573" s="323" t="s">
        <v>11</v>
      </c>
      <c r="I573" s="453"/>
    </row>
    <row r="574" spans="1:9" ht="18" outlineLevel="1" x14ac:dyDescent="0.25">
      <c r="B574" s="326" t="s">
        <v>349</v>
      </c>
      <c r="C574" s="1553" t="s">
        <v>2806</v>
      </c>
      <c r="D574" s="1980" t="s">
        <v>954</v>
      </c>
      <c r="E574" s="451">
        <f>K_C2_T/f_di</f>
        <v>7.0284789816384129E-11</v>
      </c>
      <c r="F574" s="323" t="s">
        <v>1976</v>
      </c>
      <c r="G574" s="452">
        <v>3</v>
      </c>
      <c r="H574" s="323" t="s">
        <v>11</v>
      </c>
      <c r="I574" s="453"/>
    </row>
    <row r="575" spans="1:9" ht="18" outlineLevel="1" x14ac:dyDescent="0.25">
      <c r="B575" s="326" t="s">
        <v>359</v>
      </c>
      <c r="C575" s="1553" t="s">
        <v>2807</v>
      </c>
      <c r="D575" s="1980" t="s">
        <v>955</v>
      </c>
      <c r="E575" s="451">
        <f>K_P1_T/f_mono^2</f>
        <v>9.6412345627529591E-3</v>
      </c>
      <c r="F575" s="323" t="s">
        <v>1976</v>
      </c>
      <c r="G575" s="452">
        <v>3</v>
      </c>
      <c r="H575" s="323" t="s">
        <v>11</v>
      </c>
      <c r="I575" s="453"/>
    </row>
    <row r="576" spans="1:9" ht="18" outlineLevel="1" x14ac:dyDescent="0.25">
      <c r="B576" s="326" t="s">
        <v>360</v>
      </c>
      <c r="C576" s="1553" t="s">
        <v>2808</v>
      </c>
      <c r="D576" s="1980" t="s">
        <v>956</v>
      </c>
      <c r="E576" s="451">
        <f>K_P2_T/f_di</f>
        <v>1.0212251140175602E-7</v>
      </c>
      <c r="F576" s="323" t="s">
        <v>1976</v>
      </c>
      <c r="G576" s="452">
        <v>3</v>
      </c>
      <c r="H576" s="323" t="s">
        <v>11</v>
      </c>
      <c r="I576" s="453"/>
    </row>
    <row r="577" spans="1:9" ht="18" outlineLevel="1" x14ac:dyDescent="0.25">
      <c r="B577" s="326" t="s">
        <v>361</v>
      </c>
      <c r="C577" s="1553" t="s">
        <v>2809</v>
      </c>
      <c r="D577" s="1980" t="s">
        <v>957</v>
      </c>
      <c r="E577" s="451">
        <f>K_P3_T/(f_mono*f_tri)*f_di</f>
        <v>8.1951597738298681E-13</v>
      </c>
      <c r="F577" s="451" t="s">
        <v>1976</v>
      </c>
      <c r="G577" s="452">
        <v>3</v>
      </c>
      <c r="H577" s="323" t="s">
        <v>11</v>
      </c>
      <c r="I577" s="453"/>
    </row>
    <row r="578" spans="1:9" ht="18" outlineLevel="1" x14ac:dyDescent="0.25">
      <c r="B578" s="617" t="s">
        <v>2813</v>
      </c>
      <c r="C578" s="1553" t="s">
        <v>2810</v>
      </c>
      <c r="D578" s="1553" t="s">
        <v>2814</v>
      </c>
      <c r="E578" s="451">
        <f>K_Ac_T/f_mono^2</f>
        <v>2.268664105854261E-5</v>
      </c>
      <c r="F578" s="451" t="s">
        <v>1976</v>
      </c>
      <c r="G578" s="452">
        <v>3</v>
      </c>
      <c r="H578" s="323" t="s">
        <v>11</v>
      </c>
      <c r="I578" s="453"/>
    </row>
    <row r="579" spans="1:9" s="103" customFormat="1" ht="18" outlineLevel="1" x14ac:dyDescent="0.25">
      <c r="A579" s="131"/>
      <c r="B579" s="617" t="s">
        <v>2815</v>
      </c>
      <c r="C579" s="1553" t="s">
        <v>2884</v>
      </c>
      <c r="D579" s="1553" t="s">
        <v>2816</v>
      </c>
      <c r="E579" s="451">
        <f>K_NO2_T/f_mono^2</f>
        <v>5.2373005797162243E-4</v>
      </c>
      <c r="F579" s="552" t="s">
        <v>1976</v>
      </c>
      <c r="G579" s="452">
        <v>3</v>
      </c>
      <c r="H579" s="323" t="s">
        <v>11</v>
      </c>
      <c r="I579" s="453"/>
    </row>
    <row r="580" spans="1:9" ht="18.75" outlineLevel="1" thickBot="1" x14ac:dyDescent="0.3">
      <c r="B580" s="621" t="s">
        <v>2817</v>
      </c>
      <c r="C580" s="491" t="s">
        <v>2811</v>
      </c>
      <c r="D580" s="1982" t="s">
        <v>2818</v>
      </c>
      <c r="E580" s="458">
        <f>K_NH3_T</f>
        <v>3.9635061259550542E-10</v>
      </c>
      <c r="F580" s="458" t="s">
        <v>1976</v>
      </c>
      <c r="G580" s="454">
        <v>3</v>
      </c>
      <c r="H580" s="325" t="s">
        <v>11</v>
      </c>
      <c r="I580" s="455"/>
    </row>
    <row r="581" spans="1:9" s="2310" customFormat="1" ht="18" customHeight="1" thickBot="1" x14ac:dyDescent="0.3">
      <c r="A581" s="4"/>
      <c r="B581" s="4"/>
      <c r="C581" s="4"/>
      <c r="D581" s="4"/>
      <c r="E581" s="1798"/>
      <c r="F581" s="4"/>
      <c r="G581" s="4"/>
      <c r="H581" s="4"/>
      <c r="I581" s="4"/>
    </row>
    <row r="582" spans="1:9" s="2310" customFormat="1" ht="18" customHeight="1" thickBot="1" x14ac:dyDescent="0.3">
      <c r="A582" s="4"/>
      <c r="B582" s="131"/>
      <c r="C582" s="1258" t="s">
        <v>1317</v>
      </c>
      <c r="D582" s="14" t="s">
        <v>321</v>
      </c>
      <c r="E582" s="14"/>
      <c r="F582" s="131"/>
      <c r="G582" s="131"/>
      <c r="H582" s="131"/>
      <c r="I582" s="131"/>
    </row>
    <row r="583" spans="1:9" s="2310" customFormat="1" ht="18" customHeight="1" thickBot="1" x14ac:dyDescent="0.3">
      <c r="A583" s="4"/>
      <c r="B583" s="1259" t="s">
        <v>0</v>
      </c>
      <c r="C583" s="1868" t="s">
        <v>1</v>
      </c>
      <c r="D583" s="1260" t="s">
        <v>5</v>
      </c>
      <c r="E583" s="1260" t="s">
        <v>152</v>
      </c>
      <c r="F583" s="1260" t="s">
        <v>2</v>
      </c>
      <c r="G583" s="1260" t="s">
        <v>302</v>
      </c>
      <c r="H583" s="1260" t="s">
        <v>116</v>
      </c>
      <c r="I583" s="1261" t="s">
        <v>117</v>
      </c>
    </row>
    <row r="584" spans="1:9" ht="18" outlineLevel="1" x14ac:dyDescent="0.25">
      <c r="B584" s="330" t="s">
        <v>1327</v>
      </c>
      <c r="C584" s="1983" t="s">
        <v>2885</v>
      </c>
      <c r="D584" s="1983" t="s">
        <v>4393</v>
      </c>
      <c r="E584" s="461">
        <f>K_sp_CaCO3_param/f_di</f>
        <v>7.4753798120141423E-7</v>
      </c>
      <c r="F584" s="461" t="s">
        <v>1976</v>
      </c>
      <c r="G584" s="462">
        <v>3</v>
      </c>
      <c r="H584" s="463" t="s">
        <v>11</v>
      </c>
      <c r="I584" s="464"/>
    </row>
    <row r="585" spans="1:9" ht="18.75" outlineLevel="1" x14ac:dyDescent="0.25">
      <c r="B585" s="331" t="s">
        <v>1324</v>
      </c>
      <c r="C585" s="1984" t="s">
        <v>2886</v>
      </c>
      <c r="D585" s="1984" t="s">
        <v>4392</v>
      </c>
      <c r="E585" s="451">
        <f>K_sp_STR_param/(f_di^(1/3)*f_mono^(1/3)*f_tri^(1/3))</f>
        <v>1.2614964468037164E-13</v>
      </c>
      <c r="F585" s="451" t="s">
        <v>1976</v>
      </c>
      <c r="G585" s="452">
        <v>3</v>
      </c>
      <c r="H585" s="323" t="s">
        <v>11</v>
      </c>
      <c r="I585" s="453"/>
    </row>
    <row r="586" spans="1:9" ht="18.75" outlineLevel="1" x14ac:dyDescent="0.25">
      <c r="B586" s="331" t="s">
        <v>1325</v>
      </c>
      <c r="C586" s="1984" t="s">
        <v>2887</v>
      </c>
      <c r="D586" s="1984" t="s">
        <v>4391</v>
      </c>
      <c r="E586" s="451">
        <f>K_sp_Vivi_param/(f_di^(3/5)*f_tri^(2/5))</f>
        <v>2.1649600914352904E-36</v>
      </c>
      <c r="F586" s="451" t="s">
        <v>1976</v>
      </c>
      <c r="G586" s="452">
        <v>3</v>
      </c>
      <c r="H586" s="323" t="s">
        <v>11</v>
      </c>
      <c r="I586" s="453"/>
    </row>
    <row r="587" spans="1:9" ht="18.75" outlineLevel="1" x14ac:dyDescent="0.25">
      <c r="B587" s="326" t="s">
        <v>1326</v>
      </c>
      <c r="C587" s="1980" t="s">
        <v>2888</v>
      </c>
      <c r="D587" s="1980" t="s">
        <v>4390</v>
      </c>
      <c r="E587" s="451">
        <f>K_sp_ACP_param/(f_di^(3/5)*f_tri^(2/5))</f>
        <v>7.5067144345969344E-26</v>
      </c>
      <c r="F587" s="552" t="s">
        <v>1976</v>
      </c>
      <c r="G587" s="323">
        <v>3</v>
      </c>
      <c r="H587" s="323" t="s">
        <v>11</v>
      </c>
      <c r="I587" s="453"/>
    </row>
    <row r="588" spans="1:9" ht="18" customHeight="1" outlineLevel="1" thickBot="1" x14ac:dyDescent="0.3">
      <c r="B588" s="324" t="s">
        <v>4241</v>
      </c>
      <c r="C588" s="491" t="s">
        <v>4242</v>
      </c>
      <c r="D588" s="491" t="s">
        <v>4243</v>
      </c>
      <c r="E588" s="465">
        <f>K_sp_BSH_param/(f_di^(1/2)*f_di^(1/2))</f>
        <v>4.2037149897892104E-7</v>
      </c>
      <c r="F588" s="465" t="s">
        <v>1976</v>
      </c>
      <c r="G588" s="325">
        <v>3</v>
      </c>
      <c r="H588" s="325" t="s">
        <v>11</v>
      </c>
      <c r="I588" s="455"/>
    </row>
    <row r="589" spans="1:9" s="2310" customFormat="1" ht="18" customHeight="1" thickBot="1" x14ac:dyDescent="0.3">
      <c r="A589" s="4"/>
      <c r="B589" s="4"/>
      <c r="C589" s="4"/>
      <c r="D589" s="4"/>
      <c r="E589" s="1798"/>
      <c r="F589" s="4"/>
      <c r="G589" s="4"/>
      <c r="H589" s="4"/>
      <c r="I589" s="4"/>
    </row>
    <row r="590" spans="1:9" s="2310" customFormat="1" ht="18" customHeight="1" thickBot="1" x14ac:dyDescent="0.3">
      <c r="A590" s="4"/>
      <c r="B590" s="131"/>
      <c r="C590" s="1258" t="s">
        <v>397</v>
      </c>
      <c r="D590" s="14" t="s">
        <v>321</v>
      </c>
      <c r="E590" s="14"/>
      <c r="F590" s="131"/>
      <c r="G590" s="131"/>
      <c r="H590" s="131"/>
      <c r="I590" s="131"/>
    </row>
    <row r="591" spans="1:9" s="2310" customFormat="1" ht="18" customHeight="1" thickBot="1" x14ac:dyDescent="0.3">
      <c r="A591" s="4"/>
      <c r="B591" s="1259" t="s">
        <v>0</v>
      </c>
      <c r="C591" s="1868" t="s">
        <v>1</v>
      </c>
      <c r="D591" s="1260" t="s">
        <v>5</v>
      </c>
      <c r="E591" s="1260" t="s">
        <v>152</v>
      </c>
      <c r="F591" s="1260" t="s">
        <v>2</v>
      </c>
      <c r="G591" s="1260" t="s">
        <v>302</v>
      </c>
      <c r="H591" s="1260" t="s">
        <v>116</v>
      </c>
      <c r="I591" s="1261" t="s">
        <v>117</v>
      </c>
    </row>
    <row r="592" spans="1:9" ht="18.75" outlineLevel="1" x14ac:dyDescent="0.25">
      <c r="B592" s="321" t="s">
        <v>896</v>
      </c>
      <c r="C592" s="1985" t="s">
        <v>897</v>
      </c>
      <c r="D592" s="1985" t="s">
        <v>1871</v>
      </c>
      <c r="E592" s="492">
        <f>conc_Hp_Ieq*K_P2/(conc_Hp_Ieq^3+conc_Hp_Ieq^2*K_P1+K_P2*conc_Hp_Ieq*K_P1+K_P2*K_P1*K_P3)*K_P1*S_PO4/(A_MP*1000)</f>
        <v>2.5493518636920041E-8</v>
      </c>
      <c r="F592" s="322" t="s">
        <v>387</v>
      </c>
      <c r="G592" s="322">
        <v>3</v>
      </c>
      <c r="H592" s="322" t="s">
        <v>11</v>
      </c>
      <c r="I592" s="450"/>
    </row>
    <row r="593" spans="1:10" ht="18.75" outlineLevel="1" x14ac:dyDescent="0.25">
      <c r="B593" s="326" t="s">
        <v>898</v>
      </c>
      <c r="C593" s="1980" t="s">
        <v>899</v>
      </c>
      <c r="D593" s="1980" t="s">
        <v>1872</v>
      </c>
      <c r="E593" s="451">
        <f>conc_Hp_Ieq^2*K_P1*S_PO4/(A_MP*1000)/(conc_Hp_Ieq^3+conc_Hp_Ieq^2*K_P1+K_P2*conc_Hp_Ieq*K_P1+K_P2*K_P1*K_P3)</f>
        <v>1.6010694300937341E-5</v>
      </c>
      <c r="F593" s="322" t="s">
        <v>387</v>
      </c>
      <c r="G593" s="323">
        <v>3</v>
      </c>
      <c r="H593" s="323" t="s">
        <v>11</v>
      </c>
      <c r="I593" s="453"/>
    </row>
    <row r="594" spans="1:10" ht="18.75" outlineLevel="1" x14ac:dyDescent="0.25">
      <c r="B594" s="326" t="s">
        <v>900</v>
      </c>
      <c r="C594" s="1980" t="s">
        <v>901</v>
      </c>
      <c r="D594" s="1980" t="s">
        <v>2829</v>
      </c>
      <c r="E594" s="451">
        <f>S_VFA/(4*A_MO*1000)*K_Ac/(conc_Hp_Ieq+K_Ac)</f>
        <v>4.0829449054993815E-8</v>
      </c>
      <c r="F594" s="322" t="s">
        <v>387</v>
      </c>
      <c r="G594" s="323">
        <v>3</v>
      </c>
      <c r="H594" s="323" t="s">
        <v>11</v>
      </c>
      <c r="I594" s="453"/>
    </row>
    <row r="595" spans="1:10" ht="18.75" outlineLevel="1" x14ac:dyDescent="0.25">
      <c r="B595" s="326" t="s">
        <v>2351</v>
      </c>
      <c r="C595" s="1980" t="s">
        <v>2352</v>
      </c>
      <c r="D595" s="1980" t="s">
        <v>2830</v>
      </c>
      <c r="E595" s="451">
        <f>K_NO2*S_NO2/(A_MN*1000)/(conc_Hp_Ieq+K_NO2)</f>
        <v>6.3605297319967442E-6</v>
      </c>
      <c r="F595" s="552" t="s">
        <v>387</v>
      </c>
      <c r="G595" s="323">
        <v>3</v>
      </c>
      <c r="H595" s="323" t="s">
        <v>11</v>
      </c>
      <c r="I595" s="453"/>
    </row>
    <row r="596" spans="1:10" ht="38.25" outlineLevel="1" thickBot="1" x14ac:dyDescent="0.3">
      <c r="B596" s="324" t="s">
        <v>1281</v>
      </c>
      <c r="C596" s="491" t="s">
        <v>397</v>
      </c>
      <c r="D596" s="491" t="s">
        <v>2353</v>
      </c>
      <c r="E596" s="465">
        <f>(3*conc_PO43m_I+2*conc_HPO42m_I)-2*conc_HPO42m_Ieq+conc_H2PO4m_I-conc_H2PO4m_Ieq+conc_OHm_I+conc_NO2m_I-conc_NO2m_Ieq+conc_NH3_I+2*conc_CO32m_I+conc_HCO3m_I+conc_Acm_I-conc_Acm_Ieq-conc_Hp_I</f>
        <v>5.5299706224952441E-3</v>
      </c>
      <c r="F596" s="465" t="s">
        <v>1873</v>
      </c>
      <c r="G596" s="325">
        <v>4</v>
      </c>
      <c r="H596" s="325" t="s">
        <v>11</v>
      </c>
      <c r="I596" s="455"/>
    </row>
    <row r="597" spans="1:10" ht="15.75" thickBot="1" x14ac:dyDescent="0.3">
      <c r="E597" s="131"/>
    </row>
    <row r="598" spans="1:10" ht="15.75" thickBot="1" x14ac:dyDescent="0.3">
      <c r="C598" s="1100" t="s">
        <v>4414</v>
      </c>
      <c r="D598" s="142" t="s">
        <v>321</v>
      </c>
      <c r="E598" s="131"/>
    </row>
    <row r="599" spans="1:10" ht="15.75" thickBot="1" x14ac:dyDescent="0.3">
      <c r="B599" s="1709" t="s">
        <v>0</v>
      </c>
      <c r="C599" s="1870" t="s">
        <v>1</v>
      </c>
      <c r="D599" s="1291" t="s">
        <v>5</v>
      </c>
      <c r="E599" s="1291" t="s">
        <v>152</v>
      </c>
      <c r="F599" s="1291" t="s">
        <v>2</v>
      </c>
      <c r="G599" s="1291" t="s">
        <v>302</v>
      </c>
      <c r="H599" s="1291" t="s">
        <v>116</v>
      </c>
      <c r="I599" s="1292" t="s">
        <v>117</v>
      </c>
    </row>
    <row r="600" spans="1:10" ht="18" outlineLevel="1" x14ac:dyDescent="0.25">
      <c r="B600" s="1004" t="s">
        <v>15</v>
      </c>
      <c r="C600" s="1976" t="s">
        <v>382</v>
      </c>
      <c r="D600" s="1976" t="s">
        <v>4416</v>
      </c>
      <c r="E600" s="1866">
        <f>I_Sinput_AS</f>
        <v>0.02</v>
      </c>
      <c r="F600" s="1711" t="s">
        <v>384</v>
      </c>
      <c r="G600" s="1711">
        <v>3</v>
      </c>
      <c r="H600" s="552" t="s">
        <v>4427</v>
      </c>
      <c r="I600" s="1006"/>
    </row>
    <row r="601" spans="1:10" ht="18" outlineLevel="1" x14ac:dyDescent="0.25">
      <c r="B601" s="617" t="s">
        <v>15</v>
      </c>
      <c r="C601" s="1931" t="s">
        <v>382</v>
      </c>
      <c r="D601" s="1931" t="s">
        <v>4417</v>
      </c>
      <c r="E601" s="1731">
        <f>I_Sinput_DIG</f>
        <v>0.1</v>
      </c>
      <c r="F601" s="1008" t="s">
        <v>384</v>
      </c>
      <c r="G601" s="1008">
        <v>3</v>
      </c>
      <c r="H601" s="1008" t="s">
        <v>4420</v>
      </c>
      <c r="I601" s="1013"/>
    </row>
    <row r="602" spans="1:10" ht="18.75" outlineLevel="1" thickBot="1" x14ac:dyDescent="0.3">
      <c r="B602" s="1712" t="s">
        <v>15</v>
      </c>
      <c r="C602" s="1934" t="s">
        <v>382</v>
      </c>
      <c r="D602" s="1934" t="s">
        <v>4425</v>
      </c>
      <c r="E602" s="1171">
        <f>I_Sinput_sidestream</f>
        <v>0.1</v>
      </c>
      <c r="F602" s="1170" t="s">
        <v>384</v>
      </c>
      <c r="G602" s="1170">
        <v>3</v>
      </c>
      <c r="H602" s="1170" t="s">
        <v>4426</v>
      </c>
      <c r="I602" s="1172"/>
      <c r="J602" s="2310"/>
    </row>
    <row r="603" spans="1:10" s="2310" customFormat="1" ht="18" customHeight="1" thickBot="1" x14ac:dyDescent="0.3">
      <c r="A603" s="4"/>
      <c r="B603" s="4"/>
      <c r="C603" s="4"/>
      <c r="D603" s="4"/>
      <c r="E603" s="1798"/>
      <c r="F603" s="4"/>
      <c r="G603" s="4"/>
      <c r="H603" s="4"/>
      <c r="I603" s="4"/>
    </row>
    <row r="604" spans="1:10" s="2310" customFormat="1" ht="18" customHeight="1" thickBot="1" x14ac:dyDescent="0.3">
      <c r="A604" s="4"/>
      <c r="B604" s="131"/>
      <c r="C604" s="1732" t="s">
        <v>4414</v>
      </c>
      <c r="D604" s="14" t="s">
        <v>321</v>
      </c>
      <c r="E604" s="14"/>
      <c r="F604" s="131"/>
      <c r="G604" s="131"/>
      <c r="H604" s="131"/>
      <c r="I604" s="131"/>
    </row>
    <row r="605" spans="1:10" s="2310" customFormat="1" ht="18" customHeight="1" thickBot="1" x14ac:dyDescent="0.3">
      <c r="A605" s="4"/>
      <c r="B605" s="1733" t="s">
        <v>0</v>
      </c>
      <c r="C605" s="1869" t="s">
        <v>1</v>
      </c>
      <c r="D605" s="1734" t="s">
        <v>5</v>
      </c>
      <c r="E605" s="1734" t="s">
        <v>152</v>
      </c>
      <c r="F605" s="1734" t="s">
        <v>2</v>
      </c>
      <c r="G605" s="1734" t="s">
        <v>302</v>
      </c>
      <c r="H605" s="1734" t="s">
        <v>116</v>
      </c>
      <c r="I605" s="1735" t="s">
        <v>117</v>
      </c>
    </row>
    <row r="606" spans="1:10" ht="18" outlineLevel="1" x14ac:dyDescent="0.25">
      <c r="B606" s="1004" t="s">
        <v>15</v>
      </c>
      <c r="C606" s="1976" t="s">
        <v>382</v>
      </c>
      <c r="D606" s="1976" t="s">
        <v>4416</v>
      </c>
      <c r="E606" s="1866">
        <f>I_Sinput_AS</f>
        <v>0.02</v>
      </c>
      <c r="F606" s="1711" t="s">
        <v>384</v>
      </c>
      <c r="G606" s="1711">
        <v>3</v>
      </c>
      <c r="H606" s="552" t="s">
        <v>4428</v>
      </c>
      <c r="I606" s="1006"/>
      <c r="J606" s="2310"/>
    </row>
    <row r="607" spans="1:10" ht="18" outlineLevel="1" x14ac:dyDescent="0.25">
      <c r="B607" s="617" t="s">
        <v>15</v>
      </c>
      <c r="C607" s="1931" t="s">
        <v>382</v>
      </c>
      <c r="D607" s="1931" t="s">
        <v>4417</v>
      </c>
      <c r="E607" s="1731">
        <f>I_Sinput_DIG</f>
        <v>0.1</v>
      </c>
      <c r="F607" s="1008" t="s">
        <v>384</v>
      </c>
      <c r="G607" s="1008">
        <v>3</v>
      </c>
      <c r="H607" s="1008" t="s">
        <v>4429</v>
      </c>
      <c r="I607" s="1013"/>
      <c r="J607" s="2310"/>
    </row>
    <row r="608" spans="1:10" ht="18.75" outlineLevel="1" thickBot="1" x14ac:dyDescent="0.3">
      <c r="B608" s="1712" t="s">
        <v>15</v>
      </c>
      <c r="C608" s="1934" t="s">
        <v>382</v>
      </c>
      <c r="D608" s="1934" t="s">
        <v>4425</v>
      </c>
      <c r="E608" s="1171">
        <f>I_Sinput_sidestream</f>
        <v>0.1</v>
      </c>
      <c r="F608" s="1170" t="s">
        <v>384</v>
      </c>
      <c r="G608" s="1170">
        <v>3</v>
      </c>
      <c r="H608" s="1170" t="s">
        <v>4430</v>
      </c>
      <c r="I608" s="1172"/>
      <c r="J608" s="2310"/>
    </row>
    <row r="609" spans="1:11" ht="15.75" thickBot="1" x14ac:dyDescent="0.3"/>
    <row r="610" spans="1:11" ht="15.75" thickBot="1" x14ac:dyDescent="0.3">
      <c r="B610" s="131" t="s">
        <v>376</v>
      </c>
      <c r="C610" s="1110" t="s">
        <v>2118</v>
      </c>
      <c r="D610" s="14" t="s">
        <v>321</v>
      </c>
      <c r="E610" s="131"/>
    </row>
    <row r="611" spans="1:11" ht="15.75" thickBot="1" x14ac:dyDescent="0.3">
      <c r="B611" s="1710" t="s">
        <v>0</v>
      </c>
      <c r="C611" s="1870" t="s">
        <v>1</v>
      </c>
      <c r="D611" s="1291" t="s">
        <v>377</v>
      </c>
      <c r="E611" s="1291" t="s">
        <v>152</v>
      </c>
      <c r="F611" s="1248" t="s">
        <v>378</v>
      </c>
      <c r="G611" s="1291" t="s">
        <v>379</v>
      </c>
      <c r="H611" s="1248" t="s">
        <v>2</v>
      </c>
      <c r="I611" s="1248" t="s">
        <v>302</v>
      </c>
      <c r="J611" s="1248" t="s">
        <v>116</v>
      </c>
      <c r="K611" s="1292" t="s">
        <v>117</v>
      </c>
    </row>
    <row r="612" spans="1:11" outlineLevel="1" x14ac:dyDescent="0.25">
      <c r="B612" s="1004" t="s">
        <v>11</v>
      </c>
      <c r="C612" s="1976" t="s">
        <v>11</v>
      </c>
      <c r="D612" s="1976" t="s">
        <v>380</v>
      </c>
      <c r="E612" s="1866">
        <v>7.2</v>
      </c>
      <c r="F612" s="1711">
        <v>2</v>
      </c>
      <c r="G612" s="1711">
        <v>12</v>
      </c>
      <c r="H612" s="552" t="s">
        <v>381</v>
      </c>
      <c r="I612" s="552">
        <v>2</v>
      </c>
      <c r="J612" s="552" t="s">
        <v>1250</v>
      </c>
      <c r="K612" s="1006"/>
    </row>
    <row r="613" spans="1:11" ht="15.75" outlineLevel="1" thickBot="1" x14ac:dyDescent="0.3">
      <c r="B613" s="1712" t="s">
        <v>15</v>
      </c>
      <c r="C613" s="1934" t="s">
        <v>382</v>
      </c>
      <c r="D613" s="1934" t="s">
        <v>383</v>
      </c>
      <c r="E613" s="1171">
        <v>0.01</v>
      </c>
      <c r="F613" s="1170">
        <v>0</v>
      </c>
      <c r="G613" s="1170">
        <v>0.5</v>
      </c>
      <c r="H613" s="1170" t="s">
        <v>384</v>
      </c>
      <c r="I613" s="1170">
        <v>2</v>
      </c>
      <c r="J613" s="1170" t="s">
        <v>4415</v>
      </c>
      <c r="K613" s="1172"/>
    </row>
    <row r="614" spans="1:11" ht="15.75" thickBot="1" x14ac:dyDescent="0.3">
      <c r="E614" s="131"/>
    </row>
    <row r="615" spans="1:11" ht="15.75" thickBot="1" x14ac:dyDescent="0.3">
      <c r="B615" s="131" t="s">
        <v>376</v>
      </c>
      <c r="C615" s="1110" t="s">
        <v>3613</v>
      </c>
      <c r="D615" s="14" t="s">
        <v>321</v>
      </c>
      <c r="E615" s="131"/>
    </row>
    <row r="616" spans="1:11" ht="15.75" thickBot="1" x14ac:dyDescent="0.3">
      <c r="B616" s="1710" t="s">
        <v>0</v>
      </c>
      <c r="C616" s="1871" t="s">
        <v>1</v>
      </c>
      <c r="D616" s="1291" t="s">
        <v>377</v>
      </c>
      <c r="E616" s="1248" t="s">
        <v>152</v>
      </c>
      <c r="F616" s="1248" t="s">
        <v>378</v>
      </c>
      <c r="G616" s="1291" t="s">
        <v>379</v>
      </c>
      <c r="H616" s="1248" t="s">
        <v>2</v>
      </c>
      <c r="I616" s="1248" t="s">
        <v>302</v>
      </c>
      <c r="J616" s="1291" t="s">
        <v>116</v>
      </c>
      <c r="K616" s="1292" t="s">
        <v>117</v>
      </c>
    </row>
    <row r="617" spans="1:11" s="103" customFormat="1" ht="18" outlineLevel="1" x14ac:dyDescent="0.25">
      <c r="A617" s="131"/>
      <c r="B617" s="1713" t="s">
        <v>2915</v>
      </c>
      <c r="C617" s="1986" t="s">
        <v>2916</v>
      </c>
      <c r="D617" s="1986" t="s">
        <v>380</v>
      </c>
      <c r="E617" s="1715">
        <v>8.6899999999999998E-3</v>
      </c>
      <c r="F617" s="1711">
        <v>-10000</v>
      </c>
      <c r="G617" s="1711">
        <v>10000</v>
      </c>
      <c r="H617" s="1714" t="s">
        <v>387</v>
      </c>
      <c r="I617" s="1714">
        <v>2</v>
      </c>
      <c r="J617" s="1714" t="s">
        <v>3612</v>
      </c>
      <c r="K617" s="1716" t="s">
        <v>385</v>
      </c>
    </row>
    <row r="618" spans="1:11" outlineLevel="1" x14ac:dyDescent="0.25">
      <c r="B618" s="617" t="s">
        <v>15</v>
      </c>
      <c r="C618" s="1931" t="s">
        <v>382</v>
      </c>
      <c r="D618" s="1931" t="s">
        <v>383</v>
      </c>
      <c r="E618" s="1717">
        <v>0.01</v>
      </c>
      <c r="F618" s="1012" t="s">
        <v>386</v>
      </c>
      <c r="G618" s="1008">
        <v>0.5</v>
      </c>
      <c r="H618" s="1008" t="s">
        <v>384</v>
      </c>
      <c r="I618" s="1008">
        <v>2</v>
      </c>
      <c r="J618" s="1008" t="s">
        <v>3612</v>
      </c>
      <c r="K618" s="1013" t="s">
        <v>388</v>
      </c>
    </row>
    <row r="619" spans="1:11" ht="18.75" outlineLevel="1" thickBot="1" x14ac:dyDescent="0.3">
      <c r="B619" s="1712" t="s">
        <v>389</v>
      </c>
      <c r="C619" s="1934" t="s">
        <v>301</v>
      </c>
      <c r="D619" s="1934" t="s">
        <v>391</v>
      </c>
      <c r="E619" s="1171">
        <v>100</v>
      </c>
      <c r="F619" s="1170">
        <v>0</v>
      </c>
      <c r="G619" s="1170">
        <v>10000</v>
      </c>
      <c r="H619" s="1170" t="s">
        <v>1212</v>
      </c>
      <c r="I619" s="1170">
        <v>2</v>
      </c>
      <c r="J619" s="1170" t="s">
        <v>3612</v>
      </c>
      <c r="K619" s="1172" t="s">
        <v>390</v>
      </c>
    </row>
    <row r="620" spans="1:11" ht="15.75" thickBot="1" x14ac:dyDescent="0.3">
      <c r="E620" s="131"/>
    </row>
    <row r="621" spans="1:11" ht="15.75" thickBot="1" x14ac:dyDescent="0.3">
      <c r="B621" s="131" t="s">
        <v>376</v>
      </c>
      <c r="C621" s="1110" t="s">
        <v>3614</v>
      </c>
      <c r="D621" s="14" t="s">
        <v>321</v>
      </c>
      <c r="E621" s="131"/>
    </row>
    <row r="622" spans="1:11" ht="15.75" thickBot="1" x14ac:dyDescent="0.3">
      <c r="B622" s="1710" t="s">
        <v>0</v>
      </c>
      <c r="C622" s="1871" t="s">
        <v>1</v>
      </c>
      <c r="D622" s="1291" t="s">
        <v>377</v>
      </c>
      <c r="E622" s="1248" t="s">
        <v>152</v>
      </c>
      <c r="F622" s="1248" t="s">
        <v>378</v>
      </c>
      <c r="G622" s="1291" t="s">
        <v>379</v>
      </c>
      <c r="H622" s="1248" t="s">
        <v>2</v>
      </c>
      <c r="I622" s="1248" t="s">
        <v>302</v>
      </c>
      <c r="J622" s="1291" t="s">
        <v>116</v>
      </c>
      <c r="K622" s="1292" t="s">
        <v>117</v>
      </c>
    </row>
    <row r="623" spans="1:11" s="103" customFormat="1" ht="18" outlineLevel="1" x14ac:dyDescent="0.25">
      <c r="A623" s="131"/>
      <c r="B623" s="1713" t="s">
        <v>2915</v>
      </c>
      <c r="C623" s="1986" t="s">
        <v>2916</v>
      </c>
      <c r="D623" s="1986" t="s">
        <v>380</v>
      </c>
      <c r="E623" s="1715">
        <v>8.6899999999999998E-3</v>
      </c>
      <c r="F623" s="1711">
        <v>-10000</v>
      </c>
      <c r="G623" s="1711">
        <v>10000</v>
      </c>
      <c r="H623" s="1714" t="s">
        <v>387</v>
      </c>
      <c r="I623" s="1714">
        <v>2</v>
      </c>
      <c r="J623" s="1714" t="s">
        <v>3615</v>
      </c>
      <c r="K623" s="1716" t="s">
        <v>385</v>
      </c>
    </row>
    <row r="624" spans="1:11" ht="15.75" outlineLevel="1" thickBot="1" x14ac:dyDescent="0.3">
      <c r="B624" s="1712" t="s">
        <v>15</v>
      </c>
      <c r="C624" s="1934" t="s">
        <v>382</v>
      </c>
      <c r="D624" s="1934" t="s">
        <v>383</v>
      </c>
      <c r="E624" s="1718">
        <v>0.01</v>
      </c>
      <c r="F624" s="1719">
        <v>0</v>
      </c>
      <c r="G624" s="1170">
        <v>0.5</v>
      </c>
      <c r="H624" s="1170" t="s">
        <v>384</v>
      </c>
      <c r="I624" s="1170">
        <v>2</v>
      </c>
      <c r="J624" s="1170" t="s">
        <v>4960</v>
      </c>
      <c r="K624" s="1172" t="s">
        <v>388</v>
      </c>
    </row>
    <row r="625" spans="2:11" ht="15.75" thickBot="1" x14ac:dyDescent="0.3">
      <c r="E625" s="131"/>
    </row>
    <row r="626" spans="2:11" ht="15.75" thickBot="1" x14ac:dyDescent="0.3">
      <c r="C626" s="1100" t="s">
        <v>3626</v>
      </c>
      <c r="D626" s="14" t="s">
        <v>321</v>
      </c>
      <c r="E626" s="142"/>
    </row>
    <row r="627" spans="2:11" ht="15.75" thickBot="1" x14ac:dyDescent="0.3">
      <c r="B627" s="713" t="s">
        <v>0</v>
      </c>
      <c r="C627" s="1872" t="s">
        <v>1</v>
      </c>
      <c r="D627" s="714" t="s">
        <v>5</v>
      </c>
      <c r="E627" s="714" t="s">
        <v>152</v>
      </c>
      <c r="F627" s="714" t="s">
        <v>2</v>
      </c>
      <c r="G627" s="714" t="s">
        <v>302</v>
      </c>
      <c r="H627" s="714" t="s">
        <v>116</v>
      </c>
      <c r="I627" s="715" t="s">
        <v>117</v>
      </c>
    </row>
    <row r="628" spans="2:11" ht="18" outlineLevel="1" x14ac:dyDescent="0.25">
      <c r="B628" s="1004" t="s">
        <v>2917</v>
      </c>
      <c r="C628" s="1976" t="s">
        <v>2918</v>
      </c>
      <c r="D628" s="1987" t="s">
        <v>2919</v>
      </c>
      <c r="E628" s="2033" t="e">
        <f>S_CAT_ini+S_IC*(A_MNa*1000)</f>
        <v>#NAME?</v>
      </c>
      <c r="F628" s="1016" t="s">
        <v>1047</v>
      </c>
      <c r="G628" s="1016">
        <v>2</v>
      </c>
      <c r="H628" s="552" t="s">
        <v>3627</v>
      </c>
      <c r="I628" s="1006" t="s">
        <v>2407</v>
      </c>
      <c r="J628" s="103"/>
      <c r="K628" s="103"/>
    </row>
    <row r="629" spans="2:11" ht="18" outlineLevel="1" x14ac:dyDescent="0.25">
      <c r="B629" s="617" t="s">
        <v>2920</v>
      </c>
      <c r="C629" s="1931" t="s">
        <v>2921</v>
      </c>
      <c r="D629" s="1988" t="s">
        <v>2922</v>
      </c>
      <c r="E629" s="2034" t="e">
        <f>S_AN_ini-S_IC*(A_MCl*1000)</f>
        <v>#NAME?</v>
      </c>
      <c r="F629" s="1008" t="s">
        <v>1049</v>
      </c>
      <c r="G629" s="1008">
        <v>2</v>
      </c>
      <c r="H629" s="1008" t="s">
        <v>3627</v>
      </c>
      <c r="I629" s="1013" t="s">
        <v>2407</v>
      </c>
      <c r="J629" s="103"/>
      <c r="K629" s="103"/>
    </row>
    <row r="630" spans="2:11" ht="18" outlineLevel="1" x14ac:dyDescent="0.25">
      <c r="B630" s="617" t="s">
        <v>1161</v>
      </c>
      <c r="C630" s="1976" t="s">
        <v>2923</v>
      </c>
      <c r="D630" s="1988" t="s">
        <v>2924</v>
      </c>
      <c r="E630" s="2034" t="e">
        <f>IF(S_CAT_ini_corr&gt;0,S_CAT_ini_corr,S_CAT_ini)</f>
        <v>#NAME?</v>
      </c>
      <c r="F630" s="1012" t="s">
        <v>1047</v>
      </c>
      <c r="G630" s="1012">
        <v>2</v>
      </c>
      <c r="H630" s="1008" t="s">
        <v>3627</v>
      </c>
      <c r="I630" s="1013" t="s">
        <v>2407</v>
      </c>
      <c r="J630" s="103"/>
      <c r="K630" s="103"/>
    </row>
    <row r="631" spans="2:11" ht="18.75" outlineLevel="1" thickBot="1" x14ac:dyDescent="0.3">
      <c r="B631" s="327" t="s">
        <v>2408</v>
      </c>
      <c r="C631" s="1977" t="s">
        <v>2925</v>
      </c>
      <c r="D631" s="1989" t="s">
        <v>2926</v>
      </c>
      <c r="E631" s="1867" t="e">
        <f>IF(S_CAT_ini_corr&gt;0,S_AN_ini,S_AN_ini_corr)</f>
        <v>#NAME?</v>
      </c>
      <c r="F631" s="954" t="s">
        <v>1049</v>
      </c>
      <c r="G631" s="954">
        <v>2</v>
      </c>
      <c r="H631" s="954" t="s">
        <v>3627</v>
      </c>
      <c r="I631" s="455" t="s">
        <v>2407</v>
      </c>
      <c r="J631" s="103"/>
      <c r="K631" s="103"/>
    </row>
    <row r="632" spans="2:11" ht="15.75" thickBot="1" x14ac:dyDescent="0.3">
      <c r="E632" s="131"/>
    </row>
    <row r="633" spans="2:11" ht="15.75" thickBot="1" x14ac:dyDescent="0.3">
      <c r="C633" s="1100" t="s">
        <v>3618</v>
      </c>
      <c r="D633" s="14" t="s">
        <v>321</v>
      </c>
      <c r="E633" s="142"/>
    </row>
    <row r="634" spans="2:11" ht="15.75" thickBot="1" x14ac:dyDescent="0.3">
      <c r="B634" s="713" t="s">
        <v>0</v>
      </c>
      <c r="C634" s="1872" t="s">
        <v>1</v>
      </c>
      <c r="D634" s="714" t="s">
        <v>5</v>
      </c>
      <c r="E634" s="714" t="s">
        <v>152</v>
      </c>
      <c r="F634" s="714" t="s">
        <v>2</v>
      </c>
      <c r="G634" s="714" t="s">
        <v>302</v>
      </c>
      <c r="H634" s="714" t="s">
        <v>116</v>
      </c>
      <c r="I634" s="715" t="s">
        <v>117</v>
      </c>
    </row>
    <row r="635" spans="2:11" ht="18" outlineLevel="1" x14ac:dyDescent="0.25">
      <c r="B635" s="1004" t="s">
        <v>3619</v>
      </c>
      <c r="C635" s="1976" t="s">
        <v>2918</v>
      </c>
      <c r="D635" s="1987" t="s">
        <v>3620</v>
      </c>
      <c r="E635" s="2033" t="e">
        <f>S_CAT_ini+S_IC*(A_MNa*1000)</f>
        <v>#NAME?</v>
      </c>
      <c r="F635" s="1016" t="s">
        <v>1047</v>
      </c>
      <c r="G635" s="1016">
        <v>2</v>
      </c>
      <c r="H635" s="552" t="s">
        <v>3621</v>
      </c>
      <c r="I635" s="1006" t="s">
        <v>2407</v>
      </c>
      <c r="J635" s="103"/>
      <c r="K635" s="103"/>
    </row>
    <row r="636" spans="2:11" ht="18" outlineLevel="1" x14ac:dyDescent="0.25">
      <c r="B636" s="617" t="s">
        <v>3622</v>
      </c>
      <c r="C636" s="1931" t="s">
        <v>2921</v>
      </c>
      <c r="D636" s="1988" t="s">
        <v>3623</v>
      </c>
      <c r="E636" s="2034" t="e">
        <f>S_AN_ini-S_IC*(A_MCl*1000)</f>
        <v>#NAME?</v>
      </c>
      <c r="F636" s="1008" t="s">
        <v>1049</v>
      </c>
      <c r="G636" s="1008">
        <v>2</v>
      </c>
      <c r="H636" s="1008" t="s">
        <v>3621</v>
      </c>
      <c r="I636" s="1013" t="s">
        <v>2407</v>
      </c>
      <c r="J636" s="103"/>
      <c r="K636" s="103"/>
    </row>
    <row r="637" spans="2:11" ht="18" outlineLevel="1" x14ac:dyDescent="0.25">
      <c r="B637" s="617" t="s">
        <v>1161</v>
      </c>
      <c r="C637" s="1976" t="s">
        <v>2923</v>
      </c>
      <c r="D637" s="1990" t="s">
        <v>3624</v>
      </c>
      <c r="E637" s="2034" t="e">
        <f>IF(S_CAT_ini_corr&gt;0,S_CAT_ini_corr,S_CAT_ini)</f>
        <v>#NAME?</v>
      </c>
      <c r="F637" s="1012" t="s">
        <v>1047</v>
      </c>
      <c r="G637" s="1012">
        <v>2</v>
      </c>
      <c r="H637" s="1008" t="s">
        <v>3621</v>
      </c>
      <c r="I637" s="1013" t="s">
        <v>2407</v>
      </c>
      <c r="J637" s="103"/>
      <c r="K637" s="103"/>
    </row>
    <row r="638" spans="2:11" ht="18.75" outlineLevel="1" thickBot="1" x14ac:dyDescent="0.3">
      <c r="B638" s="327" t="s">
        <v>2408</v>
      </c>
      <c r="C638" s="1977" t="s">
        <v>2925</v>
      </c>
      <c r="D638" s="1989" t="s">
        <v>3625</v>
      </c>
      <c r="E638" s="1867" t="e">
        <f>IF(S_CAT_ini_corr&gt;0,S_AN_ini,S_AN_ini_corr)</f>
        <v>#NAME?</v>
      </c>
      <c r="F638" s="954" t="s">
        <v>1049</v>
      </c>
      <c r="G638" s="954">
        <v>2</v>
      </c>
      <c r="H638" s="954" t="s">
        <v>3621</v>
      </c>
      <c r="I638" s="455" t="s">
        <v>2407</v>
      </c>
      <c r="J638" s="103"/>
      <c r="K638" s="103"/>
    </row>
    <row r="639" spans="2:11" ht="15.75" thickBot="1" x14ac:dyDescent="0.3">
      <c r="E639" s="131"/>
    </row>
    <row r="640" spans="2:11" ht="15.75" thickBot="1" x14ac:dyDescent="0.3">
      <c r="C640" s="1100" t="s">
        <v>3611</v>
      </c>
      <c r="D640" s="142" t="s">
        <v>321</v>
      </c>
      <c r="E640" s="142"/>
    </row>
    <row r="641" spans="1:9" ht="15.75" thickBot="1" x14ac:dyDescent="0.3">
      <c r="B641" s="713" t="s">
        <v>0</v>
      </c>
      <c r="C641" s="1872" t="s">
        <v>1</v>
      </c>
      <c r="D641" s="714" t="s">
        <v>5</v>
      </c>
      <c r="E641" s="714" t="s">
        <v>152</v>
      </c>
      <c r="F641" s="714" t="s">
        <v>2</v>
      </c>
      <c r="G641" s="714" t="s">
        <v>302</v>
      </c>
      <c r="H641" s="714" t="s">
        <v>116</v>
      </c>
      <c r="I641" s="715" t="s">
        <v>117</v>
      </c>
    </row>
    <row r="642" spans="1:9" ht="17.25" outlineLevel="1" x14ac:dyDescent="0.25">
      <c r="B642" s="1101" t="s">
        <v>380</v>
      </c>
      <c r="C642" s="1991" t="s">
        <v>1164</v>
      </c>
      <c r="D642" s="1992" t="s">
        <v>392</v>
      </c>
      <c r="E642" s="1103">
        <f>c_hargebalance</f>
        <v>5.5681718888531996E-4</v>
      </c>
      <c r="F642" s="1104" t="s">
        <v>1874</v>
      </c>
      <c r="G642" s="1104">
        <v>2</v>
      </c>
      <c r="H642" s="1102" t="s">
        <v>11</v>
      </c>
      <c r="I642" s="1105"/>
    </row>
    <row r="643" spans="1:9" ht="18" outlineLevel="1" x14ac:dyDescent="0.25">
      <c r="B643" s="641" t="s">
        <v>383</v>
      </c>
      <c r="C643" s="1553" t="s">
        <v>393</v>
      </c>
      <c r="D643" s="1993" t="s">
        <v>3919</v>
      </c>
      <c r="E643" s="1106">
        <f>I_S-I_Scalc</f>
        <v>5.2056441588948007E-3</v>
      </c>
      <c r="F643" s="1106" t="s">
        <v>384</v>
      </c>
      <c r="G643" s="642">
        <v>2</v>
      </c>
      <c r="H643" s="556" t="s">
        <v>11</v>
      </c>
      <c r="I643" s="640"/>
    </row>
    <row r="644" spans="1:9" ht="18.75" outlineLevel="1" thickBot="1" x14ac:dyDescent="0.3">
      <c r="B644" s="1107" t="s">
        <v>391</v>
      </c>
      <c r="C644" s="1994" t="s">
        <v>394</v>
      </c>
      <c r="D644" s="1994" t="s">
        <v>395</v>
      </c>
      <c r="E644" s="1108">
        <f>_xlfn.SINGLE(S_ALK)-S_ALK_input</f>
        <v>-1.4700293775047561E-3</v>
      </c>
      <c r="F644" s="1108" t="s">
        <v>1873</v>
      </c>
      <c r="G644" s="1109">
        <v>2</v>
      </c>
      <c r="H644" s="954" t="s">
        <v>3612</v>
      </c>
      <c r="I644" s="953"/>
    </row>
    <row r="645" spans="1:9" x14ac:dyDescent="0.25">
      <c r="B645" s="139"/>
      <c r="C645" s="139"/>
      <c r="D645" s="139"/>
      <c r="E645" s="139"/>
      <c r="F645" s="139"/>
      <c r="G645" s="139"/>
      <c r="H645" s="139"/>
      <c r="I645" s="139"/>
    </row>
    <row r="646" spans="1:9" ht="18" x14ac:dyDescent="0.25">
      <c r="B646" s="131" t="s">
        <v>3595</v>
      </c>
      <c r="E646" s="131"/>
    </row>
    <row r="647" spans="1:9" x14ac:dyDescent="0.25">
      <c r="B647" s="131" t="s">
        <v>3596</v>
      </c>
      <c r="E647" s="131"/>
    </row>
    <row r="648" spans="1:9" s="2310" customFormat="1" ht="18" customHeight="1" thickBot="1" x14ac:dyDescent="0.3">
      <c r="A648" s="4"/>
      <c r="B648" s="4"/>
      <c r="C648" s="4"/>
      <c r="D648" s="4"/>
      <c r="E648" s="1798"/>
      <c r="F648" s="4"/>
      <c r="G648" s="4"/>
      <c r="H648" s="4"/>
      <c r="I648" s="4"/>
    </row>
    <row r="649" spans="1:9" s="2310" customFormat="1" ht="18" customHeight="1" thickBot="1" x14ac:dyDescent="0.3">
      <c r="A649" s="4"/>
      <c r="B649" s="131"/>
      <c r="C649" s="2384" t="s">
        <v>3597</v>
      </c>
      <c r="D649" s="14" t="s">
        <v>303</v>
      </c>
      <c r="E649" s="14"/>
      <c r="F649" s="131"/>
      <c r="G649" s="131"/>
      <c r="H649" s="131"/>
      <c r="I649" s="131"/>
    </row>
    <row r="650" spans="1:9" s="2310" customFormat="1" ht="18" customHeight="1" thickBot="1" x14ac:dyDescent="0.3">
      <c r="A650" s="4"/>
      <c r="B650" s="2385" t="s">
        <v>0</v>
      </c>
      <c r="C650" s="2386" t="s">
        <v>1</v>
      </c>
      <c r="D650" s="2387" t="s">
        <v>5</v>
      </c>
      <c r="E650" s="2387" t="s">
        <v>152</v>
      </c>
      <c r="F650" s="2387" t="s">
        <v>2</v>
      </c>
      <c r="G650" s="2387" t="s">
        <v>302</v>
      </c>
      <c r="H650" s="2387" t="s">
        <v>116</v>
      </c>
      <c r="I650" s="2388" t="s">
        <v>117</v>
      </c>
    </row>
    <row r="651" spans="1:9" ht="18" outlineLevel="1" x14ac:dyDescent="0.25">
      <c r="B651" s="2389" t="s">
        <v>3602</v>
      </c>
      <c r="C651" s="2390" t="s">
        <v>3603</v>
      </c>
      <c r="D651" s="2390" t="s">
        <v>4418</v>
      </c>
      <c r="E651" s="2391">
        <f>0.15</f>
        <v>0.15</v>
      </c>
      <c r="F651" s="2392" t="s">
        <v>384</v>
      </c>
      <c r="G651" s="2392">
        <v>3</v>
      </c>
      <c r="H651" s="2392" t="s">
        <v>4750</v>
      </c>
      <c r="I651" s="2393"/>
    </row>
    <row r="652" spans="1:9" ht="18" outlineLevel="1" x14ac:dyDescent="0.25">
      <c r="B652" s="2394" t="s">
        <v>3602</v>
      </c>
      <c r="C652" s="2395" t="s">
        <v>3603</v>
      </c>
      <c r="D652" s="2395" t="s">
        <v>4419</v>
      </c>
      <c r="E652" s="2396"/>
      <c r="F652" s="2397" t="s">
        <v>384</v>
      </c>
      <c r="G652" s="2397">
        <v>3</v>
      </c>
      <c r="H652" s="2138" t="s">
        <v>3604</v>
      </c>
      <c r="I652" s="2137"/>
    </row>
    <row r="653" spans="1:9" ht="18" outlineLevel="1" x14ac:dyDescent="0.25">
      <c r="B653" s="2394" t="s">
        <v>3602</v>
      </c>
      <c r="C653" s="2395" t="s">
        <v>3603</v>
      </c>
      <c r="D653" s="2395" t="s">
        <v>4421</v>
      </c>
      <c r="E653" s="2396">
        <f>0.15</f>
        <v>0.15</v>
      </c>
      <c r="F653" s="2397" t="s">
        <v>384</v>
      </c>
      <c r="G653" s="2397">
        <v>3</v>
      </c>
      <c r="H653" s="2138" t="s">
        <v>4751</v>
      </c>
      <c r="I653" s="2137"/>
    </row>
    <row r="654" spans="1:9" ht="18" outlineLevel="1" x14ac:dyDescent="0.25">
      <c r="B654" s="2394" t="s">
        <v>909</v>
      </c>
      <c r="C654" s="2395" t="s">
        <v>906</v>
      </c>
      <c r="D654" s="2395" t="s">
        <v>1843</v>
      </c>
      <c r="E654" s="2396">
        <f>1.82483*10^6*_xlfn.SINGLE(ρ__)^(0.5)*(_xlfn.SINGLE(ε__)*_xlfn.SINGLE(T_K))^(-1.5)</f>
        <v>0.50517320931567189</v>
      </c>
      <c r="F654" s="2397" t="s">
        <v>5004</v>
      </c>
      <c r="G654" s="2397">
        <v>3</v>
      </c>
      <c r="H654" s="2138" t="s">
        <v>1152</v>
      </c>
      <c r="I654" s="2137"/>
    </row>
    <row r="655" spans="1:9" ht="18" outlineLevel="1" x14ac:dyDescent="0.25">
      <c r="B655" s="2394" t="s">
        <v>908</v>
      </c>
      <c r="C655" s="2395" t="s">
        <v>2882</v>
      </c>
      <c r="D655" s="2395" t="s">
        <v>943</v>
      </c>
      <c r="E655" s="2396">
        <f>2727.586+0.6224107*_xlfn.SINGLE(T_K)-466.9151*LN(_xlfn.SINGLE(T_K))-(52000.87/_xlfn.SINGLE(T_K))</f>
        <v>80.261801298291488</v>
      </c>
      <c r="F655" s="2397" t="s">
        <v>5004</v>
      </c>
      <c r="G655" s="2397">
        <v>3</v>
      </c>
      <c r="H655" s="2138" t="s">
        <v>1152</v>
      </c>
      <c r="I655" s="2137"/>
    </row>
    <row r="656" spans="1:9" outlineLevel="1" x14ac:dyDescent="0.25">
      <c r="B656" s="2394" t="s">
        <v>910</v>
      </c>
      <c r="C656" s="2395" t="s">
        <v>2883</v>
      </c>
      <c r="D656" s="2395" t="s">
        <v>907</v>
      </c>
      <c r="E656" s="2396">
        <f>1-(_xlfn.SINGLE(T__)-3.9863)^2*(_xlfn.SINGLE(T__)+288.9414)/(508929.2*(_xlfn.SINGLE(T__)+68.12963))+0.011445*EXP(-374.3/_xlfn.SINGLE(T__))</f>
        <v>0.99823363622515204</v>
      </c>
      <c r="F656" s="2397" t="s">
        <v>5004</v>
      </c>
      <c r="G656" s="2397">
        <v>3</v>
      </c>
      <c r="H656" s="2138" t="s">
        <v>1152</v>
      </c>
      <c r="I656" s="2137"/>
    </row>
    <row r="657" spans="1:9" ht="18" outlineLevel="1" x14ac:dyDescent="0.25">
      <c r="B657" s="2394" t="s">
        <v>3605</v>
      </c>
      <c r="C657" s="2395" t="s">
        <v>3536</v>
      </c>
      <c r="D657" s="2395" t="s">
        <v>3606</v>
      </c>
      <c r="E657" s="2396">
        <v>0.78540775368648974</v>
      </c>
      <c r="F657" s="2397" t="s">
        <v>5004</v>
      </c>
      <c r="G657" s="2397">
        <v>3</v>
      </c>
      <c r="H657" s="2138" t="s">
        <v>1152</v>
      </c>
      <c r="I657" s="2137"/>
    </row>
    <row r="658" spans="1:9" ht="18" outlineLevel="1" x14ac:dyDescent="0.25">
      <c r="B658" s="2394" t="s">
        <v>3607</v>
      </c>
      <c r="C658" s="2395" t="s">
        <v>3538</v>
      </c>
      <c r="D658" s="2395" t="s">
        <v>3608</v>
      </c>
      <c r="E658" s="2396">
        <v>0.3805228471391951</v>
      </c>
      <c r="F658" s="2397" t="s">
        <v>5004</v>
      </c>
      <c r="G658" s="2397">
        <v>3</v>
      </c>
      <c r="H658" s="2138" t="s">
        <v>1152</v>
      </c>
      <c r="I658" s="2137"/>
    </row>
    <row r="659" spans="1:9" ht="18.75" outlineLevel="1" thickBot="1" x14ac:dyDescent="0.3">
      <c r="B659" s="1093" t="s">
        <v>5005</v>
      </c>
      <c r="C659" s="1995" t="s">
        <v>3540</v>
      </c>
      <c r="D659" s="1995" t="s">
        <v>5006</v>
      </c>
      <c r="E659" s="1095">
        <v>0.3805228471391951</v>
      </c>
      <c r="F659" s="1094" t="s">
        <v>5004</v>
      </c>
      <c r="G659" s="1094">
        <v>3</v>
      </c>
      <c r="H659" s="2398" t="s">
        <v>1152</v>
      </c>
      <c r="I659" s="2399"/>
    </row>
    <row r="660" spans="1:9" s="2310" customFormat="1" ht="18" customHeight="1" thickBot="1" x14ac:dyDescent="0.3">
      <c r="A660" s="4"/>
      <c r="B660" s="4"/>
      <c r="C660" s="4"/>
      <c r="D660" s="4"/>
      <c r="E660" s="1798"/>
      <c r="F660" s="4"/>
      <c r="G660" s="4"/>
      <c r="H660" s="4"/>
      <c r="I660" s="4"/>
    </row>
    <row r="661" spans="1:9" s="2310" customFormat="1" ht="18" customHeight="1" thickBot="1" x14ac:dyDescent="0.3">
      <c r="A661" s="4"/>
      <c r="B661" s="131"/>
      <c r="C661" s="2384" t="s">
        <v>945</v>
      </c>
      <c r="D661" s="14" t="s">
        <v>303</v>
      </c>
      <c r="E661" s="14"/>
      <c r="F661" s="131"/>
      <c r="G661" s="131"/>
      <c r="H661" s="131"/>
      <c r="I661" s="131"/>
    </row>
    <row r="662" spans="1:9" s="2310" customFormat="1" ht="18" customHeight="1" thickBot="1" x14ac:dyDescent="0.3">
      <c r="A662" s="4"/>
      <c r="B662" s="2385" t="s">
        <v>0</v>
      </c>
      <c r="C662" s="2386" t="s">
        <v>1</v>
      </c>
      <c r="D662" s="2387" t="s">
        <v>5</v>
      </c>
      <c r="E662" s="2387" t="s">
        <v>152</v>
      </c>
      <c r="F662" s="2387" t="s">
        <v>2</v>
      </c>
      <c r="G662" s="2387" t="s">
        <v>302</v>
      </c>
      <c r="H662" s="2387" t="s">
        <v>116</v>
      </c>
      <c r="I662" s="2388" t="s">
        <v>117</v>
      </c>
    </row>
    <row r="663" spans="1:9" ht="18" outlineLevel="1" x14ac:dyDescent="0.25">
      <c r="B663" s="2389" t="s">
        <v>946</v>
      </c>
      <c r="C663" s="2390" t="s">
        <v>2796</v>
      </c>
      <c r="D663" s="2390" t="s">
        <v>3452</v>
      </c>
      <c r="E663" s="2391">
        <f>K_W_param*EXP(d_Hdiss_H2O/R__*(1/T_st_K-1/_xlfn.SINGLE(T_K)))</f>
        <v>6.7545152316627035E-15</v>
      </c>
      <c r="F663" s="2392" t="s">
        <v>5004</v>
      </c>
      <c r="G663" s="2392">
        <v>3</v>
      </c>
      <c r="H663" s="2392" t="s">
        <v>1152</v>
      </c>
      <c r="I663" s="2393"/>
    </row>
    <row r="664" spans="1:9" ht="18" outlineLevel="1" x14ac:dyDescent="0.25">
      <c r="B664" s="2394" t="s">
        <v>947</v>
      </c>
      <c r="C664" s="2395" t="s">
        <v>2797</v>
      </c>
      <c r="D664" s="2395" t="s">
        <v>1844</v>
      </c>
      <c r="E664" s="2396">
        <f>10^(-(3404.7/_xlfn.SINGLE(T_K)-14.8435+_xlfn.SINGLE(T_K)*0.03279))</f>
        <v>4.1392419480646479E-7</v>
      </c>
      <c r="F664" s="2397" t="s">
        <v>5004</v>
      </c>
      <c r="G664" s="2397">
        <v>3</v>
      </c>
      <c r="H664" s="2138" t="s">
        <v>1152</v>
      </c>
      <c r="I664" s="2137"/>
    </row>
    <row r="665" spans="1:9" ht="18" outlineLevel="1" x14ac:dyDescent="0.25">
      <c r="B665" s="2394" t="s">
        <v>948</v>
      </c>
      <c r="C665" s="2395" t="s">
        <v>2798</v>
      </c>
      <c r="D665" s="2395" t="s">
        <v>1845</v>
      </c>
      <c r="E665" s="2396">
        <f>10^(-(2902.4/_xlfn.SINGLE(T_K)-6.498+_xlfn.SINGLE(T_K)*0.02379))</f>
        <v>4.1997949506593592E-11</v>
      </c>
      <c r="F665" s="2397" t="s">
        <v>5004</v>
      </c>
      <c r="G665" s="2397">
        <v>3</v>
      </c>
      <c r="H665" s="2138" t="s">
        <v>1152</v>
      </c>
      <c r="I665" s="2137"/>
    </row>
    <row r="666" spans="1:9" ht="18" outlineLevel="1" x14ac:dyDescent="0.25">
      <c r="B666" s="2394" t="s">
        <v>949</v>
      </c>
      <c r="C666" s="2395" t="s">
        <v>2799</v>
      </c>
      <c r="D666" s="2395" t="s">
        <v>1846</v>
      </c>
      <c r="E666" s="2396">
        <f>10^(-(799.3/_xlfn.SINGLE(T_K)-4.5535+_xlfn.SINGLE(T_K)*0.01349))</f>
        <v>7.4527408036475567E-3</v>
      </c>
      <c r="F666" s="2397" t="s">
        <v>5004</v>
      </c>
      <c r="G666" s="2397">
        <v>3</v>
      </c>
      <c r="H666" s="2138" t="s">
        <v>1152</v>
      </c>
      <c r="I666" s="2137"/>
    </row>
    <row r="667" spans="1:9" ht="18" outlineLevel="1" x14ac:dyDescent="0.25">
      <c r="B667" s="2394" t="s">
        <v>950</v>
      </c>
      <c r="C667" s="2395" t="s">
        <v>2800</v>
      </c>
      <c r="D667" s="2395" t="s">
        <v>1847</v>
      </c>
      <c r="E667" s="2396">
        <f>10^(-(1979.5/_xlfn.SINGLE(T_K)-5.3541+_xlfn.SINGLE(T_K)*0.01984))</f>
        <v>6.1022250881622208E-8</v>
      </c>
      <c r="F667" s="2397" t="s">
        <v>5004</v>
      </c>
      <c r="G667" s="2397">
        <v>3</v>
      </c>
      <c r="H667" s="2138" t="s">
        <v>1152</v>
      </c>
      <c r="I667" s="2137"/>
    </row>
    <row r="668" spans="1:9" ht="18" outlineLevel="1" x14ac:dyDescent="0.25">
      <c r="B668" s="2394" t="s">
        <v>951</v>
      </c>
      <c r="C668" s="2395" t="s">
        <v>2801</v>
      </c>
      <c r="D668" s="2395" t="s">
        <v>3453</v>
      </c>
      <c r="E668" s="2396">
        <f>K_P3_param*EXP(d_Hdiss_PO4_3/R__*(1/T_st_K-1/_xlfn.SINGLE(T_K)))</f>
        <v>3.7853629756273106E-13</v>
      </c>
      <c r="F668" s="2397" t="s">
        <v>5004</v>
      </c>
      <c r="G668" s="2397">
        <v>3</v>
      </c>
      <c r="H668" s="2138" t="s">
        <v>1152</v>
      </c>
      <c r="I668" s="2137"/>
    </row>
    <row r="669" spans="1:9" ht="18" outlineLevel="1" x14ac:dyDescent="0.25">
      <c r="B669" s="2394" t="s">
        <v>2827</v>
      </c>
      <c r="C669" s="2395" t="s">
        <v>2802</v>
      </c>
      <c r="D669" s="2395" t="s">
        <v>1848</v>
      </c>
      <c r="E669" s="2396">
        <f>10^(-(1170.5/_xlfn.SINGLE(T_K)-3.165+_xlfn.SINGLE(T_K)*0.0134))</f>
        <v>1.7536929986944336E-5</v>
      </c>
      <c r="F669" s="2397" t="s">
        <v>5004</v>
      </c>
      <c r="G669" s="2397">
        <v>3</v>
      </c>
      <c r="H669" s="2138" t="s">
        <v>1152</v>
      </c>
      <c r="I669" s="2137"/>
    </row>
    <row r="670" spans="1:9" ht="18" outlineLevel="1" x14ac:dyDescent="0.25">
      <c r="B670" s="2394" t="s">
        <v>2828</v>
      </c>
      <c r="C670" s="2395" t="s">
        <v>2812</v>
      </c>
      <c r="D670" s="2395" t="s">
        <v>3454</v>
      </c>
      <c r="E670" s="2396">
        <f>K_NO2_param*EXP(d_Hdiss_NO2/R__*(1/T_st_K-1/_xlfn.SINGLE(T_K)))</f>
        <v>4.0484694649180739E-4</v>
      </c>
      <c r="F670" s="2397" t="s">
        <v>1976</v>
      </c>
      <c r="G670" s="2397">
        <v>3</v>
      </c>
      <c r="H670" s="2138" t="s">
        <v>1152</v>
      </c>
      <c r="I670" s="2137"/>
    </row>
    <row r="671" spans="1:9" ht="18.75" outlineLevel="1" thickBot="1" x14ac:dyDescent="0.3">
      <c r="B671" s="1093" t="s">
        <v>2818</v>
      </c>
      <c r="C671" s="1995" t="s">
        <v>2803</v>
      </c>
      <c r="D671" s="1995" t="s">
        <v>1057</v>
      </c>
      <c r="E671" s="1095">
        <f>10^(-(2835.8/_xlfn.SINGLE(T_K)-0.6322+0.00123*_xlfn.SINGLE(T_K)))</f>
        <v>3.9635061259550542E-10</v>
      </c>
      <c r="F671" s="1094" t="s">
        <v>5004</v>
      </c>
      <c r="G671" s="1094">
        <v>3</v>
      </c>
      <c r="H671" s="2398" t="s">
        <v>1152</v>
      </c>
      <c r="I671" s="2399"/>
    </row>
    <row r="672" spans="1:9" s="2310" customFormat="1" ht="18" customHeight="1" thickBot="1" x14ac:dyDescent="0.3">
      <c r="A672" s="4"/>
      <c r="B672" s="4"/>
      <c r="C672" s="4"/>
      <c r="D672" s="4"/>
      <c r="E672" s="1798"/>
      <c r="F672" s="4"/>
      <c r="G672" s="4"/>
      <c r="H672" s="4"/>
      <c r="I672" s="4"/>
    </row>
    <row r="673" spans="1:9" s="2310" customFormat="1" ht="18" customHeight="1" thickBot="1" x14ac:dyDescent="0.3">
      <c r="A673" s="4"/>
      <c r="B673" s="131"/>
      <c r="C673" s="2384" t="s">
        <v>983</v>
      </c>
      <c r="D673" s="14" t="s">
        <v>303</v>
      </c>
      <c r="E673" s="14"/>
      <c r="F673" s="131"/>
      <c r="G673" s="131"/>
      <c r="H673" s="131"/>
      <c r="I673" s="131"/>
    </row>
    <row r="674" spans="1:9" s="2310" customFormat="1" ht="18" customHeight="1" thickBot="1" x14ac:dyDescent="0.3">
      <c r="A674" s="4"/>
      <c r="B674" s="2385" t="s">
        <v>0</v>
      </c>
      <c r="C674" s="2386" t="s">
        <v>1</v>
      </c>
      <c r="D674" s="2387" t="s">
        <v>5</v>
      </c>
      <c r="E674" s="2387" t="s">
        <v>152</v>
      </c>
      <c r="F674" s="2387" t="s">
        <v>2</v>
      </c>
      <c r="G674" s="2387" t="s">
        <v>302</v>
      </c>
      <c r="H674" s="2387" t="s">
        <v>116</v>
      </c>
      <c r="I674" s="2388" t="s">
        <v>117</v>
      </c>
    </row>
    <row r="675" spans="1:9" ht="18" outlineLevel="1" x14ac:dyDescent="0.25">
      <c r="B675" s="2389" t="s">
        <v>347</v>
      </c>
      <c r="C675" s="2390" t="s">
        <v>2804</v>
      </c>
      <c r="D675" s="2390" t="s">
        <v>5007</v>
      </c>
      <c r="E675" s="2391">
        <f>_xlfn.SINGLE(K_W_T)/_xlfn.SINGLE(f_mono)^2</f>
        <v>8.7379753867564399E-15</v>
      </c>
      <c r="F675" s="2392" t="s">
        <v>5004</v>
      </c>
      <c r="G675" s="2392">
        <v>3</v>
      </c>
      <c r="H675" s="2392" t="s">
        <v>1152</v>
      </c>
      <c r="I675" s="2393"/>
    </row>
    <row r="676" spans="1:9" ht="18" outlineLevel="1" x14ac:dyDescent="0.25">
      <c r="B676" s="2394" t="s">
        <v>348</v>
      </c>
      <c r="C676" s="2395" t="s">
        <v>2805</v>
      </c>
      <c r="D676" s="2395" t="s">
        <v>3609</v>
      </c>
      <c r="E676" s="2396">
        <f>_xlfn.SINGLE(K_C1_T)/_xlfn.SINGLE(f_mono)^2</f>
        <v>5.3547283589610541E-7</v>
      </c>
      <c r="F676" s="2397" t="s">
        <v>5004</v>
      </c>
      <c r="G676" s="2397">
        <v>3</v>
      </c>
      <c r="H676" s="2138" t="s">
        <v>1152</v>
      </c>
      <c r="I676" s="2137"/>
    </row>
    <row r="677" spans="1:9" ht="18" outlineLevel="1" x14ac:dyDescent="0.25">
      <c r="B677" s="2394" t="s">
        <v>349</v>
      </c>
      <c r="C677" s="2395" t="s">
        <v>2806</v>
      </c>
      <c r="D677" s="2395" t="s">
        <v>3610</v>
      </c>
      <c r="E677" s="2396">
        <f>_xlfn.SINGLE(K_C2_T)/_xlfn.SINGLE(f_di)</f>
        <v>7.0284789816384129E-11</v>
      </c>
      <c r="F677" s="2397" t="s">
        <v>5004</v>
      </c>
      <c r="G677" s="2397">
        <v>3</v>
      </c>
      <c r="H677" s="2138" t="s">
        <v>1152</v>
      </c>
      <c r="I677" s="2137"/>
    </row>
    <row r="678" spans="1:9" ht="18" outlineLevel="1" x14ac:dyDescent="0.25">
      <c r="B678" s="2394" t="s">
        <v>359</v>
      </c>
      <c r="C678" s="2395" t="s">
        <v>2807</v>
      </c>
      <c r="D678" s="2395" t="s">
        <v>5008</v>
      </c>
      <c r="E678" s="2396">
        <f>_xlfn.SINGLE(K_P1_T)/_xlfn.SINGLE(f_mono)^2</f>
        <v>9.6412345627529591E-3</v>
      </c>
      <c r="F678" s="2397" t="s">
        <v>5004</v>
      </c>
      <c r="G678" s="2397">
        <v>3</v>
      </c>
      <c r="H678" s="2138" t="s">
        <v>1152</v>
      </c>
      <c r="I678" s="2137"/>
    </row>
    <row r="679" spans="1:9" ht="18" outlineLevel="1" x14ac:dyDescent="0.25">
      <c r="B679" s="2394" t="s">
        <v>360</v>
      </c>
      <c r="C679" s="2395" t="s">
        <v>2808</v>
      </c>
      <c r="D679" s="2395" t="s">
        <v>5009</v>
      </c>
      <c r="E679" s="2396">
        <f>_xlfn.SINGLE(K_P2_T)/_xlfn.SINGLE(f_di)</f>
        <v>1.0212251140175602E-7</v>
      </c>
      <c r="F679" s="2397" t="s">
        <v>5004</v>
      </c>
      <c r="G679" s="2397">
        <v>3</v>
      </c>
      <c r="H679" s="2138" t="s">
        <v>1152</v>
      </c>
      <c r="I679" s="2137"/>
    </row>
    <row r="680" spans="1:9" ht="18" outlineLevel="1" x14ac:dyDescent="0.25">
      <c r="B680" s="2394" t="s">
        <v>361</v>
      </c>
      <c r="C680" s="2395" t="s">
        <v>2809</v>
      </c>
      <c r="D680" s="2395" t="s">
        <v>5010</v>
      </c>
      <c r="E680" s="2396">
        <f>_xlfn.SINGLE(K_P3_T)/(_xlfn.SINGLE(f_mono)*_xlfn.SINGLE(f_tri))*_xlfn.SINGLE(f_di)</f>
        <v>8.1951597738298681E-13</v>
      </c>
      <c r="F680" s="2397" t="s">
        <v>5004</v>
      </c>
      <c r="G680" s="2397">
        <v>3</v>
      </c>
      <c r="H680" s="2138" t="s">
        <v>1152</v>
      </c>
      <c r="I680" s="2137"/>
    </row>
    <row r="681" spans="1:9" ht="18" outlineLevel="1" x14ac:dyDescent="0.25">
      <c r="B681" s="2394" t="s">
        <v>2813</v>
      </c>
      <c r="C681" s="2395" t="s">
        <v>2810</v>
      </c>
      <c r="D681" s="2395" t="s">
        <v>5011</v>
      </c>
      <c r="E681" s="2396">
        <f>_xlfn.SINGLE(K_Ac_T)/_xlfn.SINGLE(f_mono)^2</f>
        <v>2.268664105854261E-5</v>
      </c>
      <c r="F681" s="2397" t="s">
        <v>5004</v>
      </c>
      <c r="G681" s="2397">
        <v>3</v>
      </c>
      <c r="H681" s="2138" t="s">
        <v>1152</v>
      </c>
      <c r="I681" s="2137"/>
    </row>
    <row r="682" spans="1:9" ht="18" outlineLevel="1" x14ac:dyDescent="0.25">
      <c r="B682" s="2394" t="s">
        <v>2815</v>
      </c>
      <c r="C682" s="2395" t="s">
        <v>2884</v>
      </c>
      <c r="D682" s="2395" t="s">
        <v>5012</v>
      </c>
      <c r="E682" s="2396">
        <f>_xlfn.SINGLE(K_NO2_T)/_xlfn.SINGLE(f_mono)^2</f>
        <v>5.2373005797162243E-4</v>
      </c>
      <c r="F682" s="2397" t="s">
        <v>1976</v>
      </c>
      <c r="G682" s="2397">
        <v>3</v>
      </c>
      <c r="H682" s="2138" t="s">
        <v>1152</v>
      </c>
      <c r="I682" s="2137"/>
    </row>
    <row r="683" spans="1:9" ht="18.75" outlineLevel="1" thickBot="1" x14ac:dyDescent="0.3">
      <c r="B683" s="1093" t="s">
        <v>2817</v>
      </c>
      <c r="C683" s="1995" t="s">
        <v>2811</v>
      </c>
      <c r="D683" s="1995" t="s">
        <v>2818</v>
      </c>
      <c r="E683" s="1095">
        <f>_xlfn.SINGLE(K_NH3_T)</f>
        <v>3.9635061259550542E-10</v>
      </c>
      <c r="F683" s="1094" t="s">
        <v>5004</v>
      </c>
      <c r="G683" s="1094">
        <v>3</v>
      </c>
      <c r="H683" s="2398" t="s">
        <v>1152</v>
      </c>
      <c r="I683" s="2399"/>
    </row>
    <row r="684" spans="1:9" s="2310" customFormat="1" ht="18" customHeight="1" thickBot="1" x14ac:dyDescent="0.3">
      <c r="A684" s="4"/>
      <c r="B684" s="4"/>
      <c r="C684" s="4"/>
      <c r="D684" s="4"/>
      <c r="E684" s="1798"/>
      <c r="F684" s="4"/>
      <c r="G684" s="4"/>
      <c r="H684" s="4"/>
      <c r="I684" s="4"/>
    </row>
    <row r="685" spans="1:9" s="2310" customFormat="1" ht="18" customHeight="1" thickBot="1" x14ac:dyDescent="0.3">
      <c r="A685" s="4"/>
      <c r="B685" s="131"/>
      <c r="C685" s="2384" t="s">
        <v>1317</v>
      </c>
      <c r="D685" s="14" t="s">
        <v>303</v>
      </c>
      <c r="E685" s="14"/>
      <c r="F685" s="131"/>
      <c r="G685" s="131"/>
      <c r="H685" s="131"/>
      <c r="I685" s="131"/>
    </row>
    <row r="686" spans="1:9" s="2310" customFormat="1" ht="18" customHeight="1" thickBot="1" x14ac:dyDescent="0.3">
      <c r="A686" s="4"/>
      <c r="B686" s="2385" t="s">
        <v>0</v>
      </c>
      <c r="C686" s="2386" t="s">
        <v>1</v>
      </c>
      <c r="D686" s="2387" t="s">
        <v>5</v>
      </c>
      <c r="E686" s="2387" t="s">
        <v>152</v>
      </c>
      <c r="F686" s="2387" t="s">
        <v>2</v>
      </c>
      <c r="G686" s="2387" t="s">
        <v>302</v>
      </c>
      <c r="H686" s="2387" t="s">
        <v>116</v>
      </c>
      <c r="I686" s="2388" t="s">
        <v>117</v>
      </c>
    </row>
    <row r="687" spans="1:9" ht="18" outlineLevel="1" x14ac:dyDescent="0.25">
      <c r="B687" s="2389" t="s">
        <v>1327</v>
      </c>
      <c r="C687" s="2390" t="s">
        <v>2885</v>
      </c>
      <c r="D687" s="2390" t="s">
        <v>5013</v>
      </c>
      <c r="E687" s="2391">
        <f>K_sp_CaCO3_param/_xlfn.SINGLE(f_di)</f>
        <v>7.4753798120141423E-7</v>
      </c>
      <c r="F687" s="2392" t="s">
        <v>5004</v>
      </c>
      <c r="G687" s="2392">
        <v>3</v>
      </c>
      <c r="H687" s="2392" t="s">
        <v>1152</v>
      </c>
      <c r="I687" s="2393"/>
    </row>
    <row r="688" spans="1:9" ht="18.75" outlineLevel="1" x14ac:dyDescent="0.25">
      <c r="B688" s="2394" t="s">
        <v>1324</v>
      </c>
      <c r="C688" s="2395" t="s">
        <v>2886</v>
      </c>
      <c r="D688" s="2395" t="s">
        <v>5014</v>
      </c>
      <c r="E688" s="2396">
        <f>K_sp_STR_param/(_xlfn.SINGLE(f_di)^(1/3)*_xlfn.SINGLE(f_mono)^(1/3)*_xlfn.SINGLE(f_tri)^(1/3))</f>
        <v>1.2614964468037164E-13</v>
      </c>
      <c r="F688" s="2397" t="s">
        <v>5004</v>
      </c>
      <c r="G688" s="2397">
        <v>3</v>
      </c>
      <c r="H688" s="2138" t="s">
        <v>1152</v>
      </c>
      <c r="I688" s="2137"/>
    </row>
    <row r="689" spans="1:9" ht="18.75" outlineLevel="1" x14ac:dyDescent="0.25">
      <c r="B689" s="2394" t="s">
        <v>1325</v>
      </c>
      <c r="C689" s="2395" t="s">
        <v>2887</v>
      </c>
      <c r="D689" s="2395" t="s">
        <v>5015</v>
      </c>
      <c r="E689" s="2396">
        <f>K_sp_Vivi_param/(_xlfn.SINGLE(f_di)^(3/5)*_xlfn.SINGLE(f_tri)^(2/5))</f>
        <v>2.1649600914352904E-36</v>
      </c>
      <c r="F689" s="2397" t="s">
        <v>5004</v>
      </c>
      <c r="G689" s="2397">
        <v>3</v>
      </c>
      <c r="H689" s="2138" t="s">
        <v>1152</v>
      </c>
      <c r="I689" s="2137"/>
    </row>
    <row r="690" spans="1:9" ht="18.75" outlineLevel="1" x14ac:dyDescent="0.25">
      <c r="B690" s="2394" t="s">
        <v>1326</v>
      </c>
      <c r="C690" s="2395" t="s">
        <v>2888</v>
      </c>
      <c r="D690" s="2395" t="s">
        <v>5016</v>
      </c>
      <c r="E690" s="2396">
        <f>K_sp_ACP_param/(_xlfn.SINGLE(f_di)^(3/5)*_xlfn.SINGLE(f_tri)^(2/5))</f>
        <v>7.5067144345969344E-26</v>
      </c>
      <c r="F690" s="2397" t="s">
        <v>5004</v>
      </c>
      <c r="G690" s="2397">
        <v>3</v>
      </c>
      <c r="H690" s="2138" t="s">
        <v>1152</v>
      </c>
      <c r="I690" s="2137"/>
    </row>
    <row r="691" spans="1:9" ht="19.5" outlineLevel="1" thickBot="1" x14ac:dyDescent="0.3">
      <c r="B691" s="1093" t="s">
        <v>4241</v>
      </c>
      <c r="C691" s="1995" t="s">
        <v>4242</v>
      </c>
      <c r="D691" s="1995" t="s">
        <v>5017</v>
      </c>
      <c r="E691" s="1095">
        <f>K_sp_BSH_param/(_xlfn.SINGLE(f_di)^(1/2)*_xlfn.SINGLE(f_di)^(1/2))</f>
        <v>4.2037149897892104E-7</v>
      </c>
      <c r="F691" s="1094" t="s">
        <v>5004</v>
      </c>
      <c r="G691" s="1094">
        <v>3</v>
      </c>
      <c r="H691" s="2398" t="s">
        <v>1152</v>
      </c>
      <c r="I691" s="2399"/>
    </row>
    <row r="692" spans="1:9" s="2310" customFormat="1" ht="18" customHeight="1" thickBot="1" x14ac:dyDescent="0.3">
      <c r="A692" s="4"/>
      <c r="B692" s="4"/>
      <c r="C692" s="4"/>
      <c r="D692" s="4"/>
      <c r="E692" s="1798"/>
      <c r="F692" s="4"/>
      <c r="G692" s="4"/>
      <c r="H692" s="4"/>
      <c r="I692" s="4"/>
    </row>
    <row r="693" spans="1:9" customFormat="1" ht="15.75" thickBot="1" x14ac:dyDescent="0.3">
      <c r="B693" s="103"/>
      <c r="C693" s="2400" t="s">
        <v>398</v>
      </c>
      <c r="D693" s="14" t="s">
        <v>303</v>
      </c>
      <c r="E693" s="103"/>
      <c r="F693" s="103"/>
      <c r="G693" s="147"/>
      <c r="H693" s="117"/>
    </row>
    <row r="694" spans="1:9" s="2310" customFormat="1" ht="18" customHeight="1" thickBot="1" x14ac:dyDescent="0.3">
      <c r="A694" s="4"/>
      <c r="B694" s="2385" t="s">
        <v>0</v>
      </c>
      <c r="C694" s="2386" t="s">
        <v>1</v>
      </c>
      <c r="D694" s="2387" t="s">
        <v>5</v>
      </c>
      <c r="E694" s="2387" t="s">
        <v>152</v>
      </c>
      <c r="F694" s="2387" t="s">
        <v>2</v>
      </c>
      <c r="G694" s="2387" t="s">
        <v>302</v>
      </c>
      <c r="H694" s="2387" t="s">
        <v>116</v>
      </c>
      <c r="I694" s="2388" t="s">
        <v>117</v>
      </c>
    </row>
    <row r="695" spans="1:9" ht="18" outlineLevel="1" x14ac:dyDescent="0.25">
      <c r="B695" s="2389" t="s">
        <v>5018</v>
      </c>
      <c r="C695" s="2390" t="s">
        <v>400</v>
      </c>
      <c r="D695" s="2390" t="s">
        <v>5019</v>
      </c>
      <c r="E695" s="2391"/>
      <c r="F695" s="2392" t="s">
        <v>387</v>
      </c>
      <c r="G695" s="2392">
        <v>2</v>
      </c>
      <c r="H695" s="2392" t="s">
        <v>1152</v>
      </c>
      <c r="I695" s="2393" t="s">
        <v>5020</v>
      </c>
    </row>
    <row r="696" spans="1:9" ht="18" outlineLevel="1" x14ac:dyDescent="0.25">
      <c r="B696" s="2394" t="s">
        <v>5021</v>
      </c>
      <c r="C696" s="2395" t="s">
        <v>402</v>
      </c>
      <c r="D696" s="2395" t="s">
        <v>5022</v>
      </c>
      <c r="E696" s="2396"/>
      <c r="F696" s="2397" t="s">
        <v>387</v>
      </c>
      <c r="G696" s="2397">
        <v>2</v>
      </c>
      <c r="H696" s="2138" t="s">
        <v>1152</v>
      </c>
      <c r="I696" s="2137" t="s">
        <v>5023</v>
      </c>
    </row>
    <row r="697" spans="1:9" ht="18" outlineLevel="1" x14ac:dyDescent="0.25">
      <c r="B697" s="2394" t="s">
        <v>5024</v>
      </c>
      <c r="C697" s="2395" t="s">
        <v>404</v>
      </c>
      <c r="D697" s="2395" t="s">
        <v>5025</v>
      </c>
      <c r="E697" s="2396"/>
      <c r="F697" s="2397" t="s">
        <v>387</v>
      </c>
      <c r="G697" s="2397">
        <v>2</v>
      </c>
      <c r="H697" s="2138" t="s">
        <v>1152</v>
      </c>
      <c r="I697" s="2137" t="s">
        <v>5026</v>
      </c>
    </row>
    <row r="698" spans="1:9" ht="18" outlineLevel="1" x14ac:dyDescent="0.25">
      <c r="B698" s="2394" t="s">
        <v>5027</v>
      </c>
      <c r="C698" s="2395" t="s">
        <v>406</v>
      </c>
      <c r="D698" s="2395" t="s">
        <v>5028</v>
      </c>
      <c r="E698" s="2396"/>
      <c r="F698" s="2397" t="s">
        <v>387</v>
      </c>
      <c r="G698" s="2397">
        <v>2</v>
      </c>
      <c r="H698" s="2138" t="s">
        <v>1152</v>
      </c>
      <c r="I698" s="2137" t="s">
        <v>5029</v>
      </c>
    </row>
    <row r="699" spans="1:9" ht="18.75" outlineLevel="1" x14ac:dyDescent="0.25">
      <c r="B699" s="2394" t="s">
        <v>5030</v>
      </c>
      <c r="C699" s="2395" t="s">
        <v>2178</v>
      </c>
      <c r="D699" s="2395" t="s">
        <v>2415</v>
      </c>
      <c r="E699" s="2396"/>
      <c r="F699" s="2397" t="s">
        <v>387</v>
      </c>
      <c r="G699" s="2397">
        <v>2</v>
      </c>
      <c r="H699" s="2138" t="s">
        <v>1152</v>
      </c>
      <c r="I699" s="2137"/>
    </row>
    <row r="700" spans="1:9" ht="18.75" outlineLevel="1" x14ac:dyDescent="0.25">
      <c r="B700" s="2394" t="s">
        <v>5031</v>
      </c>
      <c r="C700" s="2395" t="s">
        <v>2180</v>
      </c>
      <c r="D700" s="2395" t="s">
        <v>2416</v>
      </c>
      <c r="E700" s="2396"/>
      <c r="F700" s="2397" t="s">
        <v>387</v>
      </c>
      <c r="G700" s="2397">
        <v>2</v>
      </c>
      <c r="H700" s="2138" t="s">
        <v>1152</v>
      </c>
      <c r="I700" s="2137"/>
    </row>
    <row r="701" spans="1:9" ht="18" outlineLevel="1" x14ac:dyDescent="0.25">
      <c r="B701" s="2394" t="s">
        <v>5032</v>
      </c>
      <c r="C701" s="2395" t="s">
        <v>425</v>
      </c>
      <c r="D701" s="2395" t="s">
        <v>5033</v>
      </c>
      <c r="E701" s="2396"/>
      <c r="F701" s="2397" t="s">
        <v>387</v>
      </c>
      <c r="G701" s="2397">
        <v>2</v>
      </c>
      <c r="H701" s="2138" t="s">
        <v>1152</v>
      </c>
      <c r="I701" s="2137" t="s">
        <v>5034</v>
      </c>
    </row>
    <row r="702" spans="1:9" ht="18.75" outlineLevel="1" x14ac:dyDescent="0.25">
      <c r="B702" s="2394" t="s">
        <v>5035</v>
      </c>
      <c r="C702" s="2395" t="s">
        <v>408</v>
      </c>
      <c r="D702" s="2395" t="s">
        <v>2414</v>
      </c>
      <c r="E702" s="2396"/>
      <c r="F702" s="2397" t="s">
        <v>387</v>
      </c>
      <c r="G702" s="2397">
        <v>2</v>
      </c>
      <c r="H702" s="2138" t="s">
        <v>1152</v>
      </c>
      <c r="I702" s="2137" t="s">
        <v>5036</v>
      </c>
    </row>
    <row r="703" spans="1:9" ht="18.75" outlineLevel="1" x14ac:dyDescent="0.25">
      <c r="B703" s="2394" t="s">
        <v>5037</v>
      </c>
      <c r="C703" s="2395" t="s">
        <v>410</v>
      </c>
      <c r="D703" s="2395" t="s">
        <v>2419</v>
      </c>
      <c r="E703" s="2396"/>
      <c r="F703" s="2397" t="s">
        <v>387</v>
      </c>
      <c r="G703" s="2397">
        <v>2</v>
      </c>
      <c r="H703" s="2138" t="s">
        <v>1152</v>
      </c>
      <c r="I703" s="2137" t="s">
        <v>5038</v>
      </c>
    </row>
    <row r="704" spans="1:9" ht="18.75" outlineLevel="1" x14ac:dyDescent="0.25">
      <c r="B704" s="2394" t="s">
        <v>5039</v>
      </c>
      <c r="C704" s="2395" t="s">
        <v>412</v>
      </c>
      <c r="D704" s="2395" t="s">
        <v>2420</v>
      </c>
      <c r="E704" s="2396"/>
      <c r="F704" s="2397" t="s">
        <v>387</v>
      </c>
      <c r="G704" s="2397">
        <v>2</v>
      </c>
      <c r="H704" s="2138" t="s">
        <v>1152</v>
      </c>
      <c r="I704" s="2137" t="s">
        <v>5040</v>
      </c>
    </row>
    <row r="705" spans="1:9" ht="18.75" outlineLevel="1" x14ac:dyDescent="0.25">
      <c r="B705" s="2394" t="s">
        <v>5041</v>
      </c>
      <c r="C705" s="2395" t="s">
        <v>414</v>
      </c>
      <c r="D705" s="2395" t="s">
        <v>431</v>
      </c>
      <c r="E705" s="2396"/>
      <c r="F705" s="2397" t="s">
        <v>387</v>
      </c>
      <c r="G705" s="2397">
        <v>2</v>
      </c>
      <c r="H705" s="2138" t="s">
        <v>1152</v>
      </c>
      <c r="I705" s="2137" t="s">
        <v>5042</v>
      </c>
    </row>
    <row r="706" spans="1:9" ht="18.75" outlineLevel="1" x14ac:dyDescent="0.25">
      <c r="B706" s="2394" t="s">
        <v>5043</v>
      </c>
      <c r="C706" s="2395" t="s">
        <v>416</v>
      </c>
      <c r="D706" s="2395" t="s">
        <v>432</v>
      </c>
      <c r="E706" s="2396"/>
      <c r="F706" s="2397" t="s">
        <v>387</v>
      </c>
      <c r="G706" s="2397">
        <v>2</v>
      </c>
      <c r="H706" s="2138" t="s">
        <v>1152</v>
      </c>
      <c r="I706" s="2137" t="s">
        <v>5044</v>
      </c>
    </row>
    <row r="707" spans="1:9" ht="18.75" outlineLevel="1" x14ac:dyDescent="0.25">
      <c r="B707" s="2394" t="s">
        <v>5045</v>
      </c>
      <c r="C707" s="2395" t="s">
        <v>418</v>
      </c>
      <c r="D707" s="2395" t="s">
        <v>433</v>
      </c>
      <c r="E707" s="2396"/>
      <c r="F707" s="2397" t="s">
        <v>387</v>
      </c>
      <c r="G707" s="2397">
        <v>2</v>
      </c>
      <c r="H707" s="2138" t="s">
        <v>1152</v>
      </c>
      <c r="I707" s="2137" t="s">
        <v>5046</v>
      </c>
    </row>
    <row r="708" spans="1:9" ht="18.75" outlineLevel="1" x14ac:dyDescent="0.25">
      <c r="B708" s="2394" t="s">
        <v>5047</v>
      </c>
      <c r="C708" s="2395" t="s">
        <v>420</v>
      </c>
      <c r="D708" s="2395" t="s">
        <v>434</v>
      </c>
      <c r="E708" s="2396"/>
      <c r="F708" s="2397" t="s">
        <v>387</v>
      </c>
      <c r="G708" s="2397">
        <v>2</v>
      </c>
      <c r="H708" s="2138" t="s">
        <v>1152</v>
      </c>
      <c r="I708" s="2137" t="s">
        <v>5048</v>
      </c>
    </row>
    <row r="709" spans="1:9" ht="18.75" outlineLevel="1" x14ac:dyDescent="0.25">
      <c r="B709" s="2394" t="s">
        <v>421</v>
      </c>
      <c r="C709" s="2395" t="s">
        <v>422</v>
      </c>
      <c r="D709" s="2395" t="s">
        <v>2831</v>
      </c>
      <c r="E709" s="2396"/>
      <c r="F709" s="2397" t="s">
        <v>387</v>
      </c>
      <c r="G709" s="2397">
        <v>2</v>
      </c>
      <c r="H709" s="2138" t="s">
        <v>1152</v>
      </c>
      <c r="I709" s="2137" t="s">
        <v>5049</v>
      </c>
    </row>
    <row r="710" spans="1:9" ht="18.75" outlineLevel="1" x14ac:dyDescent="0.25">
      <c r="B710" s="2394" t="s">
        <v>5050</v>
      </c>
      <c r="C710" s="2395" t="s">
        <v>424</v>
      </c>
      <c r="D710" s="2395" t="s">
        <v>2832</v>
      </c>
      <c r="E710" s="2396"/>
      <c r="F710" s="2397" t="s">
        <v>387</v>
      </c>
      <c r="G710" s="2397">
        <v>2</v>
      </c>
      <c r="H710" s="2138" t="s">
        <v>1152</v>
      </c>
      <c r="I710" s="2137" t="s">
        <v>5051</v>
      </c>
    </row>
    <row r="711" spans="1:9" ht="18" outlineLevel="1" x14ac:dyDescent="0.25">
      <c r="B711" s="2394" t="s">
        <v>5052</v>
      </c>
      <c r="C711" s="2395" t="s">
        <v>997</v>
      </c>
      <c r="D711" s="2395" t="s">
        <v>993</v>
      </c>
      <c r="E711" s="2396"/>
      <c r="F711" s="2397" t="s">
        <v>387</v>
      </c>
      <c r="G711" s="2397">
        <v>2</v>
      </c>
      <c r="H711" s="2138" t="s">
        <v>1152</v>
      </c>
      <c r="I711" s="2137" t="s">
        <v>5053</v>
      </c>
    </row>
    <row r="712" spans="1:9" ht="18" outlineLevel="1" x14ac:dyDescent="0.25">
      <c r="B712" s="2394" t="s">
        <v>5054</v>
      </c>
      <c r="C712" s="2395" t="s">
        <v>998</v>
      </c>
      <c r="D712" s="2395" t="s">
        <v>994</v>
      </c>
      <c r="E712" s="2396"/>
      <c r="F712" s="2397" t="s">
        <v>387</v>
      </c>
      <c r="G712" s="2397">
        <v>2</v>
      </c>
      <c r="H712" s="2138" t="s">
        <v>1152</v>
      </c>
      <c r="I712" s="2137" t="s">
        <v>5055</v>
      </c>
    </row>
    <row r="713" spans="1:9" ht="18" outlineLevel="1" x14ac:dyDescent="0.25">
      <c r="B713" s="2394" t="s">
        <v>5056</v>
      </c>
      <c r="C713" s="2395" t="s">
        <v>1053</v>
      </c>
      <c r="D713" s="2395" t="s">
        <v>1162</v>
      </c>
      <c r="E713" s="2396"/>
      <c r="F713" s="2397" t="s">
        <v>387</v>
      </c>
      <c r="G713" s="2397">
        <v>2</v>
      </c>
      <c r="H713" s="2138" t="s">
        <v>1152</v>
      </c>
      <c r="I713" s="2137" t="s">
        <v>5057</v>
      </c>
    </row>
    <row r="714" spans="1:9" ht="18" outlineLevel="1" x14ac:dyDescent="0.25">
      <c r="B714" s="2394" t="s">
        <v>5058</v>
      </c>
      <c r="C714" s="2395" t="s">
        <v>1046</v>
      </c>
      <c r="D714" s="2395" t="s">
        <v>1103</v>
      </c>
      <c r="E714" s="2396"/>
      <c r="F714" s="2397" t="s">
        <v>387</v>
      </c>
      <c r="G714" s="2397">
        <v>2</v>
      </c>
      <c r="H714" s="2138" t="s">
        <v>1152</v>
      </c>
      <c r="I714" s="2137" t="s">
        <v>5059</v>
      </c>
    </row>
    <row r="715" spans="1:9" ht="18" outlineLevel="1" x14ac:dyDescent="0.25">
      <c r="B715" s="2394" t="s">
        <v>5060</v>
      </c>
      <c r="C715" s="2395" t="s">
        <v>1055</v>
      </c>
      <c r="D715" s="2395" t="s">
        <v>1163</v>
      </c>
      <c r="E715" s="2396"/>
      <c r="F715" s="2397" t="s">
        <v>387</v>
      </c>
      <c r="G715" s="2397">
        <v>2</v>
      </c>
      <c r="H715" s="2138" t="s">
        <v>1152</v>
      </c>
      <c r="I715" s="2137" t="s">
        <v>5061</v>
      </c>
    </row>
    <row r="716" spans="1:9" ht="18.75" outlineLevel="1" thickBot="1" x14ac:dyDescent="0.3">
      <c r="B716" s="1093" t="s">
        <v>5062</v>
      </c>
      <c r="C716" s="1995" t="s">
        <v>1051</v>
      </c>
      <c r="D716" s="1995" t="s">
        <v>1612</v>
      </c>
      <c r="E716" s="1095"/>
      <c r="F716" s="1094" t="s">
        <v>387</v>
      </c>
      <c r="G716" s="1094">
        <v>2</v>
      </c>
      <c r="H716" s="2398" t="s">
        <v>1152</v>
      </c>
      <c r="I716" s="2399" t="s">
        <v>5063</v>
      </c>
    </row>
    <row r="717" spans="1:9" s="2310" customFormat="1" ht="18" customHeight="1" thickBot="1" x14ac:dyDescent="0.3">
      <c r="A717" s="4"/>
      <c r="B717" s="4"/>
      <c r="C717" s="4"/>
      <c r="D717" s="4"/>
      <c r="E717" s="1798"/>
      <c r="F717" s="4"/>
      <c r="G717" s="4"/>
      <c r="H717" s="4"/>
      <c r="I717" s="4"/>
    </row>
    <row r="718" spans="1:9" s="2310" customFormat="1" ht="18" customHeight="1" thickBot="1" x14ac:dyDescent="0.3">
      <c r="A718" s="4"/>
      <c r="B718" s="131"/>
      <c r="C718" s="2384" t="s">
        <v>397</v>
      </c>
      <c r="D718" s="14" t="s">
        <v>303</v>
      </c>
      <c r="E718" s="14"/>
      <c r="F718" s="131"/>
      <c r="G718" s="131"/>
      <c r="H718" s="131"/>
      <c r="I718" s="131"/>
    </row>
    <row r="719" spans="1:9" s="2310" customFormat="1" ht="18" customHeight="1" thickBot="1" x14ac:dyDescent="0.3">
      <c r="A719" s="4"/>
      <c r="B719" s="2385" t="s">
        <v>0</v>
      </c>
      <c r="C719" s="2386" t="s">
        <v>1</v>
      </c>
      <c r="D719" s="2387" t="s">
        <v>5</v>
      </c>
      <c r="E719" s="2387" t="s">
        <v>152</v>
      </c>
      <c r="F719" s="2387" t="s">
        <v>2</v>
      </c>
      <c r="G719" s="2387" t="s">
        <v>302</v>
      </c>
      <c r="H719" s="2387" t="s">
        <v>116</v>
      </c>
      <c r="I719" s="2388" t="s">
        <v>117</v>
      </c>
    </row>
    <row r="720" spans="1:9" ht="18.75" outlineLevel="1" x14ac:dyDescent="0.25">
      <c r="B720" s="2389" t="s">
        <v>896</v>
      </c>
      <c r="C720" s="2390" t="s">
        <v>897</v>
      </c>
      <c r="D720" s="2390" t="s">
        <v>1871</v>
      </c>
      <c r="E720" s="2391">
        <f>conc_Hp_Ieq*_xlfn.SINGLE(K_P2)/(conc_Hp_Ieq^3+conc_Hp_Ieq^2*_xlfn.SINGLE(K_P1)+_xlfn.SINGLE(K_P2)*conc_Hp_Ieq*_xlfn.SINGLE(K_P1)+_xlfn.SINGLE(K_P2)*_xlfn.SINGLE(K_P1)*_xlfn.SINGLE(K_P3))*_xlfn.SINGLE(K_P1)*S_PO4/(A_MP*1000)</f>
        <v>2.5493518636920041E-8</v>
      </c>
      <c r="F720" s="2392" t="s">
        <v>387</v>
      </c>
      <c r="G720" s="2392">
        <v>3</v>
      </c>
      <c r="H720" s="2392" t="s">
        <v>1152</v>
      </c>
      <c r="I720" s="2393"/>
    </row>
    <row r="721" spans="1:9" ht="18.75" outlineLevel="1" x14ac:dyDescent="0.25">
      <c r="B721" s="2394" t="s">
        <v>898</v>
      </c>
      <c r="C721" s="2395" t="s">
        <v>899</v>
      </c>
      <c r="D721" s="2395" t="s">
        <v>1872</v>
      </c>
      <c r="E721" s="2396">
        <f>conc_Hp_Ieq^2*_xlfn.SINGLE(K_P1)*S_PO4/(A_MP*1000)/(conc_Hp_Ieq^3+conc_Hp_Ieq^2*_xlfn.SINGLE(K_P1)+_xlfn.SINGLE(K_P2)*conc_Hp_Ieq*_xlfn.SINGLE(K_P1)+_xlfn.SINGLE(K_P2)*_xlfn.SINGLE(K_P1)*_xlfn.SINGLE(K_P3))</f>
        <v>1.6010694300937341E-5</v>
      </c>
      <c r="F721" s="2397" t="s">
        <v>387</v>
      </c>
      <c r="G721" s="2397">
        <v>3</v>
      </c>
      <c r="H721" s="2138" t="s">
        <v>1152</v>
      </c>
      <c r="I721" s="2137"/>
    </row>
    <row r="722" spans="1:9" ht="18.75" outlineLevel="1" x14ac:dyDescent="0.25">
      <c r="B722" s="2394" t="s">
        <v>900</v>
      </c>
      <c r="C722" s="2395" t="s">
        <v>901</v>
      </c>
      <c r="D722" s="2395" t="s">
        <v>2829</v>
      </c>
      <c r="E722" s="2396">
        <f>S_VFA/(4*A_MO*1000)*_xlfn.SINGLE(K_Ac)/(conc_Hp_Ieq+_xlfn.SINGLE(K_Ac))</f>
        <v>4.0829449054993815E-8</v>
      </c>
      <c r="F722" s="2397" t="s">
        <v>387</v>
      </c>
      <c r="G722" s="2397">
        <v>3</v>
      </c>
      <c r="H722" s="2138" t="s">
        <v>1152</v>
      </c>
      <c r="I722" s="2137"/>
    </row>
    <row r="723" spans="1:9" ht="18.75" outlineLevel="1" x14ac:dyDescent="0.25">
      <c r="B723" s="2394" t="s">
        <v>2351</v>
      </c>
      <c r="C723" s="2395" t="s">
        <v>2352</v>
      </c>
      <c r="D723" s="2395" t="s">
        <v>2830</v>
      </c>
      <c r="E723" s="2396">
        <f>_xlfn.SINGLE(K_NO2)*S_NO2/(A_MN*1000)/(conc_Hp_Ieq+_xlfn.SINGLE(K_NO2))</f>
        <v>6.3605297319967442E-6</v>
      </c>
      <c r="F723" s="2397" t="s">
        <v>387</v>
      </c>
      <c r="G723" s="2397">
        <v>3</v>
      </c>
      <c r="H723" s="2138" t="s">
        <v>1152</v>
      </c>
      <c r="I723" s="2137"/>
    </row>
    <row r="724" spans="1:9" ht="37.5" outlineLevel="1" x14ac:dyDescent="0.25">
      <c r="B724" s="2394" t="s">
        <v>1281</v>
      </c>
      <c r="C724" s="2395" t="s">
        <v>397</v>
      </c>
      <c r="D724" s="2395" t="s">
        <v>2353</v>
      </c>
      <c r="E724" s="2396">
        <f>(3*conc_PO43m_I+2*conc_HPO42m_I)-2*_xlfn.SINGLE(conc_HPO42m_Ieq)+conc_H2PO4m_I-_xlfn.SINGLE(conc_H2PO4m_Ieq)+conc_OHm_I+conc_NO2m_I-_xlfn.SINGLE(conc_NO2m_Ieq)+conc_NH3_I+2*conc_CO32m_I+conc_HCO3m_I+conc_Acm_I-_xlfn.SINGLE(conc_Acm_Ieq)-conc_Hp_I</f>
        <v>5.5299706224952441E-3</v>
      </c>
      <c r="F724" s="2397" t="s">
        <v>1873</v>
      </c>
      <c r="G724" s="2397">
        <v>4</v>
      </c>
      <c r="H724" s="2138" t="s">
        <v>1152</v>
      </c>
      <c r="I724" s="2137"/>
    </row>
    <row r="725" spans="1:9" s="2310" customFormat="1" ht="18" customHeight="1" thickBot="1" x14ac:dyDescent="0.3">
      <c r="A725" s="4"/>
      <c r="B725" s="4"/>
      <c r="C725" s="4"/>
      <c r="D725" s="4"/>
      <c r="E725" s="1798"/>
      <c r="F725" s="4"/>
      <c r="G725" s="4"/>
      <c r="H725" s="4"/>
      <c r="I725" s="4"/>
    </row>
    <row r="726" spans="1:9" s="2310" customFormat="1" ht="18" customHeight="1" thickBot="1" x14ac:dyDescent="0.3">
      <c r="A726" s="4"/>
      <c r="B726" s="131"/>
      <c r="C726" s="2384" t="s">
        <v>5064</v>
      </c>
      <c r="D726" s="14" t="s">
        <v>303</v>
      </c>
      <c r="E726" s="14"/>
      <c r="F726" s="131"/>
      <c r="G726" s="131"/>
      <c r="H726" s="131"/>
      <c r="I726" s="131"/>
    </row>
    <row r="727" spans="1:9" s="2310" customFormat="1" ht="18" customHeight="1" thickBot="1" x14ac:dyDescent="0.3">
      <c r="A727" s="4"/>
      <c r="B727" s="2401" t="s">
        <v>0</v>
      </c>
      <c r="C727" s="2402" t="s">
        <v>1</v>
      </c>
      <c r="D727" s="2403" t="s">
        <v>5</v>
      </c>
      <c r="E727" s="2403" t="s">
        <v>152</v>
      </c>
      <c r="F727" s="2403" t="s">
        <v>2</v>
      </c>
      <c r="G727" s="2403" t="s">
        <v>302</v>
      </c>
      <c r="H727" s="2403" t="s">
        <v>116</v>
      </c>
      <c r="I727" s="2404" t="s">
        <v>117</v>
      </c>
    </row>
    <row r="728" spans="1:9" ht="18" outlineLevel="1" x14ac:dyDescent="0.25">
      <c r="B728" s="2389" t="s">
        <v>3455</v>
      </c>
      <c r="C728" s="2390" t="s">
        <v>3456</v>
      </c>
      <c r="D728" s="2405" t="s">
        <v>3457</v>
      </c>
      <c r="E728" s="2406">
        <f>k_LaGCO2_bub*(S_GCO2_bub_sat-conc_H2CO3_I*M_MEQ_GCO2*c_L_m3)</f>
        <v>2861.6873452767227</v>
      </c>
      <c r="F728" s="2392" t="s">
        <v>1314</v>
      </c>
      <c r="G728" s="2392">
        <v>1</v>
      </c>
      <c r="H728" s="2392"/>
      <c r="I728" s="2393"/>
    </row>
    <row r="729" spans="1:9" ht="18" outlineLevel="1" x14ac:dyDescent="0.25">
      <c r="B729" s="2407" t="s">
        <v>3458</v>
      </c>
      <c r="C729" s="2408" t="s">
        <v>3459</v>
      </c>
      <c r="D729" s="2409" t="s">
        <v>3460</v>
      </c>
      <c r="E729" s="2410">
        <f>k_LaGNH3_bub*(S_GNH3_bub_sat-conc_NH3_I*M_MEQ_GNH3*c_L_m3)</f>
        <v>0</v>
      </c>
      <c r="F729" s="2138" t="s">
        <v>1314</v>
      </c>
      <c r="G729" s="2138">
        <v>1</v>
      </c>
      <c r="H729" s="2138"/>
      <c r="I729" s="2137"/>
    </row>
    <row r="730" spans="1:9" ht="18" outlineLevel="1" x14ac:dyDescent="0.25">
      <c r="B730" s="2407" t="s">
        <v>3461</v>
      </c>
      <c r="C730" s="2408" t="s">
        <v>3462</v>
      </c>
      <c r="D730" s="2409" t="s">
        <v>3598</v>
      </c>
      <c r="E730" s="2410">
        <f>k_LaGCO2_sur*(S_GCO2_sur_sat-conc_H2CO3_I*M_MEQ_GCO2*c_L_m3)</f>
        <v>85.864791591722664</v>
      </c>
      <c r="F730" s="2138" t="s">
        <v>1314</v>
      </c>
      <c r="G730" s="2138">
        <v>1</v>
      </c>
      <c r="H730" s="2138"/>
      <c r="I730" s="2137"/>
    </row>
    <row r="731" spans="1:9" ht="18.75" outlineLevel="1" thickBot="1" x14ac:dyDescent="0.3">
      <c r="B731" s="2411" t="s">
        <v>3463</v>
      </c>
      <c r="C731" s="2412" t="s">
        <v>3464</v>
      </c>
      <c r="D731" s="2413" t="s">
        <v>3599</v>
      </c>
      <c r="E731" s="2414">
        <f>k_LaGNH3_sur*(S_GNH3_sur_sat-conc_NH3_I*M_MEQ_GNH3*c_L_m3)</f>
        <v>0</v>
      </c>
      <c r="F731" s="2398" t="s">
        <v>1314</v>
      </c>
      <c r="G731" s="2398">
        <v>1</v>
      </c>
      <c r="H731" s="2398"/>
      <c r="I731" s="2399"/>
    </row>
    <row r="732" spans="1:9" s="2310" customFormat="1" ht="18" customHeight="1" thickBot="1" x14ac:dyDescent="0.3">
      <c r="A732" s="4"/>
      <c r="B732" s="4"/>
      <c r="C732" s="4"/>
      <c r="D732" s="4"/>
      <c r="E732" s="1798"/>
      <c r="F732" s="4"/>
      <c r="G732" s="4"/>
      <c r="H732" s="4"/>
      <c r="I732" s="4"/>
    </row>
    <row r="733" spans="1:9" s="2310" customFormat="1" ht="18" customHeight="1" thickBot="1" x14ac:dyDescent="0.3">
      <c r="A733" s="4"/>
      <c r="B733" s="131"/>
      <c r="C733" s="2384" t="s">
        <v>445</v>
      </c>
      <c r="D733" s="14" t="s">
        <v>303</v>
      </c>
      <c r="E733" s="14"/>
      <c r="F733" s="131"/>
      <c r="G733" s="131"/>
      <c r="H733" s="131"/>
      <c r="I733" s="131"/>
    </row>
    <row r="734" spans="1:9" s="2310" customFormat="1" ht="18" customHeight="1" thickBot="1" x14ac:dyDescent="0.3">
      <c r="A734" s="4"/>
      <c r="B734" s="2385" t="s">
        <v>0</v>
      </c>
      <c r="C734" s="2386" t="s">
        <v>1</v>
      </c>
      <c r="D734" s="2387" t="s">
        <v>5</v>
      </c>
      <c r="E734" s="2387" t="s">
        <v>152</v>
      </c>
      <c r="F734" s="2387" t="s">
        <v>2</v>
      </c>
      <c r="G734" s="2387" t="s">
        <v>302</v>
      </c>
      <c r="H734" s="2387" t="s">
        <v>116</v>
      </c>
      <c r="I734" s="2388" t="s">
        <v>117</v>
      </c>
    </row>
    <row r="735" spans="1:9" ht="18" outlineLevel="1" x14ac:dyDescent="0.25">
      <c r="B735" s="2415" t="s">
        <v>3768</v>
      </c>
      <c r="C735" s="2416" t="s">
        <v>3773</v>
      </c>
      <c r="D735" s="2416" t="s">
        <v>3763</v>
      </c>
      <c r="E735" s="2417">
        <f>f_kL_GN2*(D_GN2_25/D_GO2_25)^0.5*k_L_GO2_bub</f>
        <v>11.827508281675817</v>
      </c>
      <c r="F735" s="2416" t="s">
        <v>3465</v>
      </c>
      <c r="G735" s="2416">
        <v>2</v>
      </c>
      <c r="H735" s="2350"/>
      <c r="I735" s="2354"/>
    </row>
    <row r="736" spans="1:9" ht="18" outlineLevel="1" x14ac:dyDescent="0.25">
      <c r="B736" s="2418" t="s">
        <v>3769</v>
      </c>
      <c r="C736" s="2419" t="s">
        <v>3774</v>
      </c>
      <c r="D736" s="2419" t="s">
        <v>3764</v>
      </c>
      <c r="E736" s="2420">
        <f>f_kL_GCO2*(D_GCO2_25/D_GO2_25)^0.5*k_L_GO2_bub</f>
        <v>11.5508031163023</v>
      </c>
      <c r="F736" s="2419" t="s">
        <v>3465</v>
      </c>
      <c r="G736" s="2419">
        <v>2</v>
      </c>
      <c r="H736" s="2421"/>
      <c r="I736" s="2422"/>
    </row>
    <row r="737" spans="1:9" ht="18" outlineLevel="1" x14ac:dyDescent="0.25">
      <c r="B737" s="2418" t="s">
        <v>3770</v>
      </c>
      <c r="C737" s="2419" t="s">
        <v>3775</v>
      </c>
      <c r="D737" s="2419" t="s">
        <v>3765</v>
      </c>
      <c r="E737" s="2420">
        <f>f_kL_GCH4*(D_GCH4_25/D_GO2_25)^0.5*k_L_GO2_bub</f>
        <v>10.976486395405258</v>
      </c>
      <c r="F737" s="2419" t="s">
        <v>3465</v>
      </c>
      <c r="G737" s="2419">
        <v>2</v>
      </c>
      <c r="H737" s="2421"/>
      <c r="I737" s="2422"/>
    </row>
    <row r="738" spans="1:9" ht="18" outlineLevel="1" x14ac:dyDescent="0.25">
      <c r="B738" s="2418" t="s">
        <v>3771</v>
      </c>
      <c r="C738" s="2419" t="s">
        <v>3776</v>
      </c>
      <c r="D738" s="2419" t="s">
        <v>3766</v>
      </c>
      <c r="E738" s="2420">
        <f>f_kL_GH2*(D_GH2_25/D_GO2_25)^0.5*k_L_GO2_bub</f>
        <v>19.07552353373622</v>
      </c>
      <c r="F738" s="2419" t="s">
        <v>3465</v>
      </c>
      <c r="G738" s="2419">
        <v>2</v>
      </c>
      <c r="H738" s="2421"/>
      <c r="I738" s="2422"/>
    </row>
    <row r="739" spans="1:9" ht="18" outlineLevel="1" x14ac:dyDescent="0.25">
      <c r="B739" s="2418" t="s">
        <v>3772</v>
      </c>
      <c r="C739" s="2419" t="s">
        <v>3777</v>
      </c>
      <c r="D739" s="2419" t="s">
        <v>3767</v>
      </c>
      <c r="E739" s="2420">
        <f>f_kL_GNH3*(D_GNH3_25/D_GO2_25)^0.5*k_L_GO2_bub</f>
        <v>1.1001798895970079</v>
      </c>
      <c r="F739" s="2419" t="s">
        <v>3465</v>
      </c>
      <c r="G739" s="2419">
        <v>2</v>
      </c>
      <c r="H739" s="2421"/>
      <c r="I739" s="2422"/>
    </row>
    <row r="740" spans="1:9" ht="18" outlineLevel="1" x14ac:dyDescent="0.25">
      <c r="B740" s="2423" t="s">
        <v>3783</v>
      </c>
      <c r="C740" s="1985" t="s">
        <v>3778</v>
      </c>
      <c r="D740" s="1985" t="s">
        <v>3788</v>
      </c>
      <c r="E740" s="2424">
        <f>f_kL_GN2*(D_GN2_25/D_GO2_25)^0.5*k_L_GO2_sur</f>
        <v>6.9145433031335548</v>
      </c>
      <c r="F740" s="1985" t="s">
        <v>3465</v>
      </c>
      <c r="G740" s="1985">
        <v>2</v>
      </c>
      <c r="H740" s="322"/>
      <c r="I740" s="450"/>
    </row>
    <row r="741" spans="1:9" ht="18" outlineLevel="1" x14ac:dyDescent="0.25">
      <c r="B741" s="2418" t="s">
        <v>3784</v>
      </c>
      <c r="C741" s="2419" t="s">
        <v>3779</v>
      </c>
      <c r="D741" s="2419" t="s">
        <v>3789</v>
      </c>
      <c r="E741" s="2420">
        <f>f_kL_GCO2*(D_GCO2_25/D_GO2_25)^0.5*k_L_GO2_sur</f>
        <v>6.7527772064536524</v>
      </c>
      <c r="F741" s="2419" t="s">
        <v>3465</v>
      </c>
      <c r="G741" s="2419">
        <v>2</v>
      </c>
      <c r="H741" s="2421"/>
      <c r="I741" s="2422"/>
    </row>
    <row r="742" spans="1:9" ht="18" outlineLevel="1" x14ac:dyDescent="0.25">
      <c r="B742" s="2418" t="s">
        <v>3785</v>
      </c>
      <c r="C742" s="2419" t="s">
        <v>3780</v>
      </c>
      <c r="D742" s="2419" t="s">
        <v>3790</v>
      </c>
      <c r="E742" s="2420">
        <f>f_kL_GCH4*(D_GCH4_25/D_GO2_25)^0.5*k_L_GO2_sur</f>
        <v>6.4170228157753817</v>
      </c>
      <c r="F742" s="2419" t="s">
        <v>3465</v>
      </c>
      <c r="G742" s="2419">
        <v>2</v>
      </c>
      <c r="H742" s="2421"/>
      <c r="I742" s="2422"/>
    </row>
    <row r="743" spans="1:9" ht="18" outlineLevel="1" x14ac:dyDescent="0.25">
      <c r="B743" s="2418" t="s">
        <v>3786</v>
      </c>
      <c r="C743" s="2419" t="s">
        <v>3781</v>
      </c>
      <c r="D743" s="2419" t="s">
        <v>3791</v>
      </c>
      <c r="E743" s="2420">
        <f>f_kL_GH2*(D_GH2_25/D_GO2_25)^0.5*k_L_GO2_sur</f>
        <v>11.151844527415021</v>
      </c>
      <c r="F743" s="2419" t="s">
        <v>3465</v>
      </c>
      <c r="G743" s="2419">
        <v>2</v>
      </c>
      <c r="H743" s="2421"/>
      <c r="I743" s="2422"/>
    </row>
    <row r="744" spans="1:9" ht="18.75" outlineLevel="1" thickBot="1" x14ac:dyDescent="0.3">
      <c r="B744" s="2425" t="s">
        <v>3787</v>
      </c>
      <c r="C744" s="2426" t="s">
        <v>3782</v>
      </c>
      <c r="D744" s="1994" t="s">
        <v>3792</v>
      </c>
      <c r="E744" s="2427">
        <f>f_kL_GNH3*(D_GNH3_25/D_GO2_25)^0.5*k_L_GO2_sur</f>
        <v>0.64318208930286602</v>
      </c>
      <c r="F744" s="1994" t="s">
        <v>3465</v>
      </c>
      <c r="G744" s="1994">
        <v>2</v>
      </c>
      <c r="H744" s="2428"/>
      <c r="I744" s="953"/>
    </row>
    <row r="745" spans="1:9" s="2310" customFormat="1" ht="18" customHeight="1" thickBot="1" x14ac:dyDescent="0.3">
      <c r="A745" s="4"/>
      <c r="B745" s="4"/>
      <c r="C745" s="4"/>
      <c r="D745" s="4"/>
      <c r="E745" s="1798"/>
      <c r="F745" s="4"/>
      <c r="G745" s="4"/>
      <c r="H745" s="4"/>
      <c r="I745" s="4"/>
    </row>
    <row r="746" spans="1:9" s="2310" customFormat="1" ht="18" customHeight="1" thickBot="1" x14ac:dyDescent="0.3">
      <c r="A746" s="4"/>
      <c r="B746" s="131"/>
      <c r="C746" s="2384" t="s">
        <v>3930</v>
      </c>
      <c r="D746" s="14" t="s">
        <v>303</v>
      </c>
      <c r="E746" s="14"/>
      <c r="F746" s="131"/>
      <c r="G746" s="131"/>
      <c r="H746" s="131"/>
      <c r="I746" s="131"/>
    </row>
    <row r="747" spans="1:9" s="2310" customFormat="1" ht="18" customHeight="1" thickBot="1" x14ac:dyDescent="0.3">
      <c r="A747" s="4"/>
      <c r="B747" s="2385" t="s">
        <v>0</v>
      </c>
      <c r="C747" s="2386" t="s">
        <v>1</v>
      </c>
      <c r="D747" s="2387" t="s">
        <v>5</v>
      </c>
      <c r="E747" s="2387" t="s">
        <v>152</v>
      </c>
      <c r="F747" s="2387" t="s">
        <v>2</v>
      </c>
      <c r="G747" s="2387" t="s">
        <v>302</v>
      </c>
      <c r="H747" s="2387" t="s">
        <v>116</v>
      </c>
      <c r="I747" s="2388" t="s">
        <v>117</v>
      </c>
    </row>
    <row r="748" spans="1:9" s="2310" customFormat="1" ht="18" outlineLevel="1" x14ac:dyDescent="0.25">
      <c r="A748" s="4"/>
      <c r="B748" s="2429" t="s">
        <v>4701</v>
      </c>
      <c r="C748" s="2430" t="s">
        <v>4702</v>
      </c>
      <c r="D748" s="2431" t="s">
        <v>4703</v>
      </c>
      <c r="E748" s="2432">
        <f>q_ALPHA*((1-f_O2_max_ALPHA)*S_O2/(K_O2_ALPHA+S_O2)+f_O2_max_ALPHA)</f>
        <v>1.4512195121951217E-3</v>
      </c>
      <c r="F748" s="2433" t="s">
        <v>3921</v>
      </c>
      <c r="G748" s="2434">
        <v>4</v>
      </c>
      <c r="H748" s="2430"/>
      <c r="I748" s="2435"/>
    </row>
    <row r="749" spans="1:9" s="2310" customFormat="1" ht="18" outlineLevel="1" x14ac:dyDescent="0.25">
      <c r="A749" s="4"/>
      <c r="B749" s="2429" t="s">
        <v>3931</v>
      </c>
      <c r="C749" s="2436" t="s">
        <v>4704</v>
      </c>
      <c r="D749" s="2431" t="s">
        <v>3932</v>
      </c>
      <c r="E749" s="2437">
        <f>1+c_oeffdamp_ALPHA*(S_ALPHA/S_ALPHA_sat)^p_owdamp_ALPHA</f>
        <v>1.0266520317554391</v>
      </c>
      <c r="F749" s="2433" t="s">
        <v>1976</v>
      </c>
      <c r="G749" s="2434">
        <v>2</v>
      </c>
      <c r="H749" s="2430"/>
      <c r="I749" s="2435"/>
    </row>
    <row r="750" spans="1:9" s="2310" customFormat="1" ht="18" outlineLevel="1" x14ac:dyDescent="0.25">
      <c r="A750" s="4"/>
      <c r="B750" s="2429" t="s">
        <v>4705</v>
      </c>
      <c r="C750" s="2436" t="s">
        <v>4706</v>
      </c>
      <c r="D750" s="2431" t="s">
        <v>4707</v>
      </c>
      <c r="E750" s="2437">
        <f>(S_ALPHA-1)*EXP(s_lh_diff_α*h_diff)+1</f>
        <v>0.87571117407946009</v>
      </c>
      <c r="F750" s="2433" t="s">
        <v>1976</v>
      </c>
      <c r="G750" s="2434">
        <v>2</v>
      </c>
      <c r="H750" s="2430" t="s">
        <v>4715</v>
      </c>
      <c r="I750" s="2435"/>
    </row>
    <row r="751" spans="1:9" s="2310" customFormat="1" ht="18" outlineLevel="1" x14ac:dyDescent="0.25">
      <c r="A751" s="4"/>
      <c r="B751" s="2429" t="s">
        <v>3933</v>
      </c>
      <c r="C751" s="2436" t="s">
        <v>4708</v>
      </c>
      <c r="D751" s="2431" t="s">
        <v>3934</v>
      </c>
      <c r="E751" s="2437">
        <f>EXP(s_lTSS_α_def*X_TSS/c_g_kg)</f>
        <v>0.81979851084873212</v>
      </c>
      <c r="F751" s="2433" t="s">
        <v>1976</v>
      </c>
      <c r="G751" s="2434">
        <v>2</v>
      </c>
      <c r="H751" s="2430" t="s">
        <v>4716</v>
      </c>
      <c r="I751" s="2435"/>
    </row>
    <row r="752" spans="1:9" s="2310" customFormat="1" ht="18" outlineLevel="1" x14ac:dyDescent="0.25">
      <c r="A752" s="4"/>
      <c r="B752" s="2429" t="s">
        <v>3933</v>
      </c>
      <c r="C752" s="2436" t="s">
        <v>4708</v>
      </c>
      <c r="D752" s="2431" t="s">
        <v>3935</v>
      </c>
      <c r="E752" s="2437">
        <f>EXP(s_lTSS_α_coarse*X_TSS/c_g_kg)</f>
        <v>0.8759340657710265</v>
      </c>
      <c r="F752" s="2433" t="s">
        <v>1976</v>
      </c>
      <c r="G752" s="2434">
        <v>2</v>
      </c>
      <c r="H752" s="2430" t="s">
        <v>3936</v>
      </c>
      <c r="I752" s="2435"/>
    </row>
    <row r="753" spans="1:9" s="2310" customFormat="1" ht="18" outlineLevel="1" x14ac:dyDescent="0.25">
      <c r="A753" s="4"/>
      <c r="B753" s="2429" t="s">
        <v>3933</v>
      </c>
      <c r="C753" s="2436" t="s">
        <v>4708</v>
      </c>
      <c r="D753" s="2431" t="s">
        <v>3935</v>
      </c>
      <c r="E753" s="2437">
        <f>EXP(s_lTSS_α_coarse*X_TSS/c_g_kg)</f>
        <v>0.8759340657710265</v>
      </c>
      <c r="F753" s="2433" t="s">
        <v>1976</v>
      </c>
      <c r="G753" s="2434">
        <v>2</v>
      </c>
      <c r="H753" s="2430" t="s">
        <v>3937</v>
      </c>
      <c r="I753" s="2435"/>
    </row>
    <row r="754" spans="1:9" s="2310" customFormat="1" ht="18" outlineLevel="1" x14ac:dyDescent="0.25">
      <c r="A754" s="4"/>
      <c r="B754" s="2429" t="s">
        <v>3933</v>
      </c>
      <c r="C754" s="2436" t="s">
        <v>4708</v>
      </c>
      <c r="D754" s="2431" t="s">
        <v>3938</v>
      </c>
      <c r="E754" s="2437">
        <f>c_oefflead_TSS_α_mech*(X_TSS/c_g_kg)^2+c_oefflin_TSS_α_mech*X_TSS/c_g_kg+c_onstTSS_α_mech</f>
        <v>0.93568858183588788</v>
      </c>
      <c r="F754" s="2433" t="s">
        <v>1976</v>
      </c>
      <c r="G754" s="2434">
        <v>2</v>
      </c>
      <c r="H754" s="2430" t="s">
        <v>3939</v>
      </c>
      <c r="I754" s="2435"/>
    </row>
    <row r="755" spans="1:9" s="2310" customFormat="1" ht="18" outlineLevel="1" x14ac:dyDescent="0.25">
      <c r="A755" s="4"/>
      <c r="B755" s="2052" t="s">
        <v>3940</v>
      </c>
      <c r="C755" s="2319" t="s">
        <v>3941</v>
      </c>
      <c r="D755" s="2320" t="s">
        <v>4709</v>
      </c>
      <c r="E755" s="2321">
        <f>S_ALPHA/c_orrh_diff_α*c_orrTSS_α</f>
        <v>0.468075853725686</v>
      </c>
      <c r="F755" s="2313" t="s">
        <v>1976</v>
      </c>
      <c r="G755" s="2314">
        <v>2</v>
      </c>
      <c r="H755" s="2438" t="s">
        <v>4715</v>
      </c>
      <c r="I755" s="2439"/>
    </row>
    <row r="756" spans="1:9" s="2310" customFormat="1" ht="18.75" outlineLevel="1" thickBot="1" x14ac:dyDescent="0.3">
      <c r="A756" s="4"/>
      <c r="B756" s="2045" t="s">
        <v>3940</v>
      </c>
      <c r="C756" s="2440" t="s">
        <v>3941</v>
      </c>
      <c r="D756" s="2441" t="s">
        <v>4714</v>
      </c>
      <c r="E756" s="2442">
        <f>S_ALPHA*_xlfn.SINGLE(c_orrTSS_α)</f>
        <v>0.40989925542436606</v>
      </c>
      <c r="F756" s="2443" t="s">
        <v>1976</v>
      </c>
      <c r="G756" s="2444">
        <v>2</v>
      </c>
      <c r="H756" s="2440" t="s">
        <v>3939</v>
      </c>
      <c r="I756" s="2046"/>
    </row>
    <row r="757" spans="1:9" s="2310" customFormat="1" ht="15.75" thickBot="1" x14ac:dyDescent="0.3">
      <c r="B757" s="2445"/>
      <c r="C757" s="139"/>
      <c r="D757" s="2446"/>
      <c r="E757" s="2447"/>
      <c r="F757" s="2448"/>
      <c r="G757" s="1441"/>
      <c r="H757" s="139"/>
      <c r="I757" s="2449"/>
    </row>
    <row r="758" spans="1:9" ht="15.75" thickBot="1" x14ac:dyDescent="0.3">
      <c r="C758" s="1112" t="s">
        <v>279</v>
      </c>
      <c r="D758" s="14" t="s">
        <v>1213</v>
      </c>
      <c r="E758" s="14"/>
    </row>
    <row r="759" spans="1:9" ht="15.75" thickBot="1" x14ac:dyDescent="0.3">
      <c r="B759" s="2327" t="s">
        <v>0</v>
      </c>
      <c r="C759" s="2450" t="s">
        <v>1</v>
      </c>
      <c r="D759" s="2451" t="s">
        <v>5</v>
      </c>
      <c r="E759" s="2451" t="s">
        <v>152</v>
      </c>
      <c r="F759" s="2451" t="s">
        <v>2</v>
      </c>
      <c r="G759" s="2451" t="s">
        <v>302</v>
      </c>
      <c r="H759" s="2451" t="s">
        <v>116</v>
      </c>
      <c r="I759" s="2452" t="s">
        <v>117</v>
      </c>
    </row>
    <row r="760" spans="1:9" ht="18" outlineLevel="1" x14ac:dyDescent="0.25">
      <c r="B760" s="2453" t="s">
        <v>1849</v>
      </c>
      <c r="C760" s="1985" t="s">
        <v>1214</v>
      </c>
      <c r="D760" s="1985" t="s">
        <v>3466</v>
      </c>
      <c r="E760" s="2454">
        <f>T__+T_STP_K</f>
        <v>293.14999999999998</v>
      </c>
      <c r="F760" s="322" t="s">
        <v>477</v>
      </c>
      <c r="G760" s="322">
        <v>1</v>
      </c>
      <c r="H760" s="322"/>
      <c r="I760" s="450"/>
    </row>
    <row r="761" spans="1:9" ht="18.75" outlineLevel="1" thickBot="1" x14ac:dyDescent="0.3">
      <c r="B761" s="2455" t="s">
        <v>284</v>
      </c>
      <c r="C761" s="2426" t="s">
        <v>1215</v>
      </c>
      <c r="D761" s="2426" t="s">
        <v>4957</v>
      </c>
      <c r="E761" s="2456">
        <f>(S_H-H_STP)/c_p_water</f>
        <v>20</v>
      </c>
      <c r="F761" s="2204" t="s">
        <v>1216</v>
      </c>
      <c r="G761" s="2204">
        <v>1</v>
      </c>
      <c r="H761" s="2204"/>
      <c r="I761" s="2359"/>
    </row>
  </sheetData>
  <phoneticPr fontId="33" type="noConversion"/>
  <conditionalFormatting sqref="D643 I600:I601">
    <cfRule type="cellIs" dxfId="136" priority="79" stopIfTrue="1" operator="notEqual">
      <formula>INDIRECT("Dummy_for_Comparison5!"&amp;ADDRESS(ROW(),COLUMN()))</formula>
    </cfRule>
  </conditionalFormatting>
  <conditionalFormatting sqref="H642:H643">
    <cfRule type="cellIs" dxfId="135" priority="78" stopIfTrue="1" operator="notEqual">
      <formula>INDIRECT("Dummy_for_Comparison5!"&amp;ADDRESS(ROW(),COLUMN()))</formula>
    </cfRule>
  </conditionalFormatting>
  <conditionalFormatting sqref="D644">
    <cfRule type="cellIs" dxfId="134" priority="77" stopIfTrue="1" operator="notEqual">
      <formula>INDIRECT("Dummy_for_Comparison5!"&amp;ADDRESS(ROW(),COLUMN()))</formula>
    </cfRule>
  </conditionalFormatting>
  <conditionalFormatting sqref="F635:H635">
    <cfRule type="cellIs" dxfId="133" priority="52" stopIfTrue="1" operator="notEqual">
      <formula>INDIRECT("Dummy_for_Comparison5!"&amp;ADDRESS(ROW(),COLUMN()))</formula>
    </cfRule>
  </conditionalFormatting>
  <conditionalFormatting sqref="H636">
    <cfRule type="cellIs" dxfId="132" priority="51" stopIfTrue="1" operator="notEqual">
      <formula>INDIRECT("Dummy_for_Comparison5!"&amp;ADDRESS(ROW(),COLUMN()))</formula>
    </cfRule>
  </conditionalFormatting>
  <conditionalFormatting sqref="H644">
    <cfRule type="cellIs" dxfId="131" priority="76" stopIfTrue="1" operator="notEqual">
      <formula>INDIRECT("Dummy_for_Comparison5!"&amp;ADDRESS(ROW(),COLUMN()))</formula>
    </cfRule>
  </conditionalFormatting>
  <conditionalFormatting sqref="D642">
    <cfRule type="cellIs" dxfId="130" priority="80" stopIfTrue="1" operator="notEqual">
      <formula>INDIRECT("Dummy_for_Comparison5!"&amp;ADDRESS(ROW(),COLUMN()))</formula>
    </cfRule>
  </conditionalFormatting>
  <conditionalFormatting sqref="D626">
    <cfRule type="cellIs" dxfId="129" priority="50" stopIfTrue="1" operator="notEqual">
      <formula>INDIRECT("Dummy_for_Comparison5!"&amp;ADDRESS(ROW(),COLUMN()))</formula>
    </cfRule>
  </conditionalFormatting>
  <conditionalFormatting sqref="B630 E630:H630">
    <cfRule type="cellIs" dxfId="128" priority="49" stopIfTrue="1" operator="notEqual">
      <formula>INDIRECT("Dummy_for_Comparison5!"&amp;ADDRESS(ROW(),COLUMN()))</formula>
    </cfRule>
  </conditionalFormatting>
  <conditionalFormatting sqref="L631">
    <cfRule type="cellIs" dxfId="127" priority="48" stopIfTrue="1" operator="notEqual">
      <formula>INDIRECT("Dummy_for_Comparison5!"&amp;ADDRESS(ROW(),COLUMN()))</formula>
    </cfRule>
  </conditionalFormatting>
  <conditionalFormatting sqref="H631">
    <cfRule type="cellIs" dxfId="126" priority="47" stopIfTrue="1" operator="notEqual">
      <formula>INDIRECT("Dummy_for_Comparison5!"&amp;ADDRESS(ROW(),COLUMN()))</formula>
    </cfRule>
  </conditionalFormatting>
  <conditionalFormatting sqref="B628:B629 E628:E629">
    <cfRule type="cellIs" dxfId="125" priority="46" stopIfTrue="1" operator="notEqual">
      <formula>INDIRECT("Dummy_for_Comparison5!"&amp;ADDRESS(ROW(),COLUMN()))</formula>
    </cfRule>
  </conditionalFormatting>
  <conditionalFormatting sqref="F628:H628">
    <cfRule type="cellIs" dxfId="124" priority="45" stopIfTrue="1" operator="notEqual">
      <formula>INDIRECT("Dummy_for_Comparison5!"&amp;ADDRESS(ROW(),COLUMN()))</formula>
    </cfRule>
  </conditionalFormatting>
  <conditionalFormatting sqref="H629">
    <cfRule type="cellIs" dxfId="123" priority="44" stopIfTrue="1" operator="notEqual">
      <formula>INDIRECT("Dummy_for_Comparison5!"&amp;ADDRESS(ROW(),COLUMN()))</formula>
    </cfRule>
  </conditionalFormatting>
  <conditionalFormatting sqref="D600 F601:G601">
    <cfRule type="cellIs" dxfId="122" priority="35" stopIfTrue="1" operator="notEqual">
      <formula>INDIRECT("Dummy_for_Comparison5!"&amp;ADDRESS(ROW(),COLUMN()))</formula>
    </cfRule>
  </conditionalFormatting>
  <conditionalFormatting sqref="D633">
    <cfRule type="cellIs" dxfId="121" priority="57" stopIfTrue="1" operator="notEqual">
      <formula>INDIRECT("Dummy_for_Comparison5!"&amp;ADDRESS(ROW(),COLUMN()))</formula>
    </cfRule>
  </conditionalFormatting>
  <conditionalFormatting sqref="B637 E637:H637">
    <cfRule type="cellIs" dxfId="120" priority="56" stopIfTrue="1" operator="notEqual">
      <formula>INDIRECT("Dummy_for_Comparison5!"&amp;ADDRESS(ROW(),COLUMN()))</formula>
    </cfRule>
  </conditionalFormatting>
  <conditionalFormatting sqref="H638">
    <cfRule type="cellIs" dxfId="119" priority="54" stopIfTrue="1" operator="notEqual">
      <formula>INDIRECT("Dummy_for_Comparison5!"&amp;ADDRESS(ROW(),COLUMN()))</formula>
    </cfRule>
  </conditionalFormatting>
  <conditionalFormatting sqref="L638">
    <cfRule type="cellIs" dxfId="118" priority="55" stopIfTrue="1" operator="notEqual">
      <formula>INDIRECT("Dummy_for_Comparison5!"&amp;ADDRESS(ROW(),COLUMN()))</formula>
    </cfRule>
  </conditionalFormatting>
  <conditionalFormatting sqref="B635:B636 E635:E636">
    <cfRule type="cellIs" dxfId="117" priority="53" stopIfTrue="1" operator="notEqual">
      <formula>INDIRECT("Dummy_for_Comparison5!"&amp;ADDRESS(ROW(),COLUMN()))</formula>
    </cfRule>
  </conditionalFormatting>
  <conditionalFormatting sqref="E623:H623 B623">
    <cfRule type="cellIs" dxfId="116" priority="18" stopIfTrue="1" operator="notEqual">
      <formula>INDIRECT("Dummy_for_Comparison5!"&amp;ADDRESS(ROW(),COLUMN()))</formula>
    </cfRule>
  </conditionalFormatting>
  <conditionalFormatting sqref="C621">
    <cfRule type="cellIs" dxfId="115" priority="19" stopIfTrue="1" operator="notEqual">
      <formula>INDIRECT("Dummy_for_Comparison5!"&amp;ADDRESS(ROW(),COLUMN()))</formula>
    </cfRule>
  </conditionalFormatting>
  <conditionalFormatting sqref="J623">
    <cfRule type="cellIs" dxfId="114" priority="17" stopIfTrue="1" operator="notEqual">
      <formula>INDIRECT("Dummy_for_Comparison5!"&amp;ADDRESS(ROW(),COLUMN()))</formula>
    </cfRule>
  </conditionalFormatting>
  <conditionalFormatting sqref="J618">
    <cfRule type="cellIs" dxfId="113" priority="16" stopIfTrue="1" operator="notEqual">
      <formula>INDIRECT("Dummy_for_Comparison5!"&amp;ADDRESS(ROW(),COLUMN()))</formula>
    </cfRule>
  </conditionalFormatting>
  <conditionalFormatting sqref="J619">
    <cfRule type="cellIs" dxfId="112" priority="15" stopIfTrue="1" operator="notEqual">
      <formula>INDIRECT("Dummy_for_Comparison5!"&amp;ADDRESS(ROW(),COLUMN()))</formula>
    </cfRule>
  </conditionalFormatting>
  <conditionalFormatting sqref="D601 B600:B601">
    <cfRule type="cellIs" dxfId="111" priority="34" stopIfTrue="1" operator="notEqual">
      <formula>INDIRECT("Dummy_for_Comparison5!"&amp;ADDRESS(ROW(),COLUMN()))</formula>
    </cfRule>
  </conditionalFormatting>
  <conditionalFormatting sqref="F600:G600">
    <cfRule type="cellIs" dxfId="110" priority="33" stopIfTrue="1" operator="notEqual">
      <formula>INDIRECT("Dummy_for_Comparison5!"&amp;ADDRESS(ROW(),COLUMN()))</formula>
    </cfRule>
  </conditionalFormatting>
  <conditionalFormatting sqref="C610">
    <cfRule type="cellIs" dxfId="109" priority="11" stopIfTrue="1" operator="notEqual">
      <formula>INDIRECT("Dummy_for_Comparison5!"&amp;ADDRESS(ROW(),COLUMN()))</formula>
    </cfRule>
  </conditionalFormatting>
  <conditionalFormatting sqref="F612:G612">
    <cfRule type="cellIs" dxfId="108" priority="10" stopIfTrue="1" operator="notEqual">
      <formula>INDIRECT("Dummy_for_Comparison5!"&amp;ADDRESS(ROW(),COLUMN()))</formula>
    </cfRule>
  </conditionalFormatting>
  <conditionalFormatting sqref="L619 E615:K615">
    <cfRule type="cellIs" dxfId="107" priority="32" stopIfTrue="1" operator="notEqual">
      <formula>INDIRECT("Dummy_for_Comparison5!"&amp;ADDRESS(ROW(),COLUMN()))</formula>
    </cfRule>
  </conditionalFormatting>
  <conditionalFormatting sqref="B616 E618:F618 D616:K616 B618 H618">
    <cfRule type="cellIs" dxfId="106" priority="31" stopIfTrue="1" operator="notEqual">
      <formula>INDIRECT("Dummy_for_Comparison5!"&amp;ADDRESS(ROW(),COLUMN()))</formula>
    </cfRule>
  </conditionalFormatting>
  <conditionalFormatting sqref="B615 C616">
    <cfRule type="cellIs" dxfId="105" priority="30" stopIfTrue="1" operator="notEqual">
      <formula>INDIRECT("Dummy_for_Comparison5!"&amp;ADDRESS(ROW(),COLUMN()))</formula>
    </cfRule>
  </conditionalFormatting>
  <conditionalFormatting sqref="D615">
    <cfRule type="cellIs" dxfId="104" priority="29" stopIfTrue="1" operator="notEqual">
      <formula>INDIRECT("Dummy_for_Comparison5!"&amp;ADDRESS(ROW(),COLUMN()))</formula>
    </cfRule>
  </conditionalFormatting>
  <conditionalFormatting sqref="H619">
    <cfRule type="cellIs" dxfId="103" priority="28" stopIfTrue="1" operator="notEqual">
      <formula>INDIRECT("Dummy_for_Comparison5!"&amp;ADDRESS(ROW(),COLUMN()))</formula>
    </cfRule>
  </conditionalFormatting>
  <conditionalFormatting sqref="C615">
    <cfRule type="cellIs" dxfId="102" priority="27" stopIfTrue="1" operator="notEqual">
      <formula>INDIRECT("Dummy_for_Comparison5!"&amp;ADDRESS(ROW(),COLUMN()))</formula>
    </cfRule>
  </conditionalFormatting>
  <conditionalFormatting sqref="E617:H617 B617">
    <cfRule type="cellIs" dxfId="101" priority="26" stopIfTrue="1" operator="notEqual">
      <formula>INDIRECT("Dummy_for_Comparison5!"&amp;ADDRESS(ROW(),COLUMN()))</formula>
    </cfRule>
  </conditionalFormatting>
  <conditionalFormatting sqref="J617">
    <cfRule type="cellIs" dxfId="100" priority="25" stopIfTrue="1" operator="notEqual">
      <formula>INDIRECT("Dummy_for_Comparison5!"&amp;ADDRESS(ROW(),COLUMN()))</formula>
    </cfRule>
  </conditionalFormatting>
  <conditionalFormatting sqref="E621:K621">
    <cfRule type="cellIs" dxfId="99" priority="24" stopIfTrue="1" operator="notEqual">
      <formula>INDIRECT("Dummy_for_Comparison5!"&amp;ADDRESS(ROW(),COLUMN()))</formula>
    </cfRule>
  </conditionalFormatting>
  <conditionalFormatting sqref="B622 E624:F624 D622:K622 B624 H624">
    <cfRule type="cellIs" dxfId="98" priority="23" stopIfTrue="1" operator="notEqual">
      <formula>INDIRECT("Dummy_for_Comparison5!"&amp;ADDRESS(ROW(),COLUMN()))</formula>
    </cfRule>
  </conditionalFormatting>
  <conditionalFormatting sqref="B621 C622">
    <cfRule type="cellIs" dxfId="97" priority="22" stopIfTrue="1" operator="notEqual">
      <formula>INDIRECT("Dummy_for_Comparison5!"&amp;ADDRESS(ROW(),COLUMN()))</formula>
    </cfRule>
  </conditionalFormatting>
  <conditionalFormatting sqref="D621">
    <cfRule type="cellIs" dxfId="96" priority="21" stopIfTrue="1" operator="notEqual">
      <formula>INDIRECT("Dummy_for_Comparison5!"&amp;ADDRESS(ROW(),COLUMN()))</formula>
    </cfRule>
  </conditionalFormatting>
  <conditionalFormatting sqref="J624">
    <cfRule type="cellIs" dxfId="95" priority="20" stopIfTrue="1" operator="notEqual">
      <formula>INDIRECT("Dummy_for_Comparison5!"&amp;ADDRESS(ROW(),COLUMN()))</formula>
    </cfRule>
  </conditionalFormatting>
  <conditionalFormatting sqref="D613 E610:K610 B610:B613 J612:K613">
    <cfRule type="cellIs" dxfId="94" priority="13" stopIfTrue="1" operator="notEqual">
      <formula>INDIRECT("Dummy_for_Comparison5!"&amp;ADDRESS(ROW(),COLUMN()))</formula>
    </cfRule>
  </conditionalFormatting>
  <conditionalFormatting sqref="D611:D612 F611:K611 H612 F613:H613">
    <cfRule type="cellIs" dxfId="93" priority="14" stopIfTrue="1" operator="notEqual">
      <formula>INDIRECT("Dummy_for_Comparison5!"&amp;ADDRESS(ROW(),COLUMN()))</formula>
    </cfRule>
  </conditionalFormatting>
  <conditionalFormatting sqref="D610">
    <cfRule type="cellIs" dxfId="92" priority="12" stopIfTrue="1" operator="notEqual">
      <formula>INDIRECT("Dummy_for_Comparison5!"&amp;ADDRESS(ROW(),COLUMN()))</formula>
    </cfRule>
  </conditionalFormatting>
  <conditionalFormatting sqref="H601">
    <cfRule type="cellIs" dxfId="91" priority="9" stopIfTrue="1" operator="notEqual">
      <formula>INDIRECT("Dummy_for_Comparison5!"&amp;ADDRESS(ROW(),COLUMN()))</formula>
    </cfRule>
  </conditionalFormatting>
  <conditionalFormatting sqref="D602 B602 I602">
    <cfRule type="cellIs" dxfId="90" priority="7" stopIfTrue="1" operator="notEqual">
      <formula>INDIRECT("Dummy_for_Comparison5!"&amp;ADDRESS(ROW(),COLUMN()))</formula>
    </cfRule>
  </conditionalFormatting>
  <conditionalFormatting sqref="F602:H602">
    <cfRule type="cellIs" dxfId="89" priority="8" stopIfTrue="1" operator="notEqual">
      <formula>INDIRECT("Dummy_for_Comparison5!"&amp;ADDRESS(ROW(),COLUMN()))</formula>
    </cfRule>
  </conditionalFormatting>
  <conditionalFormatting sqref="H600">
    <cfRule type="cellIs" dxfId="88" priority="6" stopIfTrue="1" operator="notEqual">
      <formula>INDIRECT("Dummy_for_Comparison5!"&amp;ADDRESS(ROW(),COLUMN()))</formula>
    </cfRule>
  </conditionalFormatting>
  <conditionalFormatting sqref="D607 B606:B607 I606:I607">
    <cfRule type="cellIs" dxfId="87" priority="4" stopIfTrue="1" operator="notEqual">
      <formula>INDIRECT("Dummy_for_Comparison5!"&amp;ADDRESS(ROW(),COLUMN()))</formula>
    </cfRule>
  </conditionalFormatting>
  <conditionalFormatting sqref="D606 H606 F607:H607">
    <cfRule type="cellIs" dxfId="86" priority="5" stopIfTrue="1" operator="notEqual">
      <formula>INDIRECT("Dummy_for_Comparison5!"&amp;ADDRESS(ROW(),COLUMN()))</formula>
    </cfRule>
  </conditionalFormatting>
  <conditionalFormatting sqref="F606:G606">
    <cfRule type="cellIs" dxfId="85" priority="3" stopIfTrue="1" operator="notEqual">
      <formula>INDIRECT("Dummy_for_Comparison5!"&amp;ADDRESS(ROW(),COLUMN()))</formula>
    </cfRule>
  </conditionalFormatting>
  <conditionalFormatting sqref="D608 B608 I608">
    <cfRule type="cellIs" dxfId="84" priority="1" stopIfTrue="1" operator="notEqual">
      <formula>INDIRECT("Dummy_for_Comparison5!"&amp;ADDRESS(ROW(),COLUMN()))</formula>
    </cfRule>
  </conditionalFormatting>
  <conditionalFormatting sqref="F608:H608">
    <cfRule type="cellIs" dxfId="83" priority="2" stopIfTrue="1" operator="notEqual">
      <formula>INDIRECT("Dummy_for_Comparison5!"&amp;ADDRESS(ROW(),COLUMN()))</formula>
    </cfRule>
  </conditionalFormatting>
  <pageMargins left="0.7" right="0.7" top="0.75" bottom="0.75" header="0.3" footer="0.3"/>
  <pageSetup orientation="portrait"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Munka8"/>
  <dimension ref="B1:F8"/>
  <sheetViews>
    <sheetView showGridLines="0" workbookViewId="0">
      <selection activeCell="B4" sqref="B4:D8"/>
    </sheetView>
  </sheetViews>
  <sheetFormatPr baseColWidth="10" defaultColWidth="9.28515625" defaultRowHeight="15" x14ac:dyDescent="0.25"/>
  <cols>
    <col min="2" max="2" width="24.28515625" customWidth="1"/>
    <col min="3" max="3" width="23.28515625" customWidth="1"/>
    <col min="4" max="4" width="22.28515625" customWidth="1"/>
  </cols>
  <sheetData>
    <row r="1" spans="2:6" s="47" customFormat="1" ht="58.5" customHeight="1" thickBot="1" x14ac:dyDescent="0.3"/>
    <row r="2" spans="2:6" ht="15.75" thickBot="1" x14ac:dyDescent="0.3">
      <c r="C2" s="63" t="s">
        <v>133</v>
      </c>
      <c r="D2" s="1"/>
    </row>
    <row r="3" spans="2:6" ht="20.25" customHeight="1" x14ac:dyDescent="0.25">
      <c r="B3" s="54" t="s">
        <v>0</v>
      </c>
      <c r="C3" s="54" t="s">
        <v>1</v>
      </c>
      <c r="D3" s="75" t="s">
        <v>5</v>
      </c>
      <c r="E3" s="75" t="s">
        <v>116</v>
      </c>
      <c r="F3" s="70" t="s">
        <v>2</v>
      </c>
    </row>
    <row r="4" spans="2:6" x14ac:dyDescent="0.25">
      <c r="B4" s="76"/>
      <c r="C4" s="73"/>
      <c r="D4" s="74"/>
      <c r="E4" s="6"/>
      <c r="F4" s="6"/>
    </row>
    <row r="5" spans="2:6" x14ac:dyDescent="0.25">
      <c r="B5" s="76"/>
      <c r="C5" s="73"/>
      <c r="D5" s="73"/>
      <c r="E5" s="6"/>
      <c r="F5" s="6"/>
    </row>
    <row r="6" spans="2:6" x14ac:dyDescent="0.25">
      <c r="B6" s="76"/>
      <c r="C6" s="73"/>
      <c r="D6" s="73"/>
      <c r="E6" s="73"/>
      <c r="F6" s="73"/>
    </row>
    <row r="7" spans="2:6" x14ac:dyDescent="0.25">
      <c r="B7" s="76"/>
      <c r="C7" s="73"/>
      <c r="D7" s="73"/>
      <c r="E7" s="73"/>
      <c r="F7" s="73"/>
    </row>
    <row r="8" spans="2:6" x14ac:dyDescent="0.25">
      <c r="B8" s="76"/>
      <c r="C8" s="73"/>
      <c r="D8" s="73"/>
      <c r="E8" s="73"/>
      <c r="F8" s="73"/>
    </row>
  </sheetData>
  <phoneticPr fontId="33" type="noConversion"/>
  <pageMargins left="0.7" right="0.7" top="0.75" bottom="0.75" header="0.3" footer="0.3"/>
  <pageSetup orientation="portrait"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Munka10"/>
  <dimension ref="B1:G4"/>
  <sheetViews>
    <sheetView showGridLines="0" zoomScale="110" zoomScaleNormal="110" workbookViewId="0">
      <selection activeCell="C10" sqref="C10"/>
    </sheetView>
  </sheetViews>
  <sheetFormatPr baseColWidth="10" defaultColWidth="9.28515625" defaultRowHeight="15" x14ac:dyDescent="0.25"/>
  <cols>
    <col min="1" max="1" width="3.28515625" customWidth="1"/>
    <col min="2" max="2" width="10.28515625" customWidth="1"/>
    <col min="3" max="3" width="26.28515625" customWidth="1"/>
    <col min="4" max="4" width="30" customWidth="1"/>
    <col min="5" max="5" width="12.28515625" customWidth="1"/>
    <col min="6" max="6" width="9.7109375" customWidth="1"/>
    <col min="7" max="7" width="20.7109375" customWidth="1"/>
  </cols>
  <sheetData>
    <row r="1" spans="2:7" s="47" customFormat="1" ht="44.25" customHeight="1" thickBot="1" x14ac:dyDescent="0.3"/>
    <row r="2" spans="2:7" ht="16.5" customHeight="1" thickBot="1" x14ac:dyDescent="0.3">
      <c r="B2" s="4"/>
      <c r="C2" s="63"/>
      <c r="D2" s="62"/>
      <c r="E2" s="4"/>
      <c r="F2" s="4"/>
      <c r="G2" s="4"/>
    </row>
    <row r="3" spans="2:7" ht="13.5" customHeight="1" thickBot="1" x14ac:dyDescent="0.3">
      <c r="B3" s="64"/>
      <c r="C3" s="65" t="s">
        <v>1</v>
      </c>
      <c r="D3" s="65" t="s">
        <v>5</v>
      </c>
      <c r="E3" s="67" t="s">
        <v>2</v>
      </c>
      <c r="F3" s="68" t="s">
        <v>116</v>
      </c>
      <c r="G3" s="66" t="s">
        <v>117</v>
      </c>
    </row>
    <row r="4" spans="2:7" ht="20.25" customHeight="1" x14ac:dyDescent="0.25">
      <c r="B4" s="42"/>
      <c r="C4" s="42"/>
      <c r="D4" s="41"/>
      <c r="E4" s="43"/>
      <c r="F4" s="44"/>
      <c r="G4" s="44"/>
    </row>
  </sheetData>
  <phoneticPr fontId="33" type="noConversion"/>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Munka12"/>
  <dimension ref="A1:BU18"/>
  <sheetViews>
    <sheetView workbookViewId="0">
      <selection activeCell="B10" sqref="B10:G18"/>
    </sheetView>
  </sheetViews>
  <sheetFormatPr baseColWidth="10" defaultColWidth="9.28515625" defaultRowHeight="15" x14ac:dyDescent="0.25"/>
  <cols>
    <col min="1" max="1" width="9.28515625" style="10"/>
    <col min="2" max="7" width="16.28515625" style="10" customWidth="1"/>
    <col min="8" max="73" width="9.28515625" style="10"/>
  </cols>
  <sheetData>
    <row r="1" spans="2:7" ht="15.75" thickBot="1" x14ac:dyDescent="0.3"/>
    <row r="2" spans="2:7" x14ac:dyDescent="0.25">
      <c r="B2" s="11"/>
      <c r="C2" s="12"/>
      <c r="D2" s="12"/>
      <c r="E2" s="12"/>
      <c r="F2" s="12"/>
      <c r="G2" s="13"/>
    </row>
    <row r="3" spans="2:7" x14ac:dyDescent="0.25">
      <c r="B3" s="2665" t="s">
        <v>109</v>
      </c>
      <c r="C3" s="2666"/>
      <c r="D3" s="2666"/>
      <c r="E3" s="2666"/>
      <c r="F3" s="2666"/>
      <c r="G3" s="2667"/>
    </row>
    <row r="4" spans="2:7" x14ac:dyDescent="0.25">
      <c r="B4" s="2665"/>
      <c r="C4" s="2666"/>
      <c r="D4" s="2666"/>
      <c r="E4" s="2666"/>
      <c r="F4" s="2666"/>
      <c r="G4" s="2667"/>
    </row>
    <row r="5" spans="2:7" x14ac:dyDescent="0.25">
      <c r="B5" s="2665"/>
      <c r="C5" s="2666"/>
      <c r="D5" s="2666"/>
      <c r="E5" s="2666"/>
      <c r="F5" s="2666"/>
      <c r="G5" s="2667"/>
    </row>
    <row r="6" spans="2:7" x14ac:dyDescent="0.25">
      <c r="B6" s="2665"/>
      <c r="C6" s="2666"/>
      <c r="D6" s="2666"/>
      <c r="E6" s="2666"/>
      <c r="F6" s="2666"/>
      <c r="G6" s="2667"/>
    </row>
    <row r="7" spans="2:7" x14ac:dyDescent="0.25">
      <c r="B7" s="2665"/>
      <c r="C7" s="2666"/>
      <c r="D7" s="2666"/>
      <c r="E7" s="2666"/>
      <c r="F7" s="2666"/>
      <c r="G7" s="2667"/>
    </row>
    <row r="8" spans="2:7" ht="15.75" thickBot="1" x14ac:dyDescent="0.3">
      <c r="B8" s="2668"/>
      <c r="C8" s="2669"/>
      <c r="D8" s="2669"/>
      <c r="E8" s="2669"/>
      <c r="F8" s="2669"/>
      <c r="G8" s="2670"/>
    </row>
    <row r="10" spans="2:7" x14ac:dyDescent="0.25">
      <c r="B10" s="2671"/>
      <c r="C10" s="2671"/>
      <c r="D10" s="2671"/>
      <c r="E10" s="2671"/>
      <c r="F10" s="2671"/>
      <c r="G10" s="2671"/>
    </row>
    <row r="11" spans="2:7" x14ac:dyDescent="0.25">
      <c r="B11" s="2671"/>
      <c r="C11" s="2671"/>
      <c r="D11" s="2671"/>
      <c r="E11" s="2671"/>
      <c r="F11" s="2671"/>
      <c r="G11" s="2671"/>
    </row>
    <row r="12" spans="2:7" x14ac:dyDescent="0.25">
      <c r="B12" s="2671"/>
      <c r="C12" s="2671"/>
      <c r="D12" s="2671"/>
      <c r="E12" s="2671"/>
      <c r="F12" s="2671"/>
      <c r="G12" s="2671"/>
    </row>
    <row r="13" spans="2:7" x14ac:dyDescent="0.25">
      <c r="B13" s="2671"/>
      <c r="C13" s="2671"/>
      <c r="D13" s="2671"/>
      <c r="E13" s="2671"/>
      <c r="F13" s="2671"/>
      <c r="G13" s="2671"/>
    </row>
    <row r="14" spans="2:7" x14ac:dyDescent="0.25">
      <c r="B14" s="2671"/>
      <c r="C14" s="2671"/>
      <c r="D14" s="2671"/>
      <c r="E14" s="2671"/>
      <c r="F14" s="2671"/>
      <c r="G14" s="2671"/>
    </row>
    <row r="15" spans="2:7" x14ac:dyDescent="0.25">
      <c r="B15" s="2671"/>
      <c r="C15" s="2671"/>
      <c r="D15" s="2671"/>
      <c r="E15" s="2671"/>
      <c r="F15" s="2671"/>
      <c r="G15" s="2671"/>
    </row>
    <row r="16" spans="2:7" x14ac:dyDescent="0.25">
      <c r="B16" s="2671"/>
      <c r="C16" s="2671"/>
      <c r="D16" s="2671"/>
      <c r="E16" s="2671"/>
      <c r="F16" s="2671"/>
      <c r="G16" s="2671"/>
    </row>
    <row r="17" spans="2:7" x14ac:dyDescent="0.25">
      <c r="B17" s="2671"/>
      <c r="C17" s="2671"/>
      <c r="D17" s="2671"/>
      <c r="E17" s="2671"/>
      <c r="F17" s="2671"/>
      <c r="G17" s="2671"/>
    </row>
    <row r="18" spans="2:7" x14ac:dyDescent="0.25">
      <c r="B18" s="2671"/>
      <c r="C18" s="2671"/>
      <c r="D18" s="2671"/>
      <c r="E18" s="2671"/>
      <c r="F18" s="2671"/>
      <c r="G18" s="2671"/>
    </row>
  </sheetData>
  <sheetProtection selectLockedCells="1" selectUnlockedCells="1"/>
  <mergeCells count="2">
    <mergeCell ref="B3:G8"/>
    <mergeCell ref="B10:G18"/>
  </mergeCells>
  <pageMargins left="0.7" right="0.7" top="0.75" bottom="0.75" header="0.3" footer="0.3"/>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Munka11"/>
  <dimension ref="A1:C9"/>
  <sheetViews>
    <sheetView workbookViewId="0">
      <selection activeCell="A10" sqref="A10"/>
    </sheetView>
  </sheetViews>
  <sheetFormatPr baseColWidth="10" defaultColWidth="9.28515625" defaultRowHeight="15" x14ac:dyDescent="0.25"/>
  <cols>
    <col min="1" max="1" width="14.28515625" bestFit="1" customWidth="1"/>
    <col min="2" max="2" width="4" bestFit="1" customWidth="1"/>
    <col min="3" max="3" width="12.7109375" bestFit="1" customWidth="1"/>
  </cols>
  <sheetData>
    <row r="1" spans="1:3" x14ac:dyDescent="0.25">
      <c r="A1" t="s">
        <v>107</v>
      </c>
      <c r="B1" s="9">
        <v>387</v>
      </c>
    </row>
    <row r="2" spans="1:3" x14ac:dyDescent="0.25">
      <c r="A2" t="s">
        <v>108</v>
      </c>
      <c r="B2" s="9">
        <v>441</v>
      </c>
    </row>
    <row r="3" spans="1:3" x14ac:dyDescent="0.25">
      <c r="A3" t="s">
        <v>110</v>
      </c>
      <c r="B3">
        <v>517</v>
      </c>
    </row>
    <row r="4" spans="1:3" x14ac:dyDescent="0.25">
      <c r="A4" t="s">
        <v>113</v>
      </c>
      <c r="B4">
        <v>444</v>
      </c>
    </row>
    <row r="5" spans="1:3" x14ac:dyDescent="0.25">
      <c r="A5" t="s">
        <v>120</v>
      </c>
      <c r="B5">
        <v>364</v>
      </c>
    </row>
    <row r="6" spans="1:3" x14ac:dyDescent="0.25">
      <c r="A6" t="s">
        <v>126</v>
      </c>
      <c r="B6">
        <v>418</v>
      </c>
    </row>
    <row r="7" spans="1:3" x14ac:dyDescent="0.25">
      <c r="A7" t="s">
        <v>127</v>
      </c>
      <c r="B7">
        <v>510</v>
      </c>
    </row>
    <row r="8" spans="1:3" x14ac:dyDescent="0.25">
      <c r="A8" t="s">
        <v>129</v>
      </c>
      <c r="B8">
        <v>452</v>
      </c>
      <c r="C8" t="s">
        <v>130</v>
      </c>
    </row>
    <row r="9" spans="1:3" x14ac:dyDescent="0.25">
      <c r="A9" t="s">
        <v>131</v>
      </c>
      <c r="B9">
        <v>611</v>
      </c>
      <c r="C9" t="s">
        <v>132</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dimension ref="A1:I119"/>
  <sheetViews>
    <sheetView showGridLines="0" workbookViewId="0"/>
  </sheetViews>
  <sheetFormatPr baseColWidth="10" defaultColWidth="8.7109375" defaultRowHeight="15" x14ac:dyDescent="0.25"/>
  <cols>
    <col min="1" max="1" width="5.7109375" style="188" customWidth="1"/>
    <col min="2" max="2" width="51.28515625" style="188" customWidth="1"/>
    <col min="3" max="3" width="52" style="188" customWidth="1"/>
    <col min="4" max="4" width="80.7109375" style="188" bestFit="1" customWidth="1"/>
    <col min="5" max="5" width="17.7109375" style="188" customWidth="1"/>
    <col min="6" max="6" width="9.28515625" style="188" customWidth="1"/>
    <col min="7" max="7" width="8.7109375" style="188"/>
    <col min="8" max="8" width="56.7109375" style="189" customWidth="1"/>
    <col min="9" max="9" width="22.7109375" style="188" customWidth="1"/>
    <col min="10" max="16384" width="8.7109375" style="188"/>
  </cols>
  <sheetData>
    <row r="1" spans="1:8" ht="15.75" thickBot="1" x14ac:dyDescent="0.3"/>
    <row r="2" spans="1:8" ht="15.75" thickBot="1" x14ac:dyDescent="0.3">
      <c r="C2" s="190" t="s">
        <v>783</v>
      </c>
      <c r="D2" s="191"/>
      <c r="E2" s="191"/>
    </row>
    <row r="3" spans="1:8" ht="15.75" thickBot="1" x14ac:dyDescent="0.3">
      <c r="B3" s="192" t="s">
        <v>0</v>
      </c>
      <c r="C3" s="193" t="s">
        <v>1</v>
      </c>
      <c r="D3" s="194" t="s">
        <v>5</v>
      </c>
      <c r="E3" s="194" t="s">
        <v>116</v>
      </c>
      <c r="F3" s="195" t="s">
        <v>2</v>
      </c>
      <c r="H3" s="196" t="s">
        <v>784</v>
      </c>
    </row>
    <row r="4" spans="1:8" x14ac:dyDescent="0.25">
      <c r="B4" s="197" t="s">
        <v>165</v>
      </c>
      <c r="C4" s="198" t="s">
        <v>166</v>
      </c>
      <c r="D4" s="199" t="s">
        <v>167</v>
      </c>
      <c r="E4" s="199"/>
      <c r="F4" s="200"/>
    </row>
    <row r="5" spans="1:8" x14ac:dyDescent="0.25">
      <c r="B5" s="201" t="s">
        <v>168</v>
      </c>
      <c r="C5" s="202" t="s">
        <v>169</v>
      </c>
      <c r="D5" s="202" t="s">
        <v>170</v>
      </c>
      <c r="E5" s="202"/>
      <c r="F5" s="203"/>
    </row>
    <row r="6" spans="1:8" x14ac:dyDescent="0.25">
      <c r="B6" s="201" t="s">
        <v>267</v>
      </c>
      <c r="C6" s="202" t="s">
        <v>268</v>
      </c>
      <c r="D6" s="202" t="s">
        <v>777</v>
      </c>
      <c r="E6" s="202"/>
      <c r="F6" s="203"/>
    </row>
    <row r="7" spans="1:8" x14ac:dyDescent="0.25">
      <c r="B7" s="201" t="s">
        <v>269</v>
      </c>
      <c r="C7" s="202" t="s">
        <v>270</v>
      </c>
      <c r="D7" s="202" t="s">
        <v>1376</v>
      </c>
      <c r="E7" s="202"/>
      <c r="F7" s="203"/>
    </row>
    <row r="8" spans="1:8" x14ac:dyDescent="0.25">
      <c r="B8" s="201" t="s">
        <v>171</v>
      </c>
      <c r="C8" s="202" t="s">
        <v>172</v>
      </c>
      <c r="D8" s="202" t="s">
        <v>173</v>
      </c>
      <c r="E8" s="202"/>
      <c r="F8" s="203"/>
    </row>
    <row r="9" spans="1:8" s="341" customFormat="1" x14ac:dyDescent="0.25">
      <c r="B9" s="201" t="s">
        <v>4439</v>
      </c>
      <c r="C9" s="553" t="s">
        <v>4440</v>
      </c>
      <c r="D9" s="1737" t="s">
        <v>4441</v>
      </c>
      <c r="E9" s="923"/>
      <c r="F9" s="203"/>
      <c r="H9" s="189"/>
    </row>
    <row r="10" spans="1:8" s="1784" customFormat="1" x14ac:dyDescent="0.25">
      <c r="B10" s="1788" t="s">
        <v>4519</v>
      </c>
      <c r="C10" s="1785" t="s">
        <v>4520</v>
      </c>
      <c r="D10" s="1786" t="s">
        <v>4521</v>
      </c>
      <c r="E10" s="1787"/>
      <c r="F10" s="203"/>
      <c r="H10" s="189"/>
    </row>
    <row r="11" spans="1:8" s="341" customFormat="1" x14ac:dyDescent="0.25">
      <c r="A11" s="1784"/>
      <c r="B11" s="1789" t="s">
        <v>1377</v>
      </c>
      <c r="C11" s="553" t="s">
        <v>175</v>
      </c>
      <c r="D11" s="1737" t="s">
        <v>4446</v>
      </c>
      <c r="E11" s="923"/>
      <c r="F11" s="203"/>
      <c r="H11" s="189"/>
    </row>
    <row r="12" spans="1:8" s="341" customFormat="1" x14ac:dyDescent="0.25">
      <c r="A12" s="1784"/>
      <c r="B12" s="1789" t="s">
        <v>1378</v>
      </c>
      <c r="C12" s="553" t="s">
        <v>178</v>
      </c>
      <c r="D12" s="1737" t="s">
        <v>4447</v>
      </c>
      <c r="E12" s="923"/>
      <c r="F12" s="203"/>
      <c r="H12" s="189"/>
    </row>
    <row r="13" spans="1:8" s="341" customFormat="1" x14ac:dyDescent="0.25">
      <c r="A13" s="1784"/>
      <c r="B13" s="1789" t="s">
        <v>4442</v>
      </c>
      <c r="C13" s="553" t="s">
        <v>4443</v>
      </c>
      <c r="D13" s="1737" t="s">
        <v>1137</v>
      </c>
      <c r="E13" s="923"/>
      <c r="F13" s="203"/>
      <c r="H13" s="189"/>
    </row>
    <row r="14" spans="1:8" s="341" customFormat="1" x14ac:dyDescent="0.25">
      <c r="A14" s="1784"/>
      <c r="B14" s="1790" t="s">
        <v>4444</v>
      </c>
      <c r="C14" s="553" t="s">
        <v>4445</v>
      </c>
      <c r="D14" s="1737" t="s">
        <v>1138</v>
      </c>
      <c r="E14" s="923"/>
      <c r="F14" s="203"/>
      <c r="H14" s="189"/>
    </row>
    <row r="15" spans="1:8" s="207" customFormat="1" x14ac:dyDescent="0.25">
      <c r="A15" s="1784"/>
      <c r="B15" s="204" t="s">
        <v>1228</v>
      </c>
      <c r="C15" s="205" t="s">
        <v>1139</v>
      </c>
      <c r="D15" s="205" t="s">
        <v>1229</v>
      </c>
      <c r="E15" s="205"/>
      <c r="F15" s="206"/>
      <c r="H15" s="189"/>
    </row>
    <row r="16" spans="1:8" s="207" customFormat="1" x14ac:dyDescent="0.25">
      <c r="B16" s="204" t="s">
        <v>1140</v>
      </c>
      <c r="C16" s="209" t="s">
        <v>1141</v>
      </c>
      <c r="D16" s="205" t="s">
        <v>1142</v>
      </c>
      <c r="E16" s="205"/>
      <c r="F16" s="206"/>
      <c r="H16" s="208"/>
    </row>
    <row r="17" spans="2:8" x14ac:dyDescent="0.25">
      <c r="B17" s="201" t="s">
        <v>180</v>
      </c>
      <c r="C17" s="202" t="s">
        <v>181</v>
      </c>
      <c r="D17" s="202" t="s">
        <v>182</v>
      </c>
      <c r="E17" s="202"/>
      <c r="F17" s="203"/>
    </row>
    <row r="18" spans="2:8" x14ac:dyDescent="0.25">
      <c r="B18" s="201" t="s">
        <v>183</v>
      </c>
      <c r="C18" s="202" t="s">
        <v>184</v>
      </c>
      <c r="D18" s="202" t="s">
        <v>781</v>
      </c>
      <c r="E18" s="202"/>
      <c r="F18" s="203"/>
    </row>
    <row r="19" spans="2:8" x14ac:dyDescent="0.25">
      <c r="B19" s="201" t="s">
        <v>151</v>
      </c>
      <c r="C19" s="202" t="s">
        <v>149</v>
      </c>
      <c r="D19" s="202" t="s">
        <v>150</v>
      </c>
      <c r="E19" s="202"/>
      <c r="F19" s="203"/>
    </row>
    <row r="20" spans="2:8" x14ac:dyDescent="0.25">
      <c r="B20" s="201" t="s">
        <v>778</v>
      </c>
      <c r="C20" s="210" t="s">
        <v>779</v>
      </c>
      <c r="D20" s="211" t="s">
        <v>782</v>
      </c>
      <c r="E20" s="202"/>
      <c r="F20" s="203"/>
      <c r="H20" s="189" t="s">
        <v>785</v>
      </c>
    </row>
    <row r="21" spans="2:8" ht="105" x14ac:dyDescent="0.25">
      <c r="B21" s="201" t="s">
        <v>1379</v>
      </c>
      <c r="C21" s="210" t="s">
        <v>1380</v>
      </c>
      <c r="D21" s="211" t="s">
        <v>1381</v>
      </c>
      <c r="E21" s="202"/>
      <c r="F21" s="203"/>
    </row>
    <row r="22" spans="2:8" ht="18" x14ac:dyDescent="0.35">
      <c r="B22" s="201" t="s">
        <v>1382</v>
      </c>
      <c r="C22" s="210" t="s">
        <v>1383</v>
      </c>
      <c r="D22" s="211" t="s">
        <v>1384</v>
      </c>
      <c r="E22" s="202"/>
      <c r="F22" s="203"/>
    </row>
    <row r="23" spans="2:8" ht="18" x14ac:dyDescent="0.35">
      <c r="B23" s="201" t="s">
        <v>1385</v>
      </c>
      <c r="C23" s="210" t="s">
        <v>1386</v>
      </c>
      <c r="D23" s="211" t="s">
        <v>1387</v>
      </c>
      <c r="E23" s="202"/>
      <c r="F23" s="203"/>
    </row>
    <row r="24" spans="2:8" ht="18" x14ac:dyDescent="0.35">
      <c r="B24" s="201" t="s">
        <v>1388</v>
      </c>
      <c r="C24" s="210" t="s">
        <v>780</v>
      </c>
      <c r="D24" s="211" t="s">
        <v>1389</v>
      </c>
      <c r="E24" s="202"/>
      <c r="F24" s="203"/>
    </row>
    <row r="25" spans="2:8" ht="18" x14ac:dyDescent="0.35">
      <c r="B25" s="201" t="s">
        <v>1390</v>
      </c>
      <c r="C25" s="210" t="s">
        <v>1391</v>
      </c>
      <c r="D25" s="211" t="s">
        <v>1392</v>
      </c>
      <c r="E25" s="202"/>
      <c r="F25" s="203"/>
    </row>
    <row r="26" spans="2:8" ht="18" x14ac:dyDescent="0.35">
      <c r="B26" s="201" t="s">
        <v>1393</v>
      </c>
      <c r="C26" s="210" t="s">
        <v>1394</v>
      </c>
      <c r="D26" s="211" t="s">
        <v>1395</v>
      </c>
      <c r="E26" s="202"/>
      <c r="F26" s="203"/>
    </row>
    <row r="27" spans="2:8" ht="18" x14ac:dyDescent="0.35">
      <c r="B27" s="201" t="s">
        <v>1396</v>
      </c>
      <c r="C27" s="210" t="s">
        <v>1397</v>
      </c>
      <c r="D27" s="211" t="s">
        <v>1398</v>
      </c>
      <c r="E27" s="202"/>
      <c r="F27" s="203"/>
    </row>
    <row r="28" spans="2:8" ht="18" x14ac:dyDescent="0.35">
      <c r="B28" s="201" t="s">
        <v>1399</v>
      </c>
      <c r="C28" s="210" t="s">
        <v>1400</v>
      </c>
      <c r="D28" s="211" t="s">
        <v>1401</v>
      </c>
      <c r="E28" s="202"/>
      <c r="F28" s="203"/>
    </row>
    <row r="29" spans="2:8" x14ac:dyDescent="0.25">
      <c r="B29" s="212" t="s">
        <v>1402</v>
      </c>
      <c r="C29" s="213" t="s">
        <v>1403</v>
      </c>
      <c r="D29" s="213" t="s">
        <v>1404</v>
      </c>
      <c r="E29" s="213"/>
      <c r="F29" s="214"/>
    </row>
    <row r="30" spans="2:8" ht="15.75" thickBot="1" x14ac:dyDescent="0.3">
      <c r="B30" s="215" t="s">
        <v>1405</v>
      </c>
      <c r="C30" s="216" t="s">
        <v>1406</v>
      </c>
      <c r="D30" s="216" t="s">
        <v>1407</v>
      </c>
      <c r="E30" s="216"/>
      <c r="F30" s="217"/>
    </row>
    <row r="31" spans="2:8" ht="15.75" thickBot="1" x14ac:dyDescent="0.3"/>
    <row r="32" spans="2:8" ht="15.75" customHeight="1" thickBot="1" x14ac:dyDescent="0.3">
      <c r="C32" s="190" t="s">
        <v>1408</v>
      </c>
      <c r="D32" s="191"/>
      <c r="E32" s="191"/>
      <c r="G32" s="218"/>
    </row>
    <row r="33" spans="2:9" ht="16.5" customHeight="1" thickBot="1" x14ac:dyDescent="0.3">
      <c r="B33" s="219" t="s">
        <v>0</v>
      </c>
      <c r="C33" s="220" t="s">
        <v>1</v>
      </c>
      <c r="D33" s="221" t="s">
        <v>5</v>
      </c>
      <c r="E33" s="221" t="s">
        <v>116</v>
      </c>
      <c r="F33" s="222" t="s">
        <v>2</v>
      </c>
      <c r="H33" s="189" t="s">
        <v>1409</v>
      </c>
    </row>
    <row r="34" spans="2:9" x14ac:dyDescent="0.25">
      <c r="B34" s="223" t="s">
        <v>1410</v>
      </c>
      <c r="C34" s="224" t="s">
        <v>1411</v>
      </c>
      <c r="D34" s="224" t="s">
        <v>1412</v>
      </c>
      <c r="E34" s="224"/>
      <c r="F34" s="225"/>
    </row>
    <row r="35" spans="2:9" ht="60" x14ac:dyDescent="0.25">
      <c r="B35" s="201" t="s">
        <v>1413</v>
      </c>
      <c r="C35" s="210" t="s">
        <v>1414</v>
      </c>
      <c r="D35" s="211" t="s">
        <v>1415</v>
      </c>
      <c r="E35" s="202"/>
      <c r="F35" s="203"/>
    </row>
    <row r="36" spans="2:9" x14ac:dyDescent="0.25">
      <c r="B36" s="226" t="s">
        <v>1416</v>
      </c>
      <c r="C36" s="202" t="s">
        <v>1417</v>
      </c>
      <c r="D36" s="202" t="s">
        <v>1418</v>
      </c>
      <c r="E36" s="202"/>
      <c r="F36" s="203"/>
    </row>
    <row r="37" spans="2:9" x14ac:dyDescent="0.25">
      <c r="B37" s="226" t="s">
        <v>1419</v>
      </c>
      <c r="C37" s="202" t="s">
        <v>1420</v>
      </c>
      <c r="D37" s="202" t="s">
        <v>1421</v>
      </c>
      <c r="E37" s="202"/>
      <c r="F37" s="203"/>
    </row>
    <row r="38" spans="2:9" x14ac:dyDescent="0.25">
      <c r="B38" s="226" t="s">
        <v>1422</v>
      </c>
      <c r="C38" s="202" t="s">
        <v>1423</v>
      </c>
      <c r="D38" s="202" t="s">
        <v>1424</v>
      </c>
      <c r="E38" s="202"/>
      <c r="F38" s="203"/>
    </row>
    <row r="39" spans="2:9" x14ac:dyDescent="0.25">
      <c r="B39" s="226" t="s">
        <v>1425</v>
      </c>
      <c r="C39" s="202" t="s">
        <v>1426</v>
      </c>
      <c r="D39" s="202" t="s">
        <v>1427</v>
      </c>
      <c r="E39" s="202"/>
      <c r="F39" s="203"/>
    </row>
    <row r="40" spans="2:9" s="230" customFormat="1" x14ac:dyDescent="0.25">
      <c r="B40" s="201" t="s">
        <v>1428</v>
      </c>
      <c r="C40" s="227" t="s">
        <v>1429</v>
      </c>
      <c r="D40" s="228" t="s">
        <v>1430</v>
      </c>
      <c r="E40" s="227"/>
      <c r="F40" s="229"/>
      <c r="H40" s="189"/>
    </row>
    <row r="41" spans="2:9" s="230" customFormat="1" ht="90" x14ac:dyDescent="0.25">
      <c r="B41" s="231" t="s">
        <v>1431</v>
      </c>
      <c r="C41" s="227" t="s">
        <v>1432</v>
      </c>
      <c r="D41" s="228" t="s">
        <v>1433</v>
      </c>
      <c r="E41" s="227"/>
      <c r="F41" s="232"/>
      <c r="H41" s="189"/>
    </row>
    <row r="42" spans="2:9" x14ac:dyDescent="0.25">
      <c r="B42" s="201" t="s">
        <v>1434</v>
      </c>
      <c r="C42" s="227" t="s">
        <v>1435</v>
      </c>
      <c r="D42" s="227" t="s">
        <v>1436</v>
      </c>
      <c r="E42" s="227"/>
      <c r="F42" s="229"/>
      <c r="I42" s="189"/>
    </row>
    <row r="43" spans="2:9" ht="90" x14ac:dyDescent="0.25">
      <c r="B43" s="201" t="s">
        <v>1437</v>
      </c>
      <c r="C43" s="227" t="s">
        <v>1438</v>
      </c>
      <c r="D43" s="228" t="s">
        <v>1439</v>
      </c>
      <c r="E43" s="227"/>
      <c r="F43" s="229"/>
      <c r="I43" s="189"/>
    </row>
    <row r="44" spans="2:9" ht="90" x14ac:dyDescent="0.25">
      <c r="B44" s="201" t="s">
        <v>1440</v>
      </c>
      <c r="C44" s="227" t="s">
        <v>1441</v>
      </c>
      <c r="D44" s="228" t="s">
        <v>1442</v>
      </c>
      <c r="E44" s="227"/>
      <c r="F44" s="229"/>
      <c r="I44" s="189"/>
    </row>
    <row r="45" spans="2:9" ht="90" x14ac:dyDescent="0.25">
      <c r="B45" s="201" t="s">
        <v>1443</v>
      </c>
      <c r="C45" s="227" t="s">
        <v>1444</v>
      </c>
      <c r="D45" s="228" t="s">
        <v>1445</v>
      </c>
      <c r="E45" s="227"/>
      <c r="F45" s="229"/>
      <c r="I45" s="189"/>
    </row>
    <row r="46" spans="2:9" ht="90" x14ac:dyDescent="0.25">
      <c r="B46" s="201" t="s">
        <v>1446</v>
      </c>
      <c r="C46" s="227" t="s">
        <v>1447</v>
      </c>
      <c r="D46" s="228" t="s">
        <v>1448</v>
      </c>
      <c r="E46" s="227"/>
      <c r="F46" s="229"/>
      <c r="I46" s="189"/>
    </row>
    <row r="47" spans="2:9" x14ac:dyDescent="0.25">
      <c r="B47" s="226" t="s">
        <v>1449</v>
      </c>
      <c r="C47" s="202" t="s">
        <v>1450</v>
      </c>
      <c r="D47" s="202" t="s">
        <v>1451</v>
      </c>
      <c r="E47" s="202"/>
      <c r="F47" s="203"/>
      <c r="H47" s="233"/>
      <c r="I47" s="189"/>
    </row>
    <row r="48" spans="2:9" x14ac:dyDescent="0.25">
      <c r="B48" s="226" t="s">
        <v>1452</v>
      </c>
      <c r="C48" s="202" t="s">
        <v>1453</v>
      </c>
      <c r="D48" s="202" t="s">
        <v>1454</v>
      </c>
      <c r="E48" s="202"/>
      <c r="F48" s="203"/>
      <c r="H48" s="233"/>
      <c r="I48" s="189"/>
    </row>
    <row r="49" spans="2:9" x14ac:dyDescent="0.25">
      <c r="B49" s="226" t="s">
        <v>1455</v>
      </c>
      <c r="C49" s="202" t="s">
        <v>1456</v>
      </c>
      <c r="D49" s="202" t="s">
        <v>1457</v>
      </c>
      <c r="E49" s="202"/>
      <c r="F49" s="203"/>
      <c r="H49" s="233"/>
      <c r="I49" s="189"/>
    </row>
    <row r="50" spans="2:9" x14ac:dyDescent="0.25">
      <c r="B50" s="226" t="s">
        <v>1458</v>
      </c>
      <c r="C50" s="202" t="s">
        <v>1459</v>
      </c>
      <c r="D50" s="202" t="s">
        <v>1460</v>
      </c>
      <c r="E50" s="202"/>
      <c r="F50" s="203"/>
      <c r="H50" s="233"/>
      <c r="I50" s="189"/>
    </row>
    <row r="51" spans="2:9" x14ac:dyDescent="0.25">
      <c r="B51" s="226" t="s">
        <v>1461</v>
      </c>
      <c r="C51" s="202" t="s">
        <v>1462</v>
      </c>
      <c r="D51" s="202" t="s">
        <v>1463</v>
      </c>
      <c r="E51" s="202"/>
      <c r="F51" s="203"/>
      <c r="H51" s="233"/>
      <c r="I51" s="189"/>
    </row>
    <row r="52" spans="2:9" x14ac:dyDescent="0.25">
      <c r="B52" s="226" t="s">
        <v>1464</v>
      </c>
      <c r="C52" s="202" t="s">
        <v>1465</v>
      </c>
      <c r="D52" s="202" t="s">
        <v>1466</v>
      </c>
      <c r="E52" s="202"/>
      <c r="F52" s="203"/>
      <c r="H52" s="233"/>
      <c r="I52" s="189"/>
    </row>
    <row r="53" spans="2:9" x14ac:dyDescent="0.25">
      <c r="B53" s="226" t="s">
        <v>1467</v>
      </c>
      <c r="C53" s="202" t="s">
        <v>1468</v>
      </c>
      <c r="D53" s="202" t="s">
        <v>1469</v>
      </c>
      <c r="E53" s="202"/>
      <c r="F53" s="203"/>
      <c r="H53" s="233"/>
      <c r="I53" s="189"/>
    </row>
    <row r="54" spans="2:9" x14ac:dyDescent="0.25">
      <c r="B54" s="226" t="s">
        <v>1470</v>
      </c>
      <c r="C54" s="202" t="s">
        <v>1471</v>
      </c>
      <c r="D54" s="202" t="s">
        <v>1472</v>
      </c>
      <c r="E54" s="202"/>
      <c r="F54" s="203"/>
      <c r="H54" s="233"/>
      <c r="I54" s="189"/>
    </row>
    <row r="55" spans="2:9" x14ac:dyDescent="0.25">
      <c r="B55" s="226" t="s">
        <v>1473</v>
      </c>
      <c r="C55" s="202" t="s">
        <v>1474</v>
      </c>
      <c r="D55" s="202" t="s">
        <v>1475</v>
      </c>
      <c r="E55" s="202"/>
      <c r="F55" s="203"/>
      <c r="H55" s="233"/>
      <c r="I55" s="189"/>
    </row>
    <row r="56" spans="2:9" ht="15.75" thickBot="1" x14ac:dyDescent="0.3">
      <c r="B56" s="234" t="s">
        <v>1476</v>
      </c>
      <c r="C56" s="235" t="s">
        <v>1477</v>
      </c>
      <c r="D56" s="235" t="s">
        <v>1478</v>
      </c>
      <c r="E56" s="235"/>
      <c r="F56" s="236"/>
      <c r="H56" s="233"/>
      <c r="I56" s="189"/>
    </row>
    <row r="57" spans="2:9" x14ac:dyDescent="0.25">
      <c r="B57" s="230"/>
    </row>
    <row r="58" spans="2:9" ht="15.75" thickBot="1" x14ac:dyDescent="0.3">
      <c r="H58" s="233"/>
    </row>
    <row r="59" spans="2:9" ht="15.75" thickBot="1" x14ac:dyDescent="0.3">
      <c r="C59" s="190" t="s">
        <v>1479</v>
      </c>
      <c r="D59" s="191"/>
      <c r="E59" s="191"/>
    </row>
    <row r="60" spans="2:9" ht="15.75" thickBot="1" x14ac:dyDescent="0.3">
      <c r="B60" s="219" t="s">
        <v>0</v>
      </c>
      <c r="C60" s="220" t="s">
        <v>1</v>
      </c>
      <c r="D60" s="221" t="s">
        <v>5</v>
      </c>
      <c r="E60" s="221" t="s">
        <v>116</v>
      </c>
      <c r="F60" s="222" t="s">
        <v>2</v>
      </c>
      <c r="H60" s="196" t="s">
        <v>1480</v>
      </c>
    </row>
    <row r="61" spans="2:9" x14ac:dyDescent="0.25">
      <c r="B61" s="223" t="s">
        <v>1481</v>
      </c>
      <c r="C61" s="237" t="s">
        <v>378</v>
      </c>
      <c r="D61" s="224" t="s">
        <v>1482</v>
      </c>
      <c r="E61" s="238"/>
      <c r="F61" s="239"/>
      <c r="H61" s="196"/>
    </row>
    <row r="62" spans="2:9" x14ac:dyDescent="0.25">
      <c r="B62" s="201" t="s">
        <v>190</v>
      </c>
      <c r="C62" s="202" t="s">
        <v>379</v>
      </c>
      <c r="D62" s="202" t="s">
        <v>192</v>
      </c>
      <c r="E62" s="202"/>
      <c r="F62" s="203"/>
    </row>
    <row r="63" spans="2:9" x14ac:dyDescent="0.25">
      <c r="B63" s="201" t="s">
        <v>1483</v>
      </c>
      <c r="C63" s="202" t="s">
        <v>379</v>
      </c>
      <c r="D63" s="202" t="s">
        <v>1484</v>
      </c>
      <c r="E63" s="202"/>
      <c r="F63" s="203"/>
    </row>
    <row r="64" spans="2:9" x14ac:dyDescent="0.25">
      <c r="B64" s="201" t="s">
        <v>1485</v>
      </c>
      <c r="C64" s="202" t="s">
        <v>379</v>
      </c>
      <c r="D64" s="202" t="s">
        <v>1486</v>
      </c>
      <c r="E64" s="202"/>
      <c r="F64" s="203"/>
    </row>
    <row r="65" spans="2:6" x14ac:dyDescent="0.25">
      <c r="B65" s="201" t="s">
        <v>1487</v>
      </c>
      <c r="C65" s="202" t="s">
        <v>379</v>
      </c>
      <c r="D65" s="202" t="s">
        <v>1488</v>
      </c>
      <c r="E65" s="202"/>
      <c r="F65" s="203"/>
    </row>
    <row r="66" spans="2:6" x14ac:dyDescent="0.25">
      <c r="B66" s="201" t="s">
        <v>1489</v>
      </c>
      <c r="C66" s="202" t="s">
        <v>379</v>
      </c>
      <c r="D66" s="202" t="s">
        <v>1490</v>
      </c>
      <c r="E66" s="202"/>
      <c r="F66" s="203"/>
    </row>
    <row r="67" spans="2:6" x14ac:dyDescent="0.25">
      <c r="B67" s="201" t="s">
        <v>1491</v>
      </c>
      <c r="C67" s="202" t="s">
        <v>379</v>
      </c>
      <c r="D67" s="202" t="s">
        <v>1492</v>
      </c>
      <c r="E67" s="202"/>
      <c r="F67" s="203"/>
    </row>
    <row r="68" spans="2:6" x14ac:dyDescent="0.25">
      <c r="B68" s="201" t="s">
        <v>1493</v>
      </c>
      <c r="C68" s="202" t="s">
        <v>379</v>
      </c>
      <c r="D68" s="202" t="s">
        <v>1494</v>
      </c>
      <c r="E68" s="202"/>
      <c r="F68" s="203"/>
    </row>
    <row r="69" spans="2:6" x14ac:dyDescent="0.25">
      <c r="B69" s="201" t="s">
        <v>1495</v>
      </c>
      <c r="C69" s="202" t="s">
        <v>379</v>
      </c>
      <c r="D69" s="202" t="s">
        <v>1496</v>
      </c>
      <c r="E69" s="202"/>
      <c r="F69" s="203"/>
    </row>
    <row r="70" spans="2:6" x14ac:dyDescent="0.25">
      <c r="B70" s="201" t="s">
        <v>1497</v>
      </c>
      <c r="C70" s="202" t="s">
        <v>379</v>
      </c>
      <c r="D70" s="202" t="s">
        <v>1498</v>
      </c>
      <c r="E70" s="202"/>
      <c r="F70" s="203"/>
    </row>
    <row r="71" spans="2:6" x14ac:dyDescent="0.25">
      <c r="B71" s="201" t="s">
        <v>1499</v>
      </c>
      <c r="C71" s="202" t="s">
        <v>379</v>
      </c>
      <c r="D71" s="202" t="s">
        <v>1500</v>
      </c>
      <c r="E71" s="202"/>
      <c r="F71" s="203"/>
    </row>
    <row r="72" spans="2:6" x14ac:dyDescent="0.25">
      <c r="B72" s="201" t="s">
        <v>1501</v>
      </c>
      <c r="C72" s="202" t="s">
        <v>379</v>
      </c>
      <c r="D72" s="202" t="s">
        <v>1502</v>
      </c>
      <c r="E72" s="202"/>
      <c r="F72" s="203"/>
    </row>
    <row r="73" spans="2:6" x14ac:dyDescent="0.25">
      <c r="B73" s="201" t="s">
        <v>1503</v>
      </c>
      <c r="C73" s="202" t="s">
        <v>379</v>
      </c>
      <c r="D73" s="202" t="s">
        <v>1504</v>
      </c>
      <c r="E73" s="202"/>
      <c r="F73" s="203"/>
    </row>
    <row r="74" spans="2:6" x14ac:dyDescent="0.25">
      <c r="B74" s="201" t="s">
        <v>1505</v>
      </c>
      <c r="C74" s="202" t="s">
        <v>379</v>
      </c>
      <c r="D74" s="202" t="s">
        <v>1506</v>
      </c>
      <c r="E74" s="202"/>
      <c r="F74" s="203"/>
    </row>
    <row r="75" spans="2:6" x14ac:dyDescent="0.25">
      <c r="B75" s="201" t="s">
        <v>1507</v>
      </c>
      <c r="C75" s="202" t="s">
        <v>379</v>
      </c>
      <c r="D75" s="202" t="s">
        <v>1508</v>
      </c>
      <c r="E75" s="202"/>
      <c r="F75" s="203"/>
    </row>
    <row r="76" spans="2:6" x14ac:dyDescent="0.25">
      <c r="B76" s="201" t="s">
        <v>1509</v>
      </c>
      <c r="C76" s="202" t="s">
        <v>379</v>
      </c>
      <c r="D76" s="202" t="s">
        <v>1510</v>
      </c>
      <c r="E76" s="202"/>
      <c r="F76" s="203"/>
    </row>
    <row r="77" spans="2:6" x14ac:dyDescent="0.25">
      <c r="B77" s="201" t="s">
        <v>1511</v>
      </c>
      <c r="C77" s="202" t="s">
        <v>379</v>
      </c>
      <c r="D77" s="202" t="s">
        <v>1512</v>
      </c>
      <c r="E77" s="202"/>
      <c r="F77" s="203"/>
    </row>
    <row r="78" spans="2:6" x14ac:dyDescent="0.25">
      <c r="B78" s="201" t="s">
        <v>1513</v>
      </c>
      <c r="C78" s="202" t="s">
        <v>379</v>
      </c>
      <c r="D78" s="202" t="s">
        <v>1514</v>
      </c>
      <c r="E78" s="202"/>
      <c r="F78" s="203"/>
    </row>
    <row r="79" spans="2:6" x14ac:dyDescent="0.25">
      <c r="B79" s="201" t="s">
        <v>1515</v>
      </c>
      <c r="C79" s="202" t="s">
        <v>379</v>
      </c>
      <c r="D79" s="202" t="s">
        <v>1516</v>
      </c>
      <c r="E79" s="202"/>
      <c r="F79" s="203"/>
    </row>
    <row r="80" spans="2:6" x14ac:dyDescent="0.25">
      <c r="B80" s="201" t="s">
        <v>1517</v>
      </c>
      <c r="C80" s="202" t="s">
        <v>379</v>
      </c>
      <c r="D80" s="202" t="s">
        <v>1518</v>
      </c>
      <c r="E80" s="202"/>
      <c r="F80" s="203"/>
    </row>
    <row r="81" spans="2:8" x14ac:dyDescent="0.25">
      <c r="B81" s="201" t="s">
        <v>193</v>
      </c>
      <c r="C81" s="202" t="s">
        <v>1519</v>
      </c>
      <c r="D81" s="202" t="s">
        <v>195</v>
      </c>
      <c r="E81" s="202"/>
      <c r="F81" s="203"/>
    </row>
    <row r="82" spans="2:8" x14ac:dyDescent="0.25">
      <c r="B82" s="201" t="s">
        <v>196</v>
      </c>
      <c r="C82" s="227" t="s">
        <v>1520</v>
      </c>
      <c r="D82" s="227" t="s">
        <v>198</v>
      </c>
      <c r="E82" s="227"/>
      <c r="F82" s="229"/>
    </row>
    <row r="83" spans="2:8" x14ac:dyDescent="0.25">
      <c r="B83" s="201" t="s">
        <v>199</v>
      </c>
      <c r="C83" s="227" t="s">
        <v>1521</v>
      </c>
      <c r="D83" s="227" t="s">
        <v>201</v>
      </c>
      <c r="E83" s="227"/>
      <c r="F83" s="229"/>
    </row>
    <row r="84" spans="2:8" x14ac:dyDescent="0.25">
      <c r="B84" s="201" t="s">
        <v>202</v>
      </c>
      <c r="C84" s="227" t="s">
        <v>203</v>
      </c>
      <c r="D84" s="227" t="s">
        <v>204</v>
      </c>
      <c r="E84" s="227"/>
      <c r="F84" s="229"/>
      <c r="H84" s="240" t="s">
        <v>785</v>
      </c>
    </row>
    <row r="85" spans="2:8" x14ac:dyDescent="0.25">
      <c r="B85" s="226" t="s">
        <v>1522</v>
      </c>
      <c r="C85" s="202" t="s">
        <v>1523</v>
      </c>
      <c r="D85" s="202" t="s">
        <v>1524</v>
      </c>
      <c r="E85" s="202"/>
      <c r="F85" s="203"/>
    </row>
    <row r="86" spans="2:8" x14ac:dyDescent="0.25">
      <c r="B86" s="201" t="s">
        <v>205</v>
      </c>
      <c r="C86" s="227" t="s">
        <v>206</v>
      </c>
      <c r="D86" s="227" t="s">
        <v>207</v>
      </c>
      <c r="E86" s="227"/>
      <c r="F86" s="229"/>
    </row>
    <row r="87" spans="2:8" x14ac:dyDescent="0.25">
      <c r="B87" s="201" t="s">
        <v>1525</v>
      </c>
      <c r="C87" s="202" t="s">
        <v>1526</v>
      </c>
      <c r="D87" s="202" t="s">
        <v>1527</v>
      </c>
      <c r="E87" s="202"/>
      <c r="F87" s="203"/>
    </row>
    <row r="88" spans="2:8" x14ac:dyDescent="0.25">
      <c r="B88" s="201" t="s">
        <v>1528</v>
      </c>
      <c r="C88" s="202" t="s">
        <v>1529</v>
      </c>
      <c r="D88" s="202" t="s">
        <v>1530</v>
      </c>
      <c r="E88" s="202"/>
      <c r="F88" s="203"/>
    </row>
    <row r="89" spans="2:8" ht="15.75" thickBot="1" x14ac:dyDescent="0.3">
      <c r="B89" s="241" t="s">
        <v>1531</v>
      </c>
      <c r="C89" s="235" t="s">
        <v>1532</v>
      </c>
      <c r="D89" s="235" t="s">
        <v>1533</v>
      </c>
      <c r="E89" s="235"/>
      <c r="F89" s="236"/>
    </row>
    <row r="90" spans="2:8" ht="15.75" thickBot="1" x14ac:dyDescent="0.3">
      <c r="B90" s="230"/>
      <c r="C90" s="230"/>
      <c r="D90" s="230"/>
      <c r="E90" s="230"/>
      <c r="F90" s="230"/>
    </row>
    <row r="91" spans="2:8" ht="15.75" thickBot="1" x14ac:dyDescent="0.3">
      <c r="C91" s="242" t="s">
        <v>1534</v>
      </c>
      <c r="D91" s="243" t="s">
        <v>1535</v>
      </c>
      <c r="E91" s="191"/>
      <c r="H91" s="243" t="s">
        <v>1536</v>
      </c>
    </row>
    <row r="92" spans="2:8" ht="15.75" thickBot="1" x14ac:dyDescent="0.3">
      <c r="B92" s="219" t="s">
        <v>0</v>
      </c>
      <c r="C92" s="244" t="s">
        <v>1</v>
      </c>
      <c r="D92" s="220" t="s">
        <v>5</v>
      </c>
      <c r="E92" s="245" t="s">
        <v>1537</v>
      </c>
    </row>
    <row r="93" spans="2:8" x14ac:dyDescent="0.25">
      <c r="B93" s="246" t="s">
        <v>1538</v>
      </c>
      <c r="C93" s="247" t="s">
        <v>1539</v>
      </c>
      <c r="D93" s="246" t="s">
        <v>1538</v>
      </c>
      <c r="E93" s="225"/>
    </row>
    <row r="94" spans="2:8" x14ac:dyDescent="0.25">
      <c r="B94" s="248" t="s">
        <v>1540</v>
      </c>
      <c r="C94" s="249" t="s">
        <v>1541</v>
      </c>
      <c r="D94" s="248" t="s">
        <v>1540</v>
      </c>
      <c r="E94" s="203"/>
    </row>
    <row r="95" spans="2:8" x14ac:dyDescent="0.25">
      <c r="B95" s="248" t="s">
        <v>1542</v>
      </c>
      <c r="C95" s="249" t="s">
        <v>1543</v>
      </c>
      <c r="D95" s="248" t="s">
        <v>1542</v>
      </c>
      <c r="E95" s="203"/>
    </row>
    <row r="96" spans="2:8" x14ac:dyDescent="0.25">
      <c r="B96" s="248" t="s">
        <v>1544</v>
      </c>
      <c r="C96" s="249" t="s">
        <v>1545</v>
      </c>
      <c r="D96" s="248" t="s">
        <v>1544</v>
      </c>
      <c r="E96" s="203"/>
    </row>
    <row r="97" spans="2:5" x14ac:dyDescent="0.25">
      <c r="B97" s="248" t="s">
        <v>1546</v>
      </c>
      <c r="C97" s="249" t="s">
        <v>1547</v>
      </c>
      <c r="D97" s="248" t="s">
        <v>1546</v>
      </c>
      <c r="E97" s="203"/>
    </row>
    <row r="98" spans="2:5" x14ac:dyDescent="0.25">
      <c r="B98" s="248" t="s">
        <v>1548</v>
      </c>
      <c r="C98" s="249" t="s">
        <v>1549</v>
      </c>
      <c r="D98" s="248" t="s">
        <v>1548</v>
      </c>
      <c r="E98" s="203"/>
    </row>
    <row r="99" spans="2:5" x14ac:dyDescent="0.25">
      <c r="B99" s="248" t="s">
        <v>1550</v>
      </c>
      <c r="C99" s="249" t="s">
        <v>1551</v>
      </c>
      <c r="D99" s="248" t="s">
        <v>1550</v>
      </c>
      <c r="E99" s="203"/>
    </row>
    <row r="100" spans="2:5" x14ac:dyDescent="0.25">
      <c r="B100" s="248" t="s">
        <v>1552</v>
      </c>
      <c r="C100" s="249" t="s">
        <v>1553</v>
      </c>
      <c r="D100" s="248" t="s">
        <v>1552</v>
      </c>
      <c r="E100" s="203"/>
    </row>
    <row r="101" spans="2:5" x14ac:dyDescent="0.25">
      <c r="B101" s="248" t="s">
        <v>1554</v>
      </c>
      <c r="C101" s="249" t="s">
        <v>1555</v>
      </c>
      <c r="D101" s="248" t="s">
        <v>1554</v>
      </c>
      <c r="E101" s="203"/>
    </row>
    <row r="102" spans="2:5" x14ac:dyDescent="0.25">
      <c r="B102" s="248" t="s">
        <v>1556</v>
      </c>
      <c r="C102" s="249" t="s">
        <v>1557</v>
      </c>
      <c r="D102" s="248" t="s">
        <v>1556</v>
      </c>
      <c r="E102" s="203"/>
    </row>
    <row r="103" spans="2:5" x14ac:dyDescent="0.25">
      <c r="B103" s="248" t="s">
        <v>1558</v>
      </c>
      <c r="C103" s="249" t="s">
        <v>1559</v>
      </c>
      <c r="D103" s="248" t="s">
        <v>1558</v>
      </c>
      <c r="E103" s="203" t="s">
        <v>1560</v>
      </c>
    </row>
    <row r="104" spans="2:5" x14ac:dyDescent="0.25">
      <c r="B104" s="248" t="s">
        <v>1561</v>
      </c>
      <c r="C104" s="249" t="s">
        <v>1562</v>
      </c>
      <c r="D104" s="248" t="s">
        <v>1561</v>
      </c>
      <c r="E104" s="203"/>
    </row>
    <row r="105" spans="2:5" x14ac:dyDescent="0.25">
      <c r="B105" s="248" t="s">
        <v>1563</v>
      </c>
      <c r="C105" s="249" t="s">
        <v>1564</v>
      </c>
      <c r="D105" s="248" t="s">
        <v>1563</v>
      </c>
      <c r="E105" s="203"/>
    </row>
    <row r="106" spans="2:5" x14ac:dyDescent="0.25">
      <c r="B106" s="248" t="s">
        <v>1565</v>
      </c>
      <c r="C106" s="249" t="s">
        <v>1566</v>
      </c>
      <c r="D106" s="248" t="s">
        <v>1565</v>
      </c>
      <c r="E106" s="203"/>
    </row>
    <row r="107" spans="2:5" x14ac:dyDescent="0.25">
      <c r="B107" s="248" t="s">
        <v>1567</v>
      </c>
      <c r="C107" s="249" t="s">
        <v>1568</v>
      </c>
      <c r="D107" s="248" t="s">
        <v>1567</v>
      </c>
      <c r="E107" s="203"/>
    </row>
    <row r="108" spans="2:5" x14ac:dyDescent="0.25">
      <c r="B108" s="248" t="s">
        <v>1569</v>
      </c>
      <c r="C108" s="249" t="s">
        <v>1570</v>
      </c>
      <c r="D108" s="248" t="s">
        <v>1569</v>
      </c>
      <c r="E108" s="203"/>
    </row>
    <row r="109" spans="2:5" x14ac:dyDescent="0.25">
      <c r="B109" s="248" t="s">
        <v>1571</v>
      </c>
      <c r="C109" s="249" t="s">
        <v>1572</v>
      </c>
      <c r="D109" s="248" t="s">
        <v>1571</v>
      </c>
      <c r="E109" s="203"/>
    </row>
    <row r="110" spans="2:5" x14ac:dyDescent="0.25">
      <c r="B110" s="248" t="s">
        <v>1573</v>
      </c>
      <c r="C110" s="249" t="s">
        <v>1574</v>
      </c>
      <c r="D110" s="248" t="s">
        <v>1573</v>
      </c>
      <c r="E110" s="203"/>
    </row>
    <row r="111" spans="2:5" x14ac:dyDescent="0.25">
      <c r="B111" s="248" t="s">
        <v>1575</v>
      </c>
      <c r="C111" s="249" t="s">
        <v>1576</v>
      </c>
      <c r="D111" s="248" t="s">
        <v>1575</v>
      </c>
      <c r="E111" s="203"/>
    </row>
    <row r="112" spans="2:5" x14ac:dyDescent="0.25">
      <c r="B112" s="248" t="s">
        <v>1577</v>
      </c>
      <c r="C112" s="249" t="s">
        <v>1578</v>
      </c>
      <c r="D112" s="248" t="s">
        <v>1577</v>
      </c>
      <c r="E112" s="203"/>
    </row>
    <row r="113" spans="2:5" x14ac:dyDescent="0.25">
      <c r="B113" s="248" t="s">
        <v>1579</v>
      </c>
      <c r="C113" s="249" t="s">
        <v>1519</v>
      </c>
      <c r="D113" s="248" t="s">
        <v>1579</v>
      </c>
      <c r="E113" s="203" t="s">
        <v>1580</v>
      </c>
    </row>
    <row r="114" spans="2:5" x14ac:dyDescent="0.25">
      <c r="B114" s="248" t="s">
        <v>197</v>
      </c>
      <c r="C114" s="249" t="s">
        <v>1581</v>
      </c>
      <c r="D114" s="248" t="s">
        <v>197</v>
      </c>
      <c r="E114" s="203"/>
    </row>
    <row r="115" spans="2:5" x14ac:dyDescent="0.25">
      <c r="B115" s="248" t="s">
        <v>1582</v>
      </c>
      <c r="C115" s="249" t="s">
        <v>1583</v>
      </c>
      <c r="D115" s="248" t="s">
        <v>1582</v>
      </c>
      <c r="E115" s="203"/>
    </row>
    <row r="116" spans="2:5" x14ac:dyDescent="0.25">
      <c r="B116" s="248" t="s">
        <v>1584</v>
      </c>
      <c r="C116" s="249" t="s">
        <v>1585</v>
      </c>
      <c r="D116" s="248" t="s">
        <v>1584</v>
      </c>
      <c r="E116" s="203"/>
    </row>
    <row r="117" spans="2:5" x14ac:dyDescent="0.25">
      <c r="B117" s="248" t="s">
        <v>1586</v>
      </c>
      <c r="C117" s="249" t="s">
        <v>1587</v>
      </c>
      <c r="D117" s="248" t="s">
        <v>1586</v>
      </c>
      <c r="E117" s="203"/>
    </row>
    <row r="118" spans="2:5" x14ac:dyDescent="0.25">
      <c r="B118" s="248" t="s">
        <v>1588</v>
      </c>
      <c r="C118" s="249" t="s">
        <v>1589</v>
      </c>
      <c r="D118" s="248" t="s">
        <v>1588</v>
      </c>
      <c r="E118" s="203"/>
    </row>
    <row r="119" spans="2:5" ht="15.75" thickBot="1" x14ac:dyDescent="0.3">
      <c r="B119" s="250" t="s">
        <v>1590</v>
      </c>
      <c r="C119" s="251" t="s">
        <v>1591</v>
      </c>
      <c r="D119" s="250" t="s">
        <v>1590</v>
      </c>
      <c r="E119" s="236"/>
    </row>
  </sheetData>
  <conditionalFormatting sqref="D40">
    <cfRule type="cellIs" dxfId="82" priority="5" stopIfTrue="1" operator="notEqual">
      <formula>INDIRECT("Dummy_for_Comparison5!"&amp;ADDRESS(ROW(),COLUMN()))</formula>
    </cfRule>
  </conditionalFormatting>
  <conditionalFormatting sqref="D41">
    <cfRule type="cellIs" dxfId="81" priority="4" stopIfTrue="1" operator="notEqual">
      <formula>INDIRECT("Dummy_for_Comparison5!"&amp;ADDRESS(ROW(),COLUMN()))</formula>
    </cfRule>
  </conditionalFormatting>
  <conditionalFormatting sqref="E11:E14">
    <cfRule type="cellIs" dxfId="80" priority="3" stopIfTrue="1" operator="notEqual">
      <formula>INDIRECT("Dummy_for_Comparison3!"&amp;ADDRESS(ROW(),COLUMN()))</formula>
    </cfRule>
  </conditionalFormatting>
  <conditionalFormatting sqref="E9">
    <cfRule type="cellIs" dxfId="79" priority="2" stopIfTrue="1" operator="notEqual">
      <formula>INDIRECT("Dummy_for_Comparison3!"&amp;ADDRESS(ROW(),COLUMN()))</formula>
    </cfRule>
  </conditionalFormatting>
  <conditionalFormatting sqref="E10">
    <cfRule type="cellIs" dxfId="78" priority="1" stopIfTrue="1" operator="notEqual">
      <formula>INDIRECT("Dummy_for_Comparison3!"&amp;ADDRESS(ROW(),COLUMN()))</formula>
    </cfRule>
  </conditionalFormatting>
  <hyperlinks>
    <hyperlink ref="B93" r:id="rId1" display="http://www.cplusplus.com/reference/cmath/cos/" xr:uid="{00000000-0004-0000-1000-000000000000}"/>
    <hyperlink ref="B94" r:id="rId2" display="http://www.cplusplus.com/reference/cmath/sin/" xr:uid="{00000000-0004-0000-1000-000001000000}"/>
    <hyperlink ref="B95" r:id="rId3" display="http://www.cplusplus.com/reference/cmath/tan/" xr:uid="{00000000-0004-0000-1000-000002000000}"/>
    <hyperlink ref="B96" r:id="rId4" display="http://www.cplusplus.com/reference/cmath/acos/" xr:uid="{00000000-0004-0000-1000-000003000000}"/>
    <hyperlink ref="B97" r:id="rId5" display="http://www.cplusplus.com/reference/cmath/asin/" xr:uid="{00000000-0004-0000-1000-000004000000}"/>
    <hyperlink ref="B98" r:id="rId6" display="http://www.cplusplus.com/reference/cmath/atan/" xr:uid="{00000000-0004-0000-1000-000005000000}"/>
    <hyperlink ref="B99" r:id="rId7" display="http://www.cplusplus.com/reference/cmath/atan2/" xr:uid="{00000000-0004-0000-1000-000006000000}"/>
    <hyperlink ref="B100" r:id="rId8" display="http://www.cplusplus.com/reference/cmath/cosh/" xr:uid="{00000000-0004-0000-1000-000007000000}"/>
    <hyperlink ref="B101" r:id="rId9" display="http://www.cplusplus.com/reference/cmath/sinh/" xr:uid="{00000000-0004-0000-1000-000008000000}"/>
    <hyperlink ref="B102" r:id="rId10" display="http://www.cplusplus.com/reference/cmath/tanh/" xr:uid="{00000000-0004-0000-1000-000009000000}"/>
    <hyperlink ref="B103" r:id="rId11" display="http://www.cplusplus.com/reference/cmath/exp/" xr:uid="{00000000-0004-0000-1000-00000A000000}"/>
    <hyperlink ref="B104" r:id="rId12" display="http://www.cplusplus.com/reference/cmath/ldexp/" xr:uid="{00000000-0004-0000-1000-00000B000000}"/>
    <hyperlink ref="B105" r:id="rId13" display="http://www.cplusplus.com/reference/cmath/log/" xr:uid="{00000000-0004-0000-1000-00000C000000}"/>
    <hyperlink ref="B106" r:id="rId14" display="http://www.cplusplus.com/reference/cmath/log10/" xr:uid="{00000000-0004-0000-1000-00000D000000}"/>
    <hyperlink ref="B107" r:id="rId15" display="http://www.cplusplus.com/reference/cmath/sqrt/" xr:uid="{00000000-0004-0000-1000-00000E000000}"/>
    <hyperlink ref="B108" r:id="rId16" display="http://www.cplusplus.com/reference/cmath/ceil/" xr:uid="{00000000-0004-0000-1000-00000F000000}"/>
    <hyperlink ref="B109" r:id="rId17" display="http://www.cplusplus.com/reference/cmath/fabs/" xr:uid="{00000000-0004-0000-1000-000010000000}"/>
    <hyperlink ref="B110" r:id="rId18" display="http://www.cplusplus.com/reference/cmath/floor/" xr:uid="{00000000-0004-0000-1000-000011000000}"/>
    <hyperlink ref="B112" r:id="rId19" display="http://www.cplusplus.com/reference/cmath/fmod/" xr:uid="{00000000-0004-0000-1000-000012000000}"/>
    <hyperlink ref="D93" r:id="rId20" display="http://www.cplusplus.com/reference/cmath/cos/" xr:uid="{00000000-0004-0000-1000-000013000000}"/>
    <hyperlink ref="D94" r:id="rId21" display="http://www.cplusplus.com/reference/cmath/sin/" xr:uid="{00000000-0004-0000-1000-000014000000}"/>
    <hyperlink ref="D95" r:id="rId22" display="http://www.cplusplus.com/reference/cmath/tan/" xr:uid="{00000000-0004-0000-1000-000015000000}"/>
    <hyperlink ref="D96" r:id="rId23" display="http://www.cplusplus.com/reference/cmath/acos/" xr:uid="{00000000-0004-0000-1000-000016000000}"/>
    <hyperlink ref="D97" r:id="rId24" display="http://www.cplusplus.com/reference/cmath/asin/" xr:uid="{00000000-0004-0000-1000-000017000000}"/>
    <hyperlink ref="D98" r:id="rId25" display="http://www.cplusplus.com/reference/cmath/atan/" xr:uid="{00000000-0004-0000-1000-000018000000}"/>
    <hyperlink ref="D99" r:id="rId26" display="http://www.cplusplus.com/reference/cmath/atan2/" xr:uid="{00000000-0004-0000-1000-000019000000}"/>
    <hyperlink ref="D100" r:id="rId27" display="http://www.cplusplus.com/reference/cmath/cosh/" xr:uid="{00000000-0004-0000-1000-00001A000000}"/>
    <hyperlink ref="D101" r:id="rId28" display="http://www.cplusplus.com/reference/cmath/sinh/" xr:uid="{00000000-0004-0000-1000-00001B000000}"/>
    <hyperlink ref="D102" r:id="rId29" display="http://www.cplusplus.com/reference/cmath/tanh/" xr:uid="{00000000-0004-0000-1000-00001C000000}"/>
    <hyperlink ref="D103" r:id="rId30" display="http://www.cplusplus.com/reference/cmath/exp/" xr:uid="{00000000-0004-0000-1000-00001D000000}"/>
    <hyperlink ref="D104" r:id="rId31" display="http://www.cplusplus.com/reference/cmath/ldexp/" xr:uid="{00000000-0004-0000-1000-00001E000000}"/>
    <hyperlink ref="D105" r:id="rId32" display="http://www.cplusplus.com/reference/cmath/log/" xr:uid="{00000000-0004-0000-1000-00001F000000}"/>
    <hyperlink ref="D106" r:id="rId33" display="http://www.cplusplus.com/reference/cmath/log10/" xr:uid="{00000000-0004-0000-1000-000020000000}"/>
    <hyperlink ref="D107" r:id="rId34" display="http://www.cplusplus.com/reference/cmath/sqrt/" xr:uid="{00000000-0004-0000-1000-000021000000}"/>
    <hyperlink ref="D108" r:id="rId35" display="http://www.cplusplus.com/reference/cmath/ceil/" xr:uid="{00000000-0004-0000-1000-000022000000}"/>
    <hyperlink ref="D109" r:id="rId36" display="http://www.cplusplus.com/reference/cmath/fabs/" xr:uid="{00000000-0004-0000-1000-000023000000}"/>
    <hyperlink ref="D110" r:id="rId37" display="http://www.cplusplus.com/reference/cmath/floor/" xr:uid="{00000000-0004-0000-1000-000024000000}"/>
    <hyperlink ref="D112" r:id="rId38" display="http://www.cplusplus.com/reference/cmath/fmod/" xr:uid="{00000000-0004-0000-1000-000025000000}"/>
  </hyperlinks>
  <pageMargins left="0.7" right="0.7" top="0.75" bottom="0.75" header="0.3" footer="0.3"/>
  <pageSetup paperSize="9" orientation="portrait" r:id="rId39"/>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Feuil1"/>
  <dimension ref="A2:L517"/>
  <sheetViews>
    <sheetView showGridLines="0" zoomScaleNormal="100" zoomScalePageLayoutView="85" workbookViewId="0">
      <selection activeCell="B3" sqref="B3:D517"/>
    </sheetView>
  </sheetViews>
  <sheetFormatPr baseColWidth="10" defaultColWidth="9.28515625" defaultRowHeight="15" outlineLevelRow="1" x14ac:dyDescent="0.25"/>
  <cols>
    <col min="1" max="1" width="9.28515625" style="1784"/>
    <col min="2" max="2" width="13.28515625" style="1784" customWidth="1"/>
    <col min="3" max="3" width="58.28515625" style="1784" bestFit="1" customWidth="1"/>
    <col min="4" max="4" width="12.28515625" style="1784" bestFit="1" customWidth="1"/>
    <col min="5" max="5" width="8.7109375" style="1784" bestFit="1" customWidth="1"/>
    <col min="6" max="6" width="10.28515625" style="1784" bestFit="1" customWidth="1"/>
    <col min="7" max="7" width="18" style="1784" bestFit="1" customWidth="1"/>
    <col min="8" max="8" width="8.28515625" style="1784" bestFit="1" customWidth="1"/>
    <col min="9" max="9" width="9.28515625" style="1784"/>
    <col min="10" max="10" width="76.7109375" style="1784" customWidth="1"/>
    <col min="11" max="11" width="9.28515625" style="1784"/>
    <col min="12" max="12" width="29.28515625" style="1784" bestFit="1" customWidth="1"/>
    <col min="13" max="16384" width="9.28515625" style="1784"/>
  </cols>
  <sheetData>
    <row r="2" spans="2:10" ht="15.75" thickBot="1" x14ac:dyDescent="0.3">
      <c r="C2" s="1998" t="s">
        <v>472</v>
      </c>
    </row>
    <row r="3" spans="2:10" ht="15.75" thickBot="1" x14ac:dyDescent="0.3">
      <c r="B3" s="1999" t="s">
        <v>0</v>
      </c>
      <c r="C3" s="2000" t="s">
        <v>1</v>
      </c>
      <c r="D3" s="2001" t="s">
        <v>152</v>
      </c>
      <c r="E3" s="2001" t="s">
        <v>473</v>
      </c>
      <c r="F3" s="2001" t="s">
        <v>474</v>
      </c>
      <c r="G3" s="2001" t="s">
        <v>2</v>
      </c>
      <c r="H3" s="2001" t="s">
        <v>302</v>
      </c>
      <c r="I3" s="2001" t="s">
        <v>116</v>
      </c>
      <c r="J3" s="2002" t="s">
        <v>117</v>
      </c>
    </row>
    <row r="4" spans="2:10" ht="18" x14ac:dyDescent="0.25">
      <c r="B4" s="2003" t="s">
        <v>1004</v>
      </c>
      <c r="C4" s="1785" t="s">
        <v>475</v>
      </c>
      <c r="D4" s="1785">
        <v>1.2059812053432154E-3</v>
      </c>
      <c r="E4" s="1787"/>
      <c r="F4" s="1787"/>
      <c r="G4" s="1785" t="s">
        <v>447</v>
      </c>
      <c r="H4" s="2004"/>
      <c r="I4" s="2004"/>
      <c r="J4" s="1785" t="s">
        <v>4555</v>
      </c>
    </row>
    <row r="5" spans="2:10" ht="18" x14ac:dyDescent="0.25">
      <c r="B5" s="2003" t="s">
        <v>1005</v>
      </c>
      <c r="C5" s="1785" t="s">
        <v>476</v>
      </c>
      <c r="D5" s="1785">
        <v>1842.5346589768687</v>
      </c>
      <c r="E5" s="1787"/>
      <c r="F5" s="1787"/>
      <c r="G5" s="1785" t="s">
        <v>477</v>
      </c>
      <c r="H5" s="2004"/>
      <c r="I5" s="2004"/>
      <c r="J5" s="1785" t="s">
        <v>4555</v>
      </c>
    </row>
    <row r="6" spans="2:10" ht="18" x14ac:dyDescent="0.25">
      <c r="B6" s="2003" t="s">
        <v>1006</v>
      </c>
      <c r="C6" s="1785" t="s">
        <v>478</v>
      </c>
      <c r="D6" s="1785">
        <v>3.5000000000000003E-2</v>
      </c>
      <c r="E6" s="1787"/>
      <c r="F6" s="1787"/>
      <c r="G6" s="1785" t="s">
        <v>447</v>
      </c>
      <c r="H6" s="2004"/>
      <c r="I6" s="2004"/>
      <c r="J6" s="1785" t="s">
        <v>911</v>
      </c>
    </row>
    <row r="7" spans="2:10" ht="18" x14ac:dyDescent="0.25">
      <c r="B7" s="2003" t="s">
        <v>1007</v>
      </c>
      <c r="C7" s="1785" t="s">
        <v>4556</v>
      </c>
      <c r="D7" s="1785">
        <v>2400</v>
      </c>
      <c r="E7" s="1787"/>
      <c r="F7" s="1787"/>
      <c r="G7" s="1785" t="s">
        <v>477</v>
      </c>
      <c r="H7" s="2004"/>
      <c r="I7" s="2004"/>
      <c r="J7" s="1785" t="s">
        <v>911</v>
      </c>
    </row>
    <row r="8" spans="2:10" ht="18" x14ac:dyDescent="0.25">
      <c r="B8" s="2003" t="s">
        <v>1008</v>
      </c>
      <c r="C8" s="1785" t="s">
        <v>480</v>
      </c>
      <c r="D8" s="1785">
        <v>1.9E-3</v>
      </c>
      <c r="E8" s="1787"/>
      <c r="F8" s="1787"/>
      <c r="G8" s="1785" t="s">
        <v>447</v>
      </c>
      <c r="H8" s="2004"/>
      <c r="I8" s="2004"/>
      <c r="J8" s="1785" t="s">
        <v>912</v>
      </c>
    </row>
    <row r="9" spans="2:10" ht="18" x14ac:dyDescent="0.25">
      <c r="B9" s="2003" t="s">
        <v>1009</v>
      </c>
      <c r="C9" s="1785" t="s">
        <v>481</v>
      </c>
      <c r="D9" s="1785">
        <v>1400</v>
      </c>
      <c r="E9" s="1787"/>
      <c r="F9" s="1787"/>
      <c r="G9" s="1785" t="s">
        <v>477</v>
      </c>
      <c r="H9" s="2004"/>
      <c r="I9" s="2004"/>
      <c r="J9" s="1785" t="s">
        <v>912</v>
      </c>
    </row>
    <row r="10" spans="2:10" ht="18" x14ac:dyDescent="0.25">
      <c r="B10" s="2003" t="s">
        <v>1010</v>
      </c>
      <c r="C10" s="1785" t="s">
        <v>482</v>
      </c>
      <c r="D10" s="1785">
        <v>2.5000000000000001E-2</v>
      </c>
      <c r="E10" s="1787"/>
      <c r="F10" s="1787"/>
      <c r="G10" s="1785" t="s">
        <v>447</v>
      </c>
      <c r="H10" s="2004"/>
      <c r="I10" s="2004"/>
      <c r="J10" s="1785" t="s">
        <v>913</v>
      </c>
    </row>
    <row r="11" spans="2:10" ht="18" x14ac:dyDescent="0.25">
      <c r="B11" s="2003" t="s">
        <v>1011</v>
      </c>
      <c r="C11" s="1785" t="s">
        <v>479</v>
      </c>
      <c r="D11" s="1785">
        <v>2600</v>
      </c>
      <c r="E11" s="1787"/>
      <c r="F11" s="1787"/>
      <c r="G11" s="1785" t="s">
        <v>477</v>
      </c>
      <c r="H11" s="2004"/>
      <c r="I11" s="2004"/>
      <c r="J11" s="1785" t="s">
        <v>913</v>
      </c>
    </row>
    <row r="12" spans="2:10" ht="18" x14ac:dyDescent="0.25">
      <c r="B12" s="2003" t="s">
        <v>1012</v>
      </c>
      <c r="C12" s="1785" t="s">
        <v>483</v>
      </c>
      <c r="D12" s="1785">
        <v>6.4999999999999997E-4</v>
      </c>
      <c r="E12" s="1787"/>
      <c r="F12" s="1787"/>
      <c r="G12" s="1785" t="s">
        <v>447</v>
      </c>
      <c r="H12" s="2004"/>
      <c r="I12" s="2004"/>
      <c r="J12" s="1785" t="s">
        <v>914</v>
      </c>
    </row>
    <row r="13" spans="2:10" ht="18" x14ac:dyDescent="0.25">
      <c r="B13" s="2003" t="s">
        <v>1013</v>
      </c>
      <c r="C13" s="1785" t="s">
        <v>484</v>
      </c>
      <c r="D13" s="1785">
        <v>1300</v>
      </c>
      <c r="E13" s="1787"/>
      <c r="F13" s="1787"/>
      <c r="G13" s="1785" t="s">
        <v>477</v>
      </c>
      <c r="H13" s="2004"/>
      <c r="I13" s="2004"/>
      <c r="J13" s="1785" t="s">
        <v>914</v>
      </c>
    </row>
    <row r="14" spans="2:10" ht="18" x14ac:dyDescent="0.25">
      <c r="B14" s="2003" t="s">
        <v>1014</v>
      </c>
      <c r="C14" s="1785" t="s">
        <v>485</v>
      </c>
      <c r="D14" s="1785">
        <v>7.7999999999999999E-4</v>
      </c>
      <c r="E14" s="1787"/>
      <c r="F14" s="1787"/>
      <c r="G14" s="1785" t="s">
        <v>447</v>
      </c>
      <c r="H14" s="2004"/>
      <c r="I14" s="2004"/>
      <c r="J14" s="1785" t="s">
        <v>1195</v>
      </c>
    </row>
    <row r="15" spans="2:10" ht="18" x14ac:dyDescent="0.25">
      <c r="B15" s="2003" t="s">
        <v>1015</v>
      </c>
      <c r="C15" s="1785" t="s">
        <v>486</v>
      </c>
      <c r="D15" s="1785">
        <v>500</v>
      </c>
      <c r="E15" s="1787"/>
      <c r="F15" s="1787"/>
      <c r="G15" s="1785" t="s">
        <v>477</v>
      </c>
      <c r="H15" s="2004"/>
      <c r="I15" s="2004"/>
      <c r="J15" s="1785" t="s">
        <v>1195</v>
      </c>
    </row>
    <row r="16" spans="2:10" ht="18" x14ac:dyDescent="0.25">
      <c r="B16" s="2003" t="s">
        <v>1016</v>
      </c>
      <c r="C16" s="1785" t="s">
        <v>448</v>
      </c>
      <c r="D16" s="1785">
        <v>1.4E-3</v>
      </c>
      <c r="E16" s="1787"/>
      <c r="F16" s="1787"/>
      <c r="G16" s="1785" t="s">
        <v>447</v>
      </c>
      <c r="H16" s="2004"/>
      <c r="I16" s="2004"/>
      <c r="J16" s="1785" t="s">
        <v>1196</v>
      </c>
    </row>
    <row r="17" spans="2:12" ht="18" x14ac:dyDescent="0.25">
      <c r="B17" s="2003" t="s">
        <v>1017</v>
      </c>
      <c r="C17" s="1785" t="s">
        <v>487</v>
      </c>
      <c r="D17" s="1785">
        <v>1600</v>
      </c>
      <c r="E17" s="1787"/>
      <c r="F17" s="1787"/>
      <c r="G17" s="1785" t="s">
        <v>477</v>
      </c>
      <c r="H17" s="2004"/>
      <c r="I17" s="2004"/>
      <c r="J17" s="1785" t="s">
        <v>1196</v>
      </c>
    </row>
    <row r="18" spans="2:12" ht="18" x14ac:dyDescent="0.25">
      <c r="B18" s="2003" t="s">
        <v>1197</v>
      </c>
      <c r="C18" s="1785" t="s">
        <v>1198</v>
      </c>
      <c r="D18" s="1785">
        <v>61</v>
      </c>
      <c r="E18" s="1787"/>
      <c r="F18" s="1787"/>
      <c r="G18" s="1785" t="s">
        <v>447</v>
      </c>
      <c r="H18" s="2004"/>
      <c r="I18" s="2004"/>
      <c r="J18" s="1785" t="s">
        <v>1199</v>
      </c>
    </row>
    <row r="19" spans="2:12" ht="18" x14ac:dyDescent="0.25">
      <c r="B19" s="2003" t="s">
        <v>1200</v>
      </c>
      <c r="C19" s="1785" t="s">
        <v>1201</v>
      </c>
      <c r="D19" s="1785">
        <v>4100</v>
      </c>
      <c r="E19" s="1787"/>
      <c r="F19" s="1787"/>
      <c r="G19" s="1785" t="s">
        <v>477</v>
      </c>
      <c r="H19" s="2004"/>
      <c r="I19" s="2004"/>
      <c r="J19" s="1785" t="s">
        <v>1199</v>
      </c>
    </row>
    <row r="20" spans="2:12" ht="18" x14ac:dyDescent="0.25">
      <c r="B20" s="2003" t="s">
        <v>1153</v>
      </c>
      <c r="C20" s="1785" t="s">
        <v>1202</v>
      </c>
      <c r="D20" s="1785">
        <v>0.1</v>
      </c>
      <c r="E20" s="1787"/>
      <c r="F20" s="1787"/>
      <c r="G20" s="1785" t="s">
        <v>447</v>
      </c>
      <c r="H20" s="2004"/>
      <c r="I20" s="2004"/>
      <c r="J20" s="1785" t="s">
        <v>1203</v>
      </c>
    </row>
    <row r="21" spans="2:12" ht="18" x14ac:dyDescent="0.25">
      <c r="B21" s="2003" t="s">
        <v>1154</v>
      </c>
      <c r="C21" s="1785" t="s">
        <v>1155</v>
      </c>
      <c r="D21" s="1785">
        <v>2200</v>
      </c>
      <c r="E21" s="1787"/>
      <c r="F21" s="1787"/>
      <c r="G21" s="1785" t="s">
        <v>477</v>
      </c>
      <c r="H21" s="2004"/>
      <c r="I21" s="2004"/>
      <c r="J21" s="1785" t="s">
        <v>1203</v>
      </c>
    </row>
    <row r="23" spans="2:12" ht="15.75" thickBot="1" x14ac:dyDescent="0.3">
      <c r="C23" s="1998" t="s">
        <v>3632</v>
      </c>
    </row>
    <row r="24" spans="2:12" ht="15.75" thickBot="1" x14ac:dyDescent="0.3">
      <c r="B24" s="1999" t="s">
        <v>0</v>
      </c>
      <c r="C24" s="2000" t="s">
        <v>1</v>
      </c>
      <c r="D24" s="2001" t="s">
        <v>152</v>
      </c>
      <c r="E24" s="2001" t="s">
        <v>473</v>
      </c>
      <c r="F24" s="2001" t="s">
        <v>474</v>
      </c>
      <c r="G24" s="2001" t="s">
        <v>2</v>
      </c>
      <c r="H24" s="2001" t="s">
        <v>302</v>
      </c>
      <c r="I24" s="2001" t="s">
        <v>116</v>
      </c>
      <c r="J24" s="2002" t="s">
        <v>117</v>
      </c>
    </row>
    <row r="25" spans="2:12" ht="18" x14ac:dyDescent="0.25">
      <c r="B25" s="2003" t="s">
        <v>3294</v>
      </c>
      <c r="C25" s="1785" t="s">
        <v>457</v>
      </c>
      <c r="D25" s="1785">
        <v>2.0900000000000001E-4</v>
      </c>
      <c r="E25" s="1787"/>
      <c r="F25" s="1787"/>
      <c r="G25" s="1785" t="s">
        <v>488</v>
      </c>
      <c r="H25" s="2004">
        <v>2</v>
      </c>
      <c r="I25" s="2004"/>
      <c r="J25" s="1785"/>
    </row>
    <row r="26" spans="2:12" ht="18" x14ac:dyDescent="0.25">
      <c r="B26" s="2003" t="s">
        <v>3295</v>
      </c>
      <c r="C26" s="1785" t="s">
        <v>458</v>
      </c>
      <c r="D26" s="1785">
        <v>1.73E-4</v>
      </c>
      <c r="E26" s="1787"/>
      <c r="F26" s="1787"/>
      <c r="G26" s="1785" t="s">
        <v>488</v>
      </c>
      <c r="H26" s="2004">
        <v>2</v>
      </c>
      <c r="I26" s="2004"/>
      <c r="J26" s="1785"/>
    </row>
    <row r="27" spans="2:12" ht="18" x14ac:dyDescent="0.25">
      <c r="B27" s="2003" t="s">
        <v>3296</v>
      </c>
      <c r="C27" s="1785" t="s">
        <v>1065</v>
      </c>
      <c r="D27" s="1785">
        <f>0.0000693*216/25</f>
        <v>5.9875200000000003E-4</v>
      </c>
      <c r="E27" s="1787"/>
      <c r="F27" s="1787"/>
      <c r="G27" s="1785" t="s">
        <v>488</v>
      </c>
      <c r="H27" s="2004">
        <v>2</v>
      </c>
      <c r="I27" s="2004"/>
      <c r="J27" s="1785"/>
    </row>
    <row r="28" spans="2:12" ht="18" x14ac:dyDescent="0.25">
      <c r="B28" s="2003" t="s">
        <v>3297</v>
      </c>
      <c r="C28" s="1785" t="s">
        <v>459</v>
      </c>
      <c r="D28" s="1785">
        <v>1.65E-4</v>
      </c>
      <c r="E28" s="1787"/>
      <c r="F28" s="1787"/>
      <c r="G28" s="1785" t="s">
        <v>488</v>
      </c>
      <c r="H28" s="2004">
        <v>2</v>
      </c>
      <c r="I28" s="2004"/>
      <c r="J28" s="1785"/>
    </row>
    <row r="29" spans="2:12" ht="18" x14ac:dyDescent="0.25">
      <c r="B29" s="2003" t="s">
        <v>3298</v>
      </c>
      <c r="C29" s="1785" t="s">
        <v>460</v>
      </c>
      <c r="D29" s="1785">
        <v>4.4999999999999999E-4</v>
      </c>
      <c r="E29" s="1787"/>
      <c r="F29" s="1787"/>
      <c r="G29" s="1785" t="s">
        <v>489</v>
      </c>
      <c r="H29" s="2004">
        <v>2</v>
      </c>
      <c r="I29" s="2004"/>
      <c r="J29" s="1785"/>
    </row>
    <row r="30" spans="2:12" ht="18" x14ac:dyDescent="0.25">
      <c r="B30" s="2003" t="s">
        <v>3299</v>
      </c>
      <c r="C30" s="1785" t="s">
        <v>461</v>
      </c>
      <c r="D30" s="1785">
        <v>1.4899999999999999E-4</v>
      </c>
      <c r="E30" s="1787"/>
      <c r="F30" s="1787"/>
      <c r="G30" s="1785" t="s">
        <v>489</v>
      </c>
      <c r="H30" s="2004">
        <v>2</v>
      </c>
      <c r="I30" s="2004"/>
      <c r="J30" s="1785"/>
      <c r="L30" s="1784" t="s">
        <v>4557</v>
      </c>
    </row>
    <row r="31" spans="2:12" ht="18" x14ac:dyDescent="0.25">
      <c r="B31" s="2003" t="s">
        <v>3300</v>
      </c>
      <c r="C31" s="1785" t="s">
        <v>786</v>
      </c>
      <c r="D31" s="1785">
        <f>0.000211</f>
        <v>2.1100000000000001E-4</v>
      </c>
      <c r="E31" s="1787"/>
      <c r="F31" s="1787"/>
      <c r="G31" s="1785" t="s">
        <v>489</v>
      </c>
      <c r="H31" s="2004">
        <v>2</v>
      </c>
      <c r="I31" s="2004"/>
      <c r="J31" s="1785" t="s">
        <v>4558</v>
      </c>
      <c r="K31" s="1785">
        <f>0.0001909*1.024^(25-20)</f>
        <v>2.1493429221625696E-4</v>
      </c>
      <c r="L31" s="1785">
        <v>2.9499999999999999E-5</v>
      </c>
    </row>
    <row r="32" spans="2:12" ht="18" x14ac:dyDescent="0.25">
      <c r="B32" s="2003" t="s">
        <v>3301</v>
      </c>
      <c r="C32" s="1785" t="s">
        <v>1256</v>
      </c>
      <c r="D32" s="1785">
        <f>0.000245</f>
        <v>2.4499999999999999E-4</v>
      </c>
      <c r="E32" s="1787"/>
      <c r="F32" s="1787"/>
      <c r="G32" s="1785" t="s">
        <v>489</v>
      </c>
      <c r="H32" s="2004">
        <v>2</v>
      </c>
      <c r="I32" s="2004"/>
      <c r="J32" s="1785" t="s">
        <v>4558</v>
      </c>
      <c r="K32" s="1785">
        <f>0.00015293*1.024^(25-20)</f>
        <v>1.7218387275344247E-4</v>
      </c>
      <c r="L32" s="1785">
        <v>1.8E-5</v>
      </c>
    </row>
    <row r="33" spans="2:10" ht="18" x14ac:dyDescent="0.25">
      <c r="B33" s="2003" t="s">
        <v>3302</v>
      </c>
      <c r="C33" s="1785" t="s">
        <v>1204</v>
      </c>
      <c r="D33" s="1785">
        <v>1.22E-4</v>
      </c>
      <c r="E33" s="1787"/>
      <c r="F33" s="1787"/>
      <c r="G33" s="1785" t="s">
        <v>488</v>
      </c>
      <c r="H33" s="2004">
        <v>2</v>
      </c>
      <c r="I33" s="2004"/>
      <c r="J33" s="1785"/>
    </row>
    <row r="35" spans="2:10" ht="15.75" thickBot="1" x14ac:dyDescent="0.3">
      <c r="C35" s="1998" t="s">
        <v>490</v>
      </c>
    </row>
    <row r="36" spans="2:10" ht="15.75" thickBot="1" x14ac:dyDescent="0.3">
      <c r="B36" s="1999" t="s">
        <v>0</v>
      </c>
      <c r="C36" s="2000" t="s">
        <v>1</v>
      </c>
      <c r="D36" s="2001" t="s">
        <v>152</v>
      </c>
      <c r="E36" s="2001" t="s">
        <v>473</v>
      </c>
      <c r="F36" s="2001" t="s">
        <v>474</v>
      </c>
      <c r="G36" s="2001" t="s">
        <v>2</v>
      </c>
      <c r="H36" s="2001" t="s">
        <v>302</v>
      </c>
      <c r="I36" s="2001" t="s">
        <v>116</v>
      </c>
      <c r="J36" s="2002" t="s">
        <v>117</v>
      </c>
    </row>
    <row r="37" spans="2:10" ht="18" x14ac:dyDescent="0.25">
      <c r="B37" s="2003" t="s">
        <v>491</v>
      </c>
      <c r="C37" s="1785" t="s">
        <v>492</v>
      </c>
      <c r="D37" s="1785">
        <v>8.0713100000000004</v>
      </c>
      <c r="E37" s="1787"/>
      <c r="F37" s="1787"/>
      <c r="G37" s="1785" t="s">
        <v>282</v>
      </c>
      <c r="H37" s="2004"/>
      <c r="I37" s="2004"/>
      <c r="J37" s="1785"/>
    </row>
    <row r="38" spans="2:10" ht="18" x14ac:dyDescent="0.25">
      <c r="B38" s="2003" t="s">
        <v>493</v>
      </c>
      <c r="C38" s="1785" t="s">
        <v>494</v>
      </c>
      <c r="D38" s="1785">
        <v>1730.63</v>
      </c>
      <c r="E38" s="1787"/>
      <c r="F38" s="1787"/>
      <c r="G38" s="1785" t="s">
        <v>282</v>
      </c>
      <c r="H38" s="2004"/>
      <c r="I38" s="2004"/>
      <c r="J38" s="1785"/>
    </row>
    <row r="39" spans="2:10" ht="18" x14ac:dyDescent="0.25">
      <c r="B39" s="2003" t="s">
        <v>495</v>
      </c>
      <c r="C39" s="1785" t="s">
        <v>496</v>
      </c>
      <c r="D39" s="1785">
        <v>233.42599999999999</v>
      </c>
      <c r="E39" s="1787"/>
      <c r="F39" s="1787"/>
      <c r="G39" s="1785" t="s">
        <v>282</v>
      </c>
      <c r="H39" s="2004"/>
      <c r="I39" s="2004"/>
      <c r="J39" s="1785"/>
    </row>
    <row r="40" spans="2:10" ht="18" x14ac:dyDescent="0.25">
      <c r="B40" s="2003" t="s">
        <v>3303</v>
      </c>
      <c r="C40" s="1785" t="s">
        <v>3304</v>
      </c>
      <c r="D40" s="1785">
        <v>7.2800000000000004E-2</v>
      </c>
      <c r="E40" s="1787"/>
      <c r="F40" s="1787"/>
      <c r="G40" s="1785" t="s">
        <v>3305</v>
      </c>
      <c r="H40" s="2004"/>
      <c r="I40" s="2004"/>
      <c r="J40" s="1785"/>
    </row>
    <row r="41" spans="2:10" ht="18" x14ac:dyDescent="0.25">
      <c r="B41" s="2003" t="s">
        <v>497</v>
      </c>
      <c r="C41" s="1785" t="s">
        <v>3306</v>
      </c>
      <c r="D41" s="1785">
        <v>1000000</v>
      </c>
      <c r="E41" s="1787"/>
      <c r="F41" s="1787"/>
      <c r="G41" s="1785" t="s">
        <v>787</v>
      </c>
      <c r="H41" s="2004"/>
      <c r="I41" s="2004"/>
      <c r="J41" s="1785"/>
    </row>
    <row r="42" spans="2:10" ht="18" x14ac:dyDescent="0.25">
      <c r="B42" s="2003" t="s">
        <v>1592</v>
      </c>
      <c r="C42" s="1785" t="s">
        <v>3307</v>
      </c>
      <c r="D42" s="1785">
        <f>10^-3</f>
        <v>1E-3</v>
      </c>
      <c r="E42" s="1787"/>
      <c r="F42" s="1787"/>
      <c r="G42" s="1785" t="s">
        <v>1593</v>
      </c>
      <c r="H42" s="2004"/>
      <c r="I42" s="2004"/>
      <c r="J42" s="1785"/>
    </row>
    <row r="44" spans="2:10" ht="15.75" thickBot="1" x14ac:dyDescent="0.3">
      <c r="C44" s="1998" t="s">
        <v>498</v>
      </c>
    </row>
    <row r="45" spans="2:10" ht="15.75" thickBot="1" x14ac:dyDescent="0.3">
      <c r="B45" s="1999" t="s">
        <v>0</v>
      </c>
      <c r="C45" s="2000" t="s">
        <v>1</v>
      </c>
      <c r="D45" s="2001" t="s">
        <v>152</v>
      </c>
      <c r="E45" s="2001" t="s">
        <v>473</v>
      </c>
      <c r="F45" s="2001" t="s">
        <v>474</v>
      </c>
      <c r="G45" s="2001" t="s">
        <v>2</v>
      </c>
      <c r="H45" s="2001" t="s">
        <v>302</v>
      </c>
      <c r="I45" s="2001" t="s">
        <v>116</v>
      </c>
      <c r="J45" s="2002" t="s">
        <v>117</v>
      </c>
    </row>
    <row r="46" spans="2:10" ht="18" x14ac:dyDescent="0.25">
      <c r="B46" s="2003" t="s">
        <v>499</v>
      </c>
      <c r="C46" s="1785" t="s">
        <v>500</v>
      </c>
      <c r="D46" s="1785">
        <v>0.20949999999999999</v>
      </c>
      <c r="E46" s="1787">
        <v>0</v>
      </c>
      <c r="F46" s="1787">
        <v>1</v>
      </c>
      <c r="G46" s="1785" t="s">
        <v>501</v>
      </c>
      <c r="H46" s="2004"/>
      <c r="I46" s="2004"/>
      <c r="J46" s="1785"/>
    </row>
    <row r="47" spans="2:10" ht="18" x14ac:dyDescent="0.25">
      <c r="B47" s="2003" t="s">
        <v>502</v>
      </c>
      <c r="C47" s="1785" t="s">
        <v>503</v>
      </c>
      <c r="D47" s="1785">
        <v>0.78080000000000005</v>
      </c>
      <c r="E47" s="1787">
        <v>0</v>
      </c>
      <c r="F47" s="1787">
        <v>1</v>
      </c>
      <c r="G47" s="1785" t="s">
        <v>501</v>
      </c>
      <c r="H47" s="2004"/>
      <c r="I47" s="2004"/>
      <c r="J47" s="1785"/>
    </row>
    <row r="48" spans="2:10" ht="18" x14ac:dyDescent="0.25">
      <c r="B48" s="2003" t="s">
        <v>504</v>
      </c>
      <c r="C48" s="1785" t="s">
        <v>505</v>
      </c>
      <c r="D48" s="1785">
        <v>9.2999999999999992E-3</v>
      </c>
      <c r="E48" s="1787">
        <v>0</v>
      </c>
      <c r="F48" s="1787">
        <v>1</v>
      </c>
      <c r="G48" s="1785" t="s">
        <v>501</v>
      </c>
      <c r="H48" s="2004"/>
      <c r="I48" s="2004"/>
      <c r="J48" s="1785"/>
    </row>
    <row r="49" spans="2:12" ht="18" x14ac:dyDescent="0.25">
      <c r="B49" s="2003" t="s">
        <v>506</v>
      </c>
      <c r="C49" s="1785" t="s">
        <v>507</v>
      </c>
      <c r="D49" s="1785">
        <v>4.0000000000000002E-4</v>
      </c>
      <c r="E49" s="1787">
        <v>0</v>
      </c>
      <c r="F49" s="1787">
        <v>1</v>
      </c>
      <c r="G49" s="1785" t="s">
        <v>501</v>
      </c>
      <c r="H49" s="2004"/>
      <c r="I49" s="2004"/>
      <c r="J49" s="1785"/>
    </row>
    <row r="50" spans="2:12" ht="18" x14ac:dyDescent="0.25">
      <c r="B50" s="2003" t="s">
        <v>3308</v>
      </c>
      <c r="C50" s="1785" t="s">
        <v>3309</v>
      </c>
      <c r="D50" s="1785">
        <v>1200</v>
      </c>
      <c r="E50" s="1787"/>
      <c r="F50" s="1787"/>
      <c r="G50" s="1785" t="s">
        <v>787</v>
      </c>
      <c r="H50" s="2004"/>
      <c r="I50" s="2004"/>
      <c r="J50" s="1785"/>
    </row>
    <row r="51" spans="2:12" ht="18" x14ac:dyDescent="0.25">
      <c r="B51" s="2003" t="s">
        <v>3310</v>
      </c>
      <c r="C51" s="1785" t="s">
        <v>3293</v>
      </c>
      <c r="D51" s="1785">
        <v>101325</v>
      </c>
      <c r="E51" s="1787">
        <v>0</v>
      </c>
      <c r="F51" s="1787"/>
      <c r="G51" s="1785" t="s">
        <v>788</v>
      </c>
      <c r="H51" s="2004"/>
      <c r="I51" s="2004"/>
      <c r="J51" s="1785"/>
    </row>
    <row r="52" spans="2:12" ht="18" x14ac:dyDescent="0.25">
      <c r="B52" s="2003" t="s">
        <v>4559</v>
      </c>
      <c r="C52" s="1785" t="s">
        <v>3311</v>
      </c>
      <c r="D52" s="1785">
        <v>101325</v>
      </c>
      <c r="E52" s="1787">
        <v>0</v>
      </c>
      <c r="F52" s="1787"/>
      <c r="G52" s="1785" t="s">
        <v>788</v>
      </c>
      <c r="H52" s="2004"/>
      <c r="I52" s="2004"/>
      <c r="J52" s="1785"/>
    </row>
    <row r="54" spans="2:12" ht="15.75" thickBot="1" x14ac:dyDescent="0.3">
      <c r="C54" s="1998" t="s">
        <v>3633</v>
      </c>
    </row>
    <row r="55" spans="2:12" ht="15.75" thickBot="1" x14ac:dyDescent="0.3">
      <c r="B55" s="1999" t="s">
        <v>0</v>
      </c>
      <c r="C55" s="2000" t="s">
        <v>1</v>
      </c>
      <c r="D55" s="2001" t="s">
        <v>152</v>
      </c>
      <c r="E55" s="2001" t="s">
        <v>473</v>
      </c>
      <c r="F55" s="2001" t="s">
        <v>474</v>
      </c>
      <c r="G55" s="2001" t="s">
        <v>2</v>
      </c>
      <c r="H55" s="2001" t="s">
        <v>302</v>
      </c>
      <c r="I55" s="2001" t="s">
        <v>116</v>
      </c>
      <c r="J55" s="2002" t="s">
        <v>117</v>
      </c>
    </row>
    <row r="56" spans="2:12" ht="18" x14ac:dyDescent="0.25">
      <c r="B56" s="2003" t="s">
        <v>3318</v>
      </c>
      <c r="C56" s="1785" t="s">
        <v>3319</v>
      </c>
      <c r="D56" s="1785">
        <v>1</v>
      </c>
      <c r="E56" s="1787">
        <v>0</v>
      </c>
      <c r="F56" s="1787">
        <v>1</v>
      </c>
      <c r="G56" s="1785" t="s">
        <v>3320</v>
      </c>
      <c r="H56" s="2004"/>
      <c r="I56" s="2004"/>
      <c r="J56" s="1785" t="s">
        <v>3321</v>
      </c>
    </row>
    <row r="58" spans="2:12" ht="15.75" thickBot="1" x14ac:dyDescent="0.3">
      <c r="C58" s="1998" t="s">
        <v>508</v>
      </c>
    </row>
    <row r="59" spans="2:12" ht="15.75" thickBot="1" x14ac:dyDescent="0.3">
      <c r="B59" s="1999" t="s">
        <v>0</v>
      </c>
      <c r="C59" s="2000" t="s">
        <v>1</v>
      </c>
      <c r="D59" s="2001" t="s">
        <v>152</v>
      </c>
      <c r="E59" s="2001" t="s">
        <v>473</v>
      </c>
      <c r="F59" s="2001" t="s">
        <v>474</v>
      </c>
      <c r="G59" s="2001" t="s">
        <v>2</v>
      </c>
      <c r="H59" s="2001" t="s">
        <v>302</v>
      </c>
      <c r="I59" s="2001" t="s">
        <v>116</v>
      </c>
      <c r="J59" s="2002" t="s">
        <v>117</v>
      </c>
    </row>
    <row r="60" spans="2:12" ht="17.25" x14ac:dyDescent="0.25">
      <c r="B60" s="2003" t="s">
        <v>509</v>
      </c>
      <c r="C60" s="1785" t="s">
        <v>510</v>
      </c>
      <c r="D60" s="1785">
        <v>8.3144721500000003</v>
      </c>
      <c r="E60" s="1787"/>
      <c r="F60" s="1787"/>
      <c r="G60" s="1785" t="s">
        <v>511</v>
      </c>
      <c r="H60" s="2004"/>
      <c r="I60" s="2004"/>
      <c r="J60" s="1785"/>
    </row>
    <row r="61" spans="2:12" ht="18" x14ac:dyDescent="0.25">
      <c r="B61" s="2003" t="s">
        <v>1594</v>
      </c>
      <c r="C61" s="1785" t="s">
        <v>1595</v>
      </c>
      <c r="D61" s="1785">
        <v>287.10199999999998</v>
      </c>
      <c r="E61" s="1787"/>
      <c r="F61" s="1787"/>
      <c r="G61" s="1785" t="s">
        <v>1596</v>
      </c>
      <c r="H61" s="2004"/>
      <c r="I61" s="2004"/>
      <c r="J61" s="1785"/>
    </row>
    <row r="62" spans="2:12" ht="18" x14ac:dyDescent="0.25">
      <c r="B62" s="2003" t="s">
        <v>2354</v>
      </c>
      <c r="C62" s="1785" t="s">
        <v>2355</v>
      </c>
      <c r="D62" s="1785" t="e">
        <f>(T_STP_K*R__)/p_N</f>
        <v>#NAME?</v>
      </c>
      <c r="E62" s="1787"/>
      <c r="F62" s="1787"/>
      <c r="G62" s="1785" t="s">
        <v>2356</v>
      </c>
      <c r="H62" s="2004"/>
      <c r="I62" s="2004"/>
      <c r="J62" s="1785"/>
    </row>
    <row r="63" spans="2:12" x14ac:dyDescent="0.25">
      <c r="B63" s="2003" t="s">
        <v>1597</v>
      </c>
      <c r="C63" s="1785" t="s">
        <v>3634</v>
      </c>
      <c r="D63" s="1785">
        <v>1.4</v>
      </c>
      <c r="E63" s="1787"/>
      <c r="F63" s="1787"/>
      <c r="G63" s="1785" t="s">
        <v>282</v>
      </c>
      <c r="H63" s="2004"/>
      <c r="I63" s="2004"/>
      <c r="J63" s="1785"/>
      <c r="L63" s="1784">
        <v>2.24139952407846E-2</v>
      </c>
    </row>
    <row r="64" spans="2:12" ht="17.25" x14ac:dyDescent="0.25">
      <c r="B64" s="2003" t="s">
        <v>512</v>
      </c>
      <c r="C64" s="1785" t="s">
        <v>513</v>
      </c>
      <c r="D64" s="1785">
        <v>96485.339924</v>
      </c>
      <c r="E64" s="1787"/>
      <c r="F64" s="1787"/>
      <c r="G64" s="1785" t="s">
        <v>514</v>
      </c>
      <c r="H64" s="2004"/>
      <c r="I64" s="2004"/>
      <c r="J64" s="1785"/>
    </row>
    <row r="65" spans="2:10" ht="18" x14ac:dyDescent="0.25">
      <c r="B65" s="2003" t="s">
        <v>515</v>
      </c>
      <c r="C65" s="1785" t="s">
        <v>516</v>
      </c>
      <c r="D65" s="1785">
        <v>9.8066499999999994</v>
      </c>
      <c r="E65" s="1787"/>
      <c r="F65" s="1787"/>
      <c r="G65" s="1785" t="s">
        <v>517</v>
      </c>
      <c r="H65" s="2004"/>
      <c r="I65" s="2004"/>
      <c r="J65" s="1785"/>
    </row>
    <row r="66" spans="2:10" ht="18" x14ac:dyDescent="0.25">
      <c r="B66" s="2003" t="s">
        <v>915</v>
      </c>
      <c r="C66" s="1785" t="s">
        <v>916</v>
      </c>
      <c r="D66" s="1785">
        <v>4.1813000000000002</v>
      </c>
      <c r="E66" s="1787"/>
      <c r="F66" s="1787"/>
      <c r="G66" s="1785" t="s">
        <v>3544</v>
      </c>
      <c r="H66" s="2004"/>
      <c r="I66" s="2004"/>
      <c r="J66" s="1785"/>
    </row>
    <row r="67" spans="2:10" ht="18" x14ac:dyDescent="0.25">
      <c r="B67" s="2003" t="s">
        <v>3322</v>
      </c>
      <c r="C67" s="1785" t="s">
        <v>3323</v>
      </c>
      <c r="D67" s="1785">
        <v>298.14999999999998</v>
      </c>
      <c r="E67" s="1787"/>
      <c r="F67" s="1787"/>
      <c r="G67" s="1785" t="s">
        <v>477</v>
      </c>
      <c r="H67" s="2004"/>
      <c r="I67" s="2004"/>
      <c r="J67" s="1785" t="s">
        <v>3324</v>
      </c>
    </row>
    <row r="68" spans="2:10" ht="18" x14ac:dyDescent="0.25">
      <c r="B68" s="2003" t="s">
        <v>3325</v>
      </c>
      <c r="C68" s="1785" t="s">
        <v>3326</v>
      </c>
      <c r="D68" s="1785">
        <v>293.14999999999998</v>
      </c>
      <c r="E68" s="1787"/>
      <c r="F68" s="1787"/>
      <c r="G68" s="1785" t="s">
        <v>477</v>
      </c>
      <c r="H68" s="2004"/>
      <c r="I68" s="2004"/>
      <c r="J68" s="1785" t="s">
        <v>3327</v>
      </c>
    </row>
    <row r="69" spans="2:10" ht="18" x14ac:dyDescent="0.25">
      <c r="B69" s="2003" t="s">
        <v>3328</v>
      </c>
      <c r="C69" s="1785" t="s">
        <v>3329</v>
      </c>
      <c r="D69" s="1785">
        <v>273.14999999999998</v>
      </c>
      <c r="E69" s="1787"/>
      <c r="F69" s="1787"/>
      <c r="G69" s="1785" t="s">
        <v>477</v>
      </c>
      <c r="H69" s="2004"/>
      <c r="I69" s="2004"/>
      <c r="J69" s="1785" t="s">
        <v>3330</v>
      </c>
    </row>
    <row r="70" spans="2:10" ht="18" x14ac:dyDescent="0.25">
      <c r="B70" s="2003" t="s">
        <v>3331</v>
      </c>
      <c r="C70" s="1785" t="s">
        <v>1205</v>
      </c>
      <c r="D70" s="1785">
        <v>0</v>
      </c>
      <c r="E70" s="1787"/>
      <c r="F70" s="1787"/>
      <c r="G70" s="1785" t="s">
        <v>2962</v>
      </c>
      <c r="H70" s="2004"/>
      <c r="I70" s="2004"/>
      <c r="J70" s="1785" t="s">
        <v>1598</v>
      </c>
    </row>
    <row r="72" spans="2:10" ht="15.75" thickBot="1" x14ac:dyDescent="0.3">
      <c r="C72" s="1998" t="s">
        <v>518</v>
      </c>
    </row>
    <row r="73" spans="2:10" ht="15.75" thickBot="1" x14ac:dyDescent="0.3">
      <c r="B73" s="1999" t="s">
        <v>0</v>
      </c>
      <c r="C73" s="2000" t="s">
        <v>1</v>
      </c>
      <c r="D73" s="2001" t="s">
        <v>152</v>
      </c>
      <c r="E73" s="2001" t="s">
        <v>473</v>
      </c>
      <c r="F73" s="2001" t="s">
        <v>474</v>
      </c>
      <c r="G73" s="2001" t="s">
        <v>2</v>
      </c>
      <c r="H73" s="2001" t="s">
        <v>302</v>
      </c>
      <c r="I73" s="2001" t="s">
        <v>116</v>
      </c>
      <c r="J73" s="2002" t="s">
        <v>117</v>
      </c>
    </row>
    <row r="74" spans="2:10" x14ac:dyDescent="0.25">
      <c r="B74" s="2003" t="s">
        <v>519</v>
      </c>
      <c r="C74" s="1785" t="s">
        <v>520</v>
      </c>
      <c r="D74" s="1785">
        <v>3.1415926500000002</v>
      </c>
      <c r="E74" s="1787"/>
      <c r="F74" s="1787"/>
      <c r="G74" s="1785" t="s">
        <v>282</v>
      </c>
      <c r="H74" s="2004"/>
      <c r="I74" s="2004"/>
      <c r="J74" s="1785"/>
    </row>
    <row r="76" spans="2:10" ht="15.75" thickBot="1" x14ac:dyDescent="0.3">
      <c r="C76" s="1998" t="s">
        <v>521</v>
      </c>
    </row>
    <row r="77" spans="2:10" ht="15.75" thickBot="1" x14ac:dyDescent="0.3">
      <c r="B77" s="1999" t="s">
        <v>0</v>
      </c>
      <c r="C77" s="2000" t="s">
        <v>1</v>
      </c>
      <c r="D77" s="2001" t="s">
        <v>152</v>
      </c>
      <c r="E77" s="2001" t="s">
        <v>473</v>
      </c>
      <c r="F77" s="2001" t="s">
        <v>474</v>
      </c>
      <c r="G77" s="2001" t="s">
        <v>2</v>
      </c>
      <c r="H77" s="2001" t="s">
        <v>302</v>
      </c>
      <c r="I77" s="2001" t="s">
        <v>116</v>
      </c>
      <c r="J77" s="2002" t="s">
        <v>117</v>
      </c>
    </row>
    <row r="78" spans="2:10" ht="18" hidden="1" outlineLevel="1" x14ac:dyDescent="0.25">
      <c r="B78" s="2003" t="s">
        <v>372</v>
      </c>
      <c r="C78" s="1785" t="s">
        <v>271</v>
      </c>
      <c r="D78" s="1785">
        <v>1.0079400000000001</v>
      </c>
      <c r="E78" s="1787"/>
      <c r="F78" s="1787"/>
      <c r="G78" s="1785" t="s">
        <v>364</v>
      </c>
      <c r="H78" s="2004"/>
      <c r="I78" s="2004"/>
      <c r="J78" s="1785"/>
    </row>
    <row r="79" spans="2:10" ht="18" hidden="1" outlineLevel="1" x14ac:dyDescent="0.25">
      <c r="B79" s="2003" t="s">
        <v>522</v>
      </c>
      <c r="C79" s="1785" t="s">
        <v>523</v>
      </c>
      <c r="D79" s="1785">
        <v>4.0026020000000004</v>
      </c>
      <c r="E79" s="1787"/>
      <c r="F79" s="1787"/>
      <c r="G79" s="1785" t="s">
        <v>364</v>
      </c>
      <c r="H79" s="2004"/>
      <c r="I79" s="2004"/>
      <c r="J79" s="1785"/>
    </row>
    <row r="80" spans="2:10" ht="18" hidden="1" outlineLevel="1" x14ac:dyDescent="0.25">
      <c r="B80" s="2003" t="s">
        <v>524</v>
      </c>
      <c r="C80" s="1785" t="s">
        <v>525</v>
      </c>
      <c r="D80" s="1785">
        <v>6.9409999999999998</v>
      </c>
      <c r="E80" s="1787"/>
      <c r="F80" s="1787"/>
      <c r="G80" s="1785" t="s">
        <v>364</v>
      </c>
      <c r="H80" s="2004"/>
      <c r="I80" s="2004"/>
      <c r="J80" s="1785"/>
    </row>
    <row r="81" spans="2:10" ht="18" hidden="1" outlineLevel="1" x14ac:dyDescent="0.25">
      <c r="B81" s="2003" t="s">
        <v>526</v>
      </c>
      <c r="C81" s="1785" t="s">
        <v>527</v>
      </c>
      <c r="D81" s="1785">
        <v>9.0121819999999992</v>
      </c>
      <c r="E81" s="1787"/>
      <c r="F81" s="1787"/>
      <c r="G81" s="1785" t="s">
        <v>364</v>
      </c>
      <c r="H81" s="2004"/>
      <c r="I81" s="2004"/>
      <c r="J81" s="1785"/>
    </row>
    <row r="82" spans="2:10" ht="18" hidden="1" outlineLevel="1" x14ac:dyDescent="0.25">
      <c r="B82" s="2003" t="s">
        <v>528</v>
      </c>
      <c r="C82" s="1785" t="s">
        <v>529</v>
      </c>
      <c r="D82" s="1785">
        <v>10.811</v>
      </c>
      <c r="E82" s="1787"/>
      <c r="F82" s="1787"/>
      <c r="G82" s="1785" t="s">
        <v>364</v>
      </c>
      <c r="H82" s="2004"/>
      <c r="I82" s="2004"/>
      <c r="J82" s="1785"/>
    </row>
    <row r="83" spans="2:10" ht="18" hidden="1" outlineLevel="1" x14ac:dyDescent="0.25">
      <c r="B83" s="2003" t="s">
        <v>363</v>
      </c>
      <c r="C83" s="1785" t="s">
        <v>278</v>
      </c>
      <c r="D83" s="1785">
        <v>12.0107</v>
      </c>
      <c r="E83" s="1787"/>
      <c r="F83" s="1787"/>
      <c r="G83" s="1785" t="s">
        <v>364</v>
      </c>
      <c r="H83" s="2004"/>
      <c r="I83" s="2004"/>
      <c r="J83" s="1785"/>
    </row>
    <row r="84" spans="2:10" ht="18" hidden="1" outlineLevel="1" x14ac:dyDescent="0.25">
      <c r="B84" s="2003" t="s">
        <v>366</v>
      </c>
      <c r="C84" s="1785" t="s">
        <v>262</v>
      </c>
      <c r="D84" s="1785">
        <v>14.0067</v>
      </c>
      <c r="E84" s="1787"/>
      <c r="F84" s="1787"/>
      <c r="G84" s="1785" t="s">
        <v>364</v>
      </c>
      <c r="H84" s="2004"/>
      <c r="I84" s="2004"/>
      <c r="J84" s="1785"/>
    </row>
    <row r="85" spans="2:10" ht="18" hidden="1" outlineLevel="1" x14ac:dyDescent="0.25">
      <c r="B85" s="2003" t="s">
        <v>367</v>
      </c>
      <c r="C85" s="1785" t="s">
        <v>261</v>
      </c>
      <c r="D85" s="1785">
        <v>15.9994</v>
      </c>
      <c r="E85" s="1787"/>
      <c r="F85" s="1787"/>
      <c r="G85" s="1785" t="s">
        <v>364</v>
      </c>
      <c r="H85" s="2004"/>
      <c r="I85" s="2004"/>
      <c r="J85" s="1785"/>
    </row>
    <row r="86" spans="2:10" ht="18" hidden="1" outlineLevel="1" x14ac:dyDescent="0.25">
      <c r="B86" s="2003" t="s">
        <v>530</v>
      </c>
      <c r="C86" s="1785" t="s">
        <v>531</v>
      </c>
      <c r="D86" s="1785">
        <v>18.998403</v>
      </c>
      <c r="E86" s="1787"/>
      <c r="F86" s="1787"/>
      <c r="G86" s="1785" t="s">
        <v>364</v>
      </c>
      <c r="H86" s="2004"/>
      <c r="I86" s="2004"/>
      <c r="J86" s="1785"/>
    </row>
    <row r="87" spans="2:10" ht="18" hidden="1" outlineLevel="1" x14ac:dyDescent="0.25">
      <c r="B87" s="2003" t="s">
        <v>532</v>
      </c>
      <c r="C87" s="1785" t="s">
        <v>533</v>
      </c>
      <c r="D87" s="1785">
        <v>20.1797</v>
      </c>
      <c r="E87" s="1787"/>
      <c r="F87" s="1787"/>
      <c r="G87" s="1785" t="s">
        <v>364</v>
      </c>
      <c r="H87" s="2004"/>
      <c r="I87" s="2004"/>
      <c r="J87" s="1785"/>
    </row>
    <row r="88" spans="2:10" ht="18" hidden="1" outlineLevel="1" x14ac:dyDescent="0.25">
      <c r="B88" s="2003" t="s">
        <v>373</v>
      </c>
      <c r="C88" s="1785" t="s">
        <v>291</v>
      </c>
      <c r="D88" s="1785">
        <v>22.989768999999999</v>
      </c>
      <c r="E88" s="1787"/>
      <c r="F88" s="1787"/>
      <c r="G88" s="1785" t="s">
        <v>364</v>
      </c>
      <c r="H88" s="2004"/>
      <c r="I88" s="2004"/>
      <c r="J88" s="1785"/>
    </row>
    <row r="89" spans="2:10" ht="18" hidden="1" outlineLevel="1" x14ac:dyDescent="0.25">
      <c r="B89" s="2003" t="s">
        <v>534</v>
      </c>
      <c r="C89" s="1785" t="s">
        <v>535</v>
      </c>
      <c r="D89" s="1785">
        <v>24.305</v>
      </c>
      <c r="E89" s="1787"/>
      <c r="F89" s="1787"/>
      <c r="G89" s="1785" t="s">
        <v>364</v>
      </c>
      <c r="H89" s="2004"/>
      <c r="I89" s="2004"/>
      <c r="J89" s="1785"/>
    </row>
    <row r="90" spans="2:10" ht="18" hidden="1" outlineLevel="1" x14ac:dyDescent="0.25">
      <c r="B90" s="2003" t="s">
        <v>371</v>
      </c>
      <c r="C90" s="1785" t="s">
        <v>265</v>
      </c>
      <c r="D90" s="1785">
        <v>26.9815</v>
      </c>
      <c r="E90" s="1787"/>
      <c r="F90" s="1787"/>
      <c r="G90" s="1785" t="s">
        <v>364</v>
      </c>
      <c r="H90" s="2004"/>
      <c r="I90" s="2004"/>
      <c r="J90" s="1785"/>
    </row>
    <row r="91" spans="2:10" ht="18" hidden="1" outlineLevel="1" x14ac:dyDescent="0.25">
      <c r="B91" s="2003" t="s">
        <v>536</v>
      </c>
      <c r="C91" s="1785" t="s">
        <v>537</v>
      </c>
      <c r="D91" s="1785">
        <v>28.0855</v>
      </c>
      <c r="E91" s="1787"/>
      <c r="F91" s="1787"/>
      <c r="G91" s="1785" t="s">
        <v>364</v>
      </c>
      <c r="H91" s="2004"/>
      <c r="I91" s="2004"/>
      <c r="J91" s="1785"/>
    </row>
    <row r="92" spans="2:10" ht="18" hidden="1" outlineLevel="1" x14ac:dyDescent="0.25">
      <c r="B92" s="2003" t="s">
        <v>365</v>
      </c>
      <c r="C92" s="1785" t="s">
        <v>266</v>
      </c>
      <c r="D92" s="1785">
        <v>30.973762199999999</v>
      </c>
      <c r="E92" s="1787"/>
      <c r="F92" s="1787"/>
      <c r="G92" s="1785" t="s">
        <v>364</v>
      </c>
      <c r="H92" s="2004"/>
      <c r="I92" s="2004"/>
      <c r="J92" s="1785"/>
    </row>
    <row r="93" spans="2:10" ht="18" hidden="1" outlineLevel="1" x14ac:dyDescent="0.25">
      <c r="B93" s="2003" t="s">
        <v>538</v>
      </c>
      <c r="C93" s="1785" t="s">
        <v>539</v>
      </c>
      <c r="D93" s="1785">
        <v>32.064999999999998</v>
      </c>
      <c r="E93" s="1787"/>
      <c r="F93" s="1787"/>
      <c r="G93" s="1785" t="s">
        <v>364</v>
      </c>
      <c r="H93" s="2004"/>
      <c r="I93" s="2004"/>
      <c r="J93" s="1785"/>
    </row>
    <row r="94" spans="2:10" ht="18" hidden="1" outlineLevel="1" x14ac:dyDescent="0.25">
      <c r="B94" s="2003" t="s">
        <v>374</v>
      </c>
      <c r="C94" s="1785" t="s">
        <v>375</v>
      </c>
      <c r="D94" s="1785">
        <v>35.453000000000003</v>
      </c>
      <c r="E94" s="1787"/>
      <c r="F94" s="1787"/>
      <c r="G94" s="1785" t="s">
        <v>364</v>
      </c>
      <c r="H94" s="2004"/>
      <c r="I94" s="2004"/>
      <c r="J94" s="1785"/>
    </row>
    <row r="95" spans="2:10" ht="18" hidden="1" outlineLevel="1" x14ac:dyDescent="0.25">
      <c r="B95" s="2003" t="s">
        <v>540</v>
      </c>
      <c r="C95" s="1785" t="s">
        <v>541</v>
      </c>
      <c r="D95" s="1785">
        <v>39.948</v>
      </c>
      <c r="E95" s="1787"/>
      <c r="F95" s="1787"/>
      <c r="G95" s="1785" t="s">
        <v>364</v>
      </c>
      <c r="H95" s="2004"/>
      <c r="I95" s="2004"/>
      <c r="J95" s="1785"/>
    </row>
    <row r="96" spans="2:10" ht="18" hidden="1" outlineLevel="1" x14ac:dyDescent="0.25">
      <c r="B96" s="2003" t="s">
        <v>542</v>
      </c>
      <c r="C96" s="1785" t="s">
        <v>543</v>
      </c>
      <c r="D96" s="1785">
        <v>39.098300000000002</v>
      </c>
      <c r="E96" s="1787"/>
      <c r="F96" s="1787"/>
      <c r="G96" s="1785" t="s">
        <v>364</v>
      </c>
      <c r="H96" s="2004"/>
      <c r="I96" s="2004"/>
      <c r="J96" s="1785"/>
    </row>
    <row r="97" spans="2:10" ht="18" hidden="1" outlineLevel="1" x14ac:dyDescent="0.25">
      <c r="B97" s="2003" t="s">
        <v>368</v>
      </c>
      <c r="C97" s="1785" t="s">
        <v>369</v>
      </c>
      <c r="D97" s="1785">
        <v>40.078000000000003</v>
      </c>
      <c r="E97" s="1787"/>
      <c r="F97" s="1787"/>
      <c r="G97" s="1785" t="s">
        <v>364</v>
      </c>
      <c r="H97" s="2004"/>
      <c r="I97" s="2004"/>
      <c r="J97" s="1785"/>
    </row>
    <row r="98" spans="2:10" ht="18" hidden="1" outlineLevel="1" x14ac:dyDescent="0.25">
      <c r="B98" s="2003" t="s">
        <v>544</v>
      </c>
      <c r="C98" s="1785" t="s">
        <v>545</v>
      </c>
      <c r="D98" s="1785">
        <v>44.955911999999998</v>
      </c>
      <c r="E98" s="1787"/>
      <c r="F98" s="1787"/>
      <c r="G98" s="1785" t="s">
        <v>364</v>
      </c>
      <c r="H98" s="2004"/>
      <c r="I98" s="2004"/>
      <c r="J98" s="1785"/>
    </row>
    <row r="99" spans="2:10" ht="18" hidden="1" outlineLevel="1" x14ac:dyDescent="0.25">
      <c r="B99" s="2003" t="s">
        <v>546</v>
      </c>
      <c r="C99" s="1785" t="s">
        <v>547</v>
      </c>
      <c r="D99" s="1785">
        <v>47.866999999999997</v>
      </c>
      <c r="E99" s="1787"/>
      <c r="F99" s="1787"/>
      <c r="G99" s="1785" t="s">
        <v>364</v>
      </c>
      <c r="H99" s="2004"/>
      <c r="I99" s="2004"/>
      <c r="J99" s="1785"/>
    </row>
    <row r="100" spans="2:10" ht="18" hidden="1" outlineLevel="1" x14ac:dyDescent="0.25">
      <c r="B100" s="2003" t="s">
        <v>548</v>
      </c>
      <c r="C100" s="1785" t="s">
        <v>549</v>
      </c>
      <c r="D100" s="1785">
        <v>50.941499999999998</v>
      </c>
      <c r="E100" s="1787"/>
      <c r="F100" s="1787"/>
      <c r="G100" s="1785" t="s">
        <v>364</v>
      </c>
      <c r="H100" s="2004"/>
      <c r="I100" s="2004"/>
      <c r="J100" s="1785"/>
    </row>
    <row r="101" spans="2:10" ht="18" hidden="1" outlineLevel="1" x14ac:dyDescent="0.25">
      <c r="B101" s="2003" t="s">
        <v>550</v>
      </c>
      <c r="C101" s="1785" t="s">
        <v>551</v>
      </c>
      <c r="D101" s="1785">
        <v>51.996099999999998</v>
      </c>
      <c r="E101" s="1787"/>
      <c r="F101" s="1787"/>
      <c r="G101" s="1785" t="s">
        <v>364</v>
      </c>
      <c r="H101" s="2004"/>
      <c r="I101" s="2004"/>
      <c r="J101" s="1785"/>
    </row>
    <row r="102" spans="2:10" ht="18" hidden="1" outlineLevel="1" x14ac:dyDescent="0.25">
      <c r="B102" s="2003" t="s">
        <v>552</v>
      </c>
      <c r="C102" s="1785" t="s">
        <v>553</v>
      </c>
      <c r="D102" s="1785">
        <v>54.938045000000002</v>
      </c>
      <c r="E102" s="1787"/>
      <c r="F102" s="1787"/>
      <c r="G102" s="1785" t="s">
        <v>364</v>
      </c>
      <c r="H102" s="2004"/>
      <c r="I102" s="2004"/>
      <c r="J102" s="1785"/>
    </row>
    <row r="103" spans="2:10" ht="18" hidden="1" outlineLevel="1" x14ac:dyDescent="0.25">
      <c r="B103" s="2003" t="s">
        <v>370</v>
      </c>
      <c r="C103" s="1785" t="s">
        <v>264</v>
      </c>
      <c r="D103" s="1785">
        <v>55.844999999999999</v>
      </c>
      <c r="E103" s="1787"/>
      <c r="F103" s="1787"/>
      <c r="G103" s="1785" t="s">
        <v>364</v>
      </c>
      <c r="H103" s="2004"/>
      <c r="I103" s="2004"/>
      <c r="J103" s="1785"/>
    </row>
    <row r="104" spans="2:10" ht="18" hidden="1" outlineLevel="1" x14ac:dyDescent="0.25">
      <c r="B104" s="2003" t="s">
        <v>554</v>
      </c>
      <c r="C104" s="1785" t="s">
        <v>555</v>
      </c>
      <c r="D104" s="1785">
        <v>58.933194999999998</v>
      </c>
      <c r="E104" s="1787"/>
      <c r="F104" s="1787"/>
      <c r="G104" s="1785" t="s">
        <v>364</v>
      </c>
      <c r="H104" s="2004"/>
      <c r="I104" s="2004"/>
      <c r="J104" s="1785"/>
    </row>
    <row r="105" spans="2:10" ht="18" hidden="1" outlineLevel="1" x14ac:dyDescent="0.25">
      <c r="B105" s="2003" t="s">
        <v>556</v>
      </c>
      <c r="C105" s="1785" t="s">
        <v>557</v>
      </c>
      <c r="D105" s="1785">
        <v>58.693399999999997</v>
      </c>
      <c r="E105" s="1787"/>
      <c r="F105" s="1787"/>
      <c r="G105" s="1785" t="s">
        <v>364</v>
      </c>
      <c r="H105" s="2004"/>
      <c r="I105" s="2004"/>
      <c r="J105" s="1785"/>
    </row>
    <row r="106" spans="2:10" ht="18" hidden="1" outlineLevel="1" x14ac:dyDescent="0.25">
      <c r="B106" s="2003" t="s">
        <v>558</v>
      </c>
      <c r="C106" s="1785" t="s">
        <v>559</v>
      </c>
      <c r="D106" s="1785">
        <v>63.545999999999999</v>
      </c>
      <c r="E106" s="1787"/>
      <c r="F106" s="1787"/>
      <c r="G106" s="1785" t="s">
        <v>364</v>
      </c>
      <c r="H106" s="2004"/>
      <c r="I106" s="2004"/>
      <c r="J106" s="1785"/>
    </row>
    <row r="107" spans="2:10" ht="18" hidden="1" outlineLevel="1" x14ac:dyDescent="0.25">
      <c r="B107" s="2003" t="s">
        <v>560</v>
      </c>
      <c r="C107" s="1785" t="s">
        <v>561</v>
      </c>
      <c r="D107" s="1785">
        <v>65.38</v>
      </c>
      <c r="E107" s="1787"/>
      <c r="F107" s="1787"/>
      <c r="G107" s="1785" t="s">
        <v>364</v>
      </c>
      <c r="H107" s="2004"/>
      <c r="I107" s="2004"/>
      <c r="J107" s="1785"/>
    </row>
    <row r="108" spans="2:10" ht="18" hidden="1" outlineLevel="1" x14ac:dyDescent="0.25">
      <c r="B108" s="2003" t="s">
        <v>562</v>
      </c>
      <c r="C108" s="1785" t="s">
        <v>563</v>
      </c>
      <c r="D108" s="1785">
        <v>69.722999999999999</v>
      </c>
      <c r="E108" s="1787"/>
      <c r="F108" s="1787"/>
      <c r="G108" s="1785" t="s">
        <v>364</v>
      </c>
      <c r="H108" s="2004"/>
      <c r="I108" s="2004"/>
      <c r="J108" s="1785"/>
    </row>
    <row r="109" spans="2:10" ht="18" hidden="1" outlineLevel="1" x14ac:dyDescent="0.25">
      <c r="B109" s="2003" t="s">
        <v>564</v>
      </c>
      <c r="C109" s="1785" t="s">
        <v>565</v>
      </c>
      <c r="D109" s="1785">
        <v>72.64</v>
      </c>
      <c r="E109" s="1787"/>
      <c r="F109" s="1787"/>
      <c r="G109" s="1785" t="s">
        <v>364</v>
      </c>
      <c r="H109" s="2004"/>
      <c r="I109" s="2004"/>
      <c r="J109" s="1785"/>
    </row>
    <row r="110" spans="2:10" ht="18" hidden="1" outlineLevel="1" x14ac:dyDescent="0.25">
      <c r="B110" s="2003" t="s">
        <v>566</v>
      </c>
      <c r="C110" s="1785" t="s">
        <v>567</v>
      </c>
      <c r="D110" s="1785">
        <v>74.921599999999998</v>
      </c>
      <c r="E110" s="1787"/>
      <c r="F110" s="1787"/>
      <c r="G110" s="1785" t="s">
        <v>364</v>
      </c>
      <c r="H110" s="2004"/>
      <c r="I110" s="2004"/>
      <c r="J110" s="1785"/>
    </row>
    <row r="111" spans="2:10" ht="18" hidden="1" outlineLevel="1" x14ac:dyDescent="0.25">
      <c r="B111" s="2003" t="s">
        <v>568</v>
      </c>
      <c r="C111" s="1785" t="s">
        <v>569</v>
      </c>
      <c r="D111" s="1785">
        <v>78.959999999999994</v>
      </c>
      <c r="E111" s="1787"/>
      <c r="F111" s="1787"/>
      <c r="G111" s="1785" t="s">
        <v>364</v>
      </c>
      <c r="H111" s="2004"/>
      <c r="I111" s="2004"/>
      <c r="J111" s="1785"/>
    </row>
    <row r="112" spans="2:10" ht="18" hidden="1" outlineLevel="1" x14ac:dyDescent="0.25">
      <c r="B112" s="2003" t="s">
        <v>570</v>
      </c>
      <c r="C112" s="1785" t="s">
        <v>571</v>
      </c>
      <c r="D112" s="1785">
        <v>79.903999999999996</v>
      </c>
      <c r="E112" s="1787"/>
      <c r="F112" s="1787"/>
      <c r="G112" s="1785" t="s">
        <v>364</v>
      </c>
      <c r="H112" s="2004"/>
      <c r="I112" s="2004"/>
      <c r="J112" s="1785"/>
    </row>
    <row r="113" spans="2:10" ht="18" hidden="1" outlineLevel="1" x14ac:dyDescent="0.25">
      <c r="B113" s="2003" t="s">
        <v>572</v>
      </c>
      <c r="C113" s="1785" t="s">
        <v>573</v>
      </c>
      <c r="D113" s="1785">
        <v>83.798000000000002</v>
      </c>
      <c r="E113" s="1787"/>
      <c r="F113" s="1787"/>
      <c r="G113" s="1785" t="s">
        <v>364</v>
      </c>
      <c r="H113" s="2004"/>
      <c r="I113" s="2004"/>
      <c r="J113" s="1785"/>
    </row>
    <row r="114" spans="2:10" ht="18" hidden="1" outlineLevel="1" x14ac:dyDescent="0.25">
      <c r="B114" s="2003" t="s">
        <v>574</v>
      </c>
      <c r="C114" s="1785" t="s">
        <v>575</v>
      </c>
      <c r="D114" s="1785">
        <v>85.467799999999997</v>
      </c>
      <c r="E114" s="1787"/>
      <c r="F114" s="1787"/>
      <c r="G114" s="1785" t="s">
        <v>364</v>
      </c>
      <c r="H114" s="2004"/>
      <c r="I114" s="2004"/>
      <c r="J114" s="1785"/>
    </row>
    <row r="115" spans="2:10" ht="18" hidden="1" outlineLevel="1" x14ac:dyDescent="0.25">
      <c r="B115" s="2003" t="s">
        <v>576</v>
      </c>
      <c r="C115" s="1785" t="s">
        <v>577</v>
      </c>
      <c r="D115" s="1785">
        <v>87.62</v>
      </c>
      <c r="E115" s="1787"/>
      <c r="F115" s="1787"/>
      <c r="G115" s="1785" t="s">
        <v>364</v>
      </c>
      <c r="H115" s="2004"/>
      <c r="I115" s="2004"/>
      <c r="J115" s="1785"/>
    </row>
    <row r="116" spans="2:10" ht="18" hidden="1" outlineLevel="1" x14ac:dyDescent="0.25">
      <c r="B116" s="2003" t="s">
        <v>578</v>
      </c>
      <c r="C116" s="1785" t="s">
        <v>579</v>
      </c>
      <c r="D116" s="1785">
        <v>88.905850000000001</v>
      </c>
      <c r="E116" s="1787"/>
      <c r="F116" s="1787"/>
      <c r="G116" s="1785" t="s">
        <v>364</v>
      </c>
      <c r="H116" s="2004"/>
      <c r="I116" s="2004"/>
      <c r="J116" s="1785"/>
    </row>
    <row r="117" spans="2:10" ht="18" hidden="1" outlineLevel="1" x14ac:dyDescent="0.25">
      <c r="B117" s="2003" t="s">
        <v>580</v>
      </c>
      <c r="C117" s="1785" t="s">
        <v>581</v>
      </c>
      <c r="D117" s="1785">
        <v>91.224000000000004</v>
      </c>
      <c r="E117" s="1787"/>
      <c r="F117" s="1787"/>
      <c r="G117" s="1785" t="s">
        <v>364</v>
      </c>
      <c r="H117" s="2004"/>
      <c r="I117" s="2004"/>
      <c r="J117" s="1785"/>
    </row>
    <row r="118" spans="2:10" ht="18" hidden="1" outlineLevel="1" x14ac:dyDescent="0.25">
      <c r="B118" s="2003" t="s">
        <v>582</v>
      </c>
      <c r="C118" s="1785" t="s">
        <v>583</v>
      </c>
      <c r="D118" s="1785">
        <v>92.906379999999999</v>
      </c>
      <c r="E118" s="1787"/>
      <c r="F118" s="1787"/>
      <c r="G118" s="1785" t="s">
        <v>364</v>
      </c>
      <c r="H118" s="2004"/>
      <c r="I118" s="2004"/>
      <c r="J118" s="1785"/>
    </row>
    <row r="119" spans="2:10" ht="18" hidden="1" outlineLevel="1" x14ac:dyDescent="0.25">
      <c r="B119" s="2003" t="s">
        <v>584</v>
      </c>
      <c r="C119" s="1785" t="s">
        <v>585</v>
      </c>
      <c r="D119" s="1785">
        <v>95.94</v>
      </c>
      <c r="E119" s="1787"/>
      <c r="F119" s="1787"/>
      <c r="G119" s="1785" t="s">
        <v>364</v>
      </c>
      <c r="H119" s="2004"/>
      <c r="I119" s="2004"/>
      <c r="J119" s="1785"/>
    </row>
    <row r="120" spans="2:10" ht="18" hidden="1" outlineLevel="1" x14ac:dyDescent="0.25">
      <c r="B120" s="2003" t="s">
        <v>586</v>
      </c>
      <c r="C120" s="1785" t="s">
        <v>587</v>
      </c>
      <c r="D120" s="1785">
        <v>98</v>
      </c>
      <c r="E120" s="1787"/>
      <c r="F120" s="1787"/>
      <c r="G120" s="1785" t="s">
        <v>364</v>
      </c>
      <c r="H120" s="2004"/>
      <c r="I120" s="2004"/>
      <c r="J120" s="1785"/>
    </row>
    <row r="121" spans="2:10" ht="18" hidden="1" outlineLevel="1" x14ac:dyDescent="0.25">
      <c r="B121" s="2003" t="s">
        <v>588</v>
      </c>
      <c r="C121" s="1785" t="s">
        <v>589</v>
      </c>
      <c r="D121" s="1785">
        <v>101.07</v>
      </c>
      <c r="E121" s="1787"/>
      <c r="F121" s="1787"/>
      <c r="G121" s="1785" t="s">
        <v>364</v>
      </c>
      <c r="H121" s="2004"/>
      <c r="I121" s="2004"/>
      <c r="J121" s="1785"/>
    </row>
    <row r="122" spans="2:10" ht="18" hidden="1" outlineLevel="1" x14ac:dyDescent="0.25">
      <c r="B122" s="2003" t="s">
        <v>590</v>
      </c>
      <c r="C122" s="1785" t="s">
        <v>591</v>
      </c>
      <c r="D122" s="1785">
        <v>102.9055</v>
      </c>
      <c r="E122" s="1787"/>
      <c r="F122" s="1787"/>
      <c r="G122" s="1785" t="s">
        <v>364</v>
      </c>
      <c r="H122" s="2004"/>
      <c r="I122" s="2004"/>
      <c r="J122" s="1785"/>
    </row>
    <row r="123" spans="2:10" ht="18" hidden="1" outlineLevel="1" x14ac:dyDescent="0.25">
      <c r="B123" s="2003" t="s">
        <v>592</v>
      </c>
      <c r="C123" s="1785" t="s">
        <v>593</v>
      </c>
      <c r="D123" s="1785">
        <v>106.42</v>
      </c>
      <c r="E123" s="1787"/>
      <c r="F123" s="1787"/>
      <c r="G123" s="1785" t="s">
        <v>364</v>
      </c>
      <c r="H123" s="2004"/>
      <c r="I123" s="2004"/>
      <c r="J123" s="1785"/>
    </row>
    <row r="124" spans="2:10" ht="18" hidden="1" outlineLevel="1" x14ac:dyDescent="0.25">
      <c r="B124" s="2003" t="s">
        <v>594</v>
      </c>
      <c r="C124" s="1785" t="s">
        <v>595</v>
      </c>
      <c r="D124" s="1785">
        <v>107.8682</v>
      </c>
      <c r="E124" s="1787"/>
      <c r="F124" s="1787"/>
      <c r="G124" s="1785" t="s">
        <v>364</v>
      </c>
      <c r="H124" s="2004"/>
      <c r="I124" s="2004"/>
      <c r="J124" s="1785"/>
    </row>
    <row r="125" spans="2:10" ht="18" hidden="1" outlineLevel="1" x14ac:dyDescent="0.25">
      <c r="B125" s="2003" t="s">
        <v>596</v>
      </c>
      <c r="C125" s="1785" t="s">
        <v>597</v>
      </c>
      <c r="D125" s="1785">
        <v>112.411</v>
      </c>
      <c r="E125" s="1787"/>
      <c r="F125" s="1787"/>
      <c r="G125" s="1785" t="s">
        <v>364</v>
      </c>
      <c r="H125" s="2004"/>
      <c r="I125" s="2004"/>
      <c r="J125" s="1785"/>
    </row>
    <row r="126" spans="2:10" ht="18" hidden="1" outlineLevel="1" x14ac:dyDescent="0.25">
      <c r="B126" s="2003" t="s">
        <v>598</v>
      </c>
      <c r="C126" s="1785" t="s">
        <v>599</v>
      </c>
      <c r="D126" s="1785">
        <v>114.818</v>
      </c>
      <c r="E126" s="1787"/>
      <c r="F126" s="1787"/>
      <c r="G126" s="1785" t="s">
        <v>364</v>
      </c>
      <c r="H126" s="2004"/>
      <c r="I126" s="2004"/>
      <c r="J126" s="1785"/>
    </row>
    <row r="127" spans="2:10" ht="18" hidden="1" outlineLevel="1" x14ac:dyDescent="0.25">
      <c r="B127" s="2003" t="s">
        <v>600</v>
      </c>
      <c r="C127" s="1785" t="s">
        <v>601</v>
      </c>
      <c r="D127" s="1785">
        <v>118.71</v>
      </c>
      <c r="E127" s="1787"/>
      <c r="F127" s="1787"/>
      <c r="G127" s="1785" t="s">
        <v>364</v>
      </c>
      <c r="H127" s="2004"/>
      <c r="I127" s="2004"/>
      <c r="J127" s="1785"/>
    </row>
    <row r="128" spans="2:10" ht="18" hidden="1" outlineLevel="1" x14ac:dyDescent="0.25">
      <c r="B128" s="2003" t="s">
        <v>602</v>
      </c>
      <c r="C128" s="1785" t="s">
        <v>603</v>
      </c>
      <c r="D128" s="1785">
        <v>121.76</v>
      </c>
      <c r="E128" s="1787"/>
      <c r="F128" s="1787"/>
      <c r="G128" s="1785" t="s">
        <v>364</v>
      </c>
      <c r="H128" s="2004"/>
      <c r="I128" s="2004"/>
      <c r="J128" s="1785"/>
    </row>
    <row r="129" spans="2:10" ht="18" hidden="1" outlineLevel="1" x14ac:dyDescent="0.25">
      <c r="B129" s="2003" t="s">
        <v>604</v>
      </c>
      <c r="C129" s="1785" t="s">
        <v>605</v>
      </c>
      <c r="D129" s="1785">
        <v>127.6</v>
      </c>
      <c r="E129" s="1787"/>
      <c r="F129" s="1787"/>
      <c r="G129" s="1785" t="s">
        <v>364</v>
      </c>
      <c r="H129" s="2004"/>
      <c r="I129" s="2004"/>
      <c r="J129" s="1785"/>
    </row>
    <row r="130" spans="2:10" ht="18" hidden="1" outlineLevel="1" x14ac:dyDescent="0.25">
      <c r="B130" s="2003" t="s">
        <v>606</v>
      </c>
      <c r="C130" s="1785" t="s">
        <v>607</v>
      </c>
      <c r="D130" s="1785">
        <v>126.90447</v>
      </c>
      <c r="E130" s="1787"/>
      <c r="F130" s="1787"/>
      <c r="G130" s="1785" t="s">
        <v>364</v>
      </c>
      <c r="H130" s="2004"/>
      <c r="I130" s="2004"/>
      <c r="J130" s="1785"/>
    </row>
    <row r="131" spans="2:10" ht="18" hidden="1" outlineLevel="1" x14ac:dyDescent="0.25">
      <c r="B131" s="2003" t="s">
        <v>608</v>
      </c>
      <c r="C131" s="1785" t="s">
        <v>609</v>
      </c>
      <c r="D131" s="1785">
        <v>131.29300000000001</v>
      </c>
      <c r="E131" s="1787"/>
      <c r="F131" s="1787"/>
      <c r="G131" s="1785" t="s">
        <v>364</v>
      </c>
      <c r="H131" s="2004"/>
      <c r="I131" s="2004"/>
      <c r="J131" s="1785"/>
    </row>
    <row r="132" spans="2:10" ht="18" hidden="1" outlineLevel="1" x14ac:dyDescent="0.25">
      <c r="B132" s="2003" t="s">
        <v>610</v>
      </c>
      <c r="C132" s="1785" t="s">
        <v>611</v>
      </c>
      <c r="D132" s="1785">
        <v>132.90545</v>
      </c>
      <c r="E132" s="1787"/>
      <c r="F132" s="1787"/>
      <c r="G132" s="1785" t="s">
        <v>364</v>
      </c>
      <c r="H132" s="2004"/>
      <c r="I132" s="2004"/>
      <c r="J132" s="1785"/>
    </row>
    <row r="133" spans="2:10" ht="18" hidden="1" outlineLevel="1" x14ac:dyDescent="0.25">
      <c r="B133" s="2003" t="s">
        <v>612</v>
      </c>
      <c r="C133" s="1785" t="s">
        <v>613</v>
      </c>
      <c r="D133" s="1785">
        <v>137.327</v>
      </c>
      <c r="E133" s="1787"/>
      <c r="F133" s="1787"/>
      <c r="G133" s="1785" t="s">
        <v>364</v>
      </c>
      <c r="H133" s="2004"/>
      <c r="I133" s="2004"/>
      <c r="J133" s="1785"/>
    </row>
    <row r="134" spans="2:10" ht="18" hidden="1" outlineLevel="1" x14ac:dyDescent="0.25">
      <c r="B134" s="2003" t="s">
        <v>614</v>
      </c>
      <c r="C134" s="1785" t="s">
        <v>615</v>
      </c>
      <c r="D134" s="1785">
        <v>138.90547000000001</v>
      </c>
      <c r="E134" s="1787"/>
      <c r="F134" s="1787"/>
      <c r="G134" s="1785" t="s">
        <v>364</v>
      </c>
      <c r="H134" s="2004"/>
      <c r="I134" s="2004"/>
      <c r="J134" s="1785"/>
    </row>
    <row r="135" spans="2:10" ht="18" hidden="1" outlineLevel="1" x14ac:dyDescent="0.25">
      <c r="B135" s="2003" t="s">
        <v>616</v>
      </c>
      <c r="C135" s="1785" t="s">
        <v>617</v>
      </c>
      <c r="D135" s="1785">
        <v>140.11600000000001</v>
      </c>
      <c r="E135" s="1787"/>
      <c r="F135" s="1787"/>
      <c r="G135" s="1785" t="s">
        <v>364</v>
      </c>
      <c r="H135" s="2004"/>
      <c r="I135" s="2004"/>
      <c r="J135" s="1785"/>
    </row>
    <row r="136" spans="2:10" ht="18" hidden="1" outlineLevel="1" x14ac:dyDescent="0.25">
      <c r="B136" s="2003" t="s">
        <v>618</v>
      </c>
      <c r="C136" s="1785" t="s">
        <v>619</v>
      </c>
      <c r="D136" s="1785">
        <v>140.90764999999999</v>
      </c>
      <c r="E136" s="1787"/>
      <c r="F136" s="1787"/>
      <c r="G136" s="1785" t="s">
        <v>364</v>
      </c>
      <c r="H136" s="2004"/>
      <c r="I136" s="2004"/>
      <c r="J136" s="1785"/>
    </row>
    <row r="137" spans="2:10" ht="18" hidden="1" outlineLevel="1" x14ac:dyDescent="0.25">
      <c r="B137" s="2003" t="s">
        <v>620</v>
      </c>
      <c r="C137" s="1785" t="s">
        <v>621</v>
      </c>
      <c r="D137" s="1785">
        <v>144.24199999999999</v>
      </c>
      <c r="E137" s="1787"/>
      <c r="F137" s="1787"/>
      <c r="G137" s="1785" t="s">
        <v>364</v>
      </c>
      <c r="H137" s="2004"/>
      <c r="I137" s="2004"/>
      <c r="J137" s="1785"/>
    </row>
    <row r="138" spans="2:10" ht="18" hidden="1" outlineLevel="1" x14ac:dyDescent="0.25">
      <c r="B138" s="2003" t="s">
        <v>622</v>
      </c>
      <c r="C138" s="1785" t="s">
        <v>623</v>
      </c>
      <c r="D138" s="1785">
        <v>145</v>
      </c>
      <c r="E138" s="1787"/>
      <c r="F138" s="1787"/>
      <c r="G138" s="1785" t="s">
        <v>364</v>
      </c>
      <c r="H138" s="2004"/>
      <c r="I138" s="2004"/>
      <c r="J138" s="1785"/>
    </row>
    <row r="139" spans="2:10" ht="18" hidden="1" outlineLevel="1" x14ac:dyDescent="0.25">
      <c r="B139" s="2003" t="s">
        <v>624</v>
      </c>
      <c r="C139" s="1785" t="s">
        <v>625</v>
      </c>
      <c r="D139" s="1785">
        <v>150.36000000000001</v>
      </c>
      <c r="E139" s="1787"/>
      <c r="F139" s="1787"/>
      <c r="G139" s="1785" t="s">
        <v>364</v>
      </c>
      <c r="H139" s="2004"/>
      <c r="I139" s="2004"/>
      <c r="J139" s="1785"/>
    </row>
    <row r="140" spans="2:10" ht="18" hidden="1" outlineLevel="1" x14ac:dyDescent="0.25">
      <c r="B140" s="2003" t="s">
        <v>626</v>
      </c>
      <c r="C140" s="1785" t="s">
        <v>627</v>
      </c>
      <c r="D140" s="1785">
        <v>151.964</v>
      </c>
      <c r="E140" s="1787"/>
      <c r="F140" s="1787"/>
      <c r="G140" s="1785" t="s">
        <v>364</v>
      </c>
      <c r="H140" s="2004"/>
      <c r="I140" s="2004"/>
      <c r="J140" s="1785"/>
    </row>
    <row r="141" spans="2:10" ht="18" hidden="1" outlineLevel="1" x14ac:dyDescent="0.25">
      <c r="B141" s="2003" t="s">
        <v>628</v>
      </c>
      <c r="C141" s="1785" t="s">
        <v>629</v>
      </c>
      <c r="D141" s="1785">
        <v>157.25</v>
      </c>
      <c r="E141" s="1787"/>
      <c r="F141" s="1787"/>
      <c r="G141" s="1785" t="s">
        <v>364</v>
      </c>
      <c r="H141" s="2004"/>
      <c r="I141" s="2004"/>
      <c r="J141" s="1785"/>
    </row>
    <row r="142" spans="2:10" ht="18" hidden="1" outlineLevel="1" x14ac:dyDescent="0.25">
      <c r="B142" s="2003" t="s">
        <v>630</v>
      </c>
      <c r="C142" s="1785" t="s">
        <v>631</v>
      </c>
      <c r="D142" s="1785">
        <v>158.92535000000001</v>
      </c>
      <c r="E142" s="1787"/>
      <c r="F142" s="1787"/>
      <c r="G142" s="1785" t="s">
        <v>364</v>
      </c>
      <c r="H142" s="2004"/>
      <c r="I142" s="2004"/>
      <c r="J142" s="1785"/>
    </row>
    <row r="143" spans="2:10" ht="18" hidden="1" outlineLevel="1" x14ac:dyDescent="0.25">
      <c r="B143" s="2003" t="s">
        <v>632</v>
      </c>
      <c r="C143" s="1785" t="s">
        <v>633</v>
      </c>
      <c r="D143" s="1785">
        <v>162.5</v>
      </c>
      <c r="E143" s="1787"/>
      <c r="F143" s="1787"/>
      <c r="G143" s="1785" t="s">
        <v>364</v>
      </c>
      <c r="H143" s="2004"/>
      <c r="I143" s="2004"/>
      <c r="J143" s="1785"/>
    </row>
    <row r="144" spans="2:10" ht="18" hidden="1" outlineLevel="1" x14ac:dyDescent="0.25">
      <c r="B144" s="2003" t="s">
        <v>634</v>
      </c>
      <c r="C144" s="1785" t="s">
        <v>635</v>
      </c>
      <c r="D144" s="1785">
        <v>164.93031999999999</v>
      </c>
      <c r="E144" s="1787"/>
      <c r="F144" s="1787"/>
      <c r="G144" s="1785" t="s">
        <v>364</v>
      </c>
      <c r="H144" s="2004"/>
      <c r="I144" s="2004"/>
      <c r="J144" s="1785"/>
    </row>
    <row r="145" spans="2:10" ht="18" hidden="1" outlineLevel="1" x14ac:dyDescent="0.25">
      <c r="B145" s="2003" t="s">
        <v>636</v>
      </c>
      <c r="C145" s="1785" t="s">
        <v>637</v>
      </c>
      <c r="D145" s="1785">
        <v>167.25899999999999</v>
      </c>
      <c r="E145" s="1787"/>
      <c r="F145" s="1787"/>
      <c r="G145" s="1785" t="s">
        <v>364</v>
      </c>
      <c r="H145" s="2004"/>
      <c r="I145" s="2004"/>
      <c r="J145" s="1785"/>
    </row>
    <row r="146" spans="2:10" ht="18" hidden="1" outlineLevel="1" x14ac:dyDescent="0.25">
      <c r="B146" s="2003" t="s">
        <v>638</v>
      </c>
      <c r="C146" s="1785" t="s">
        <v>639</v>
      </c>
      <c r="D146" s="1785">
        <v>168.93421000000001</v>
      </c>
      <c r="E146" s="1787"/>
      <c r="F146" s="1787"/>
      <c r="G146" s="1785" t="s">
        <v>364</v>
      </c>
      <c r="H146" s="2004"/>
      <c r="I146" s="2004"/>
      <c r="J146" s="1785"/>
    </row>
    <row r="147" spans="2:10" ht="18" hidden="1" outlineLevel="1" x14ac:dyDescent="0.25">
      <c r="B147" s="2003" t="s">
        <v>640</v>
      </c>
      <c r="C147" s="1785" t="s">
        <v>641</v>
      </c>
      <c r="D147" s="1785">
        <v>173.04</v>
      </c>
      <c r="E147" s="1787"/>
      <c r="F147" s="1787"/>
      <c r="G147" s="1785" t="s">
        <v>364</v>
      </c>
      <c r="H147" s="2004"/>
      <c r="I147" s="2004"/>
      <c r="J147" s="1785"/>
    </row>
    <row r="148" spans="2:10" ht="18" hidden="1" outlineLevel="1" x14ac:dyDescent="0.25">
      <c r="B148" s="2003" t="s">
        <v>642</v>
      </c>
      <c r="C148" s="1785" t="s">
        <v>643</v>
      </c>
      <c r="D148" s="1785">
        <v>174.96700000000001</v>
      </c>
      <c r="E148" s="1787"/>
      <c r="F148" s="1787"/>
      <c r="G148" s="1785" t="s">
        <v>364</v>
      </c>
      <c r="H148" s="2004"/>
      <c r="I148" s="2004"/>
      <c r="J148" s="1785"/>
    </row>
    <row r="149" spans="2:10" ht="18" hidden="1" outlineLevel="1" x14ac:dyDescent="0.25">
      <c r="B149" s="2003" t="s">
        <v>644</v>
      </c>
      <c r="C149" s="1785" t="s">
        <v>645</v>
      </c>
      <c r="D149" s="1785">
        <v>178.49</v>
      </c>
      <c r="E149" s="1787"/>
      <c r="F149" s="1787"/>
      <c r="G149" s="1785" t="s">
        <v>364</v>
      </c>
      <c r="H149" s="2004"/>
      <c r="I149" s="2004"/>
      <c r="J149" s="1785"/>
    </row>
    <row r="150" spans="2:10" ht="18" hidden="1" outlineLevel="1" x14ac:dyDescent="0.25">
      <c r="B150" s="2003" t="s">
        <v>646</v>
      </c>
      <c r="C150" s="1785" t="s">
        <v>647</v>
      </c>
      <c r="D150" s="1785">
        <v>180.94788</v>
      </c>
      <c r="E150" s="1787"/>
      <c r="F150" s="1787"/>
      <c r="G150" s="1785" t="s">
        <v>364</v>
      </c>
      <c r="H150" s="2004"/>
      <c r="I150" s="2004"/>
      <c r="J150" s="1785"/>
    </row>
    <row r="151" spans="2:10" ht="18" hidden="1" outlineLevel="1" x14ac:dyDescent="0.25">
      <c r="B151" s="2003" t="s">
        <v>648</v>
      </c>
      <c r="C151" s="1785" t="s">
        <v>649</v>
      </c>
      <c r="D151" s="1785">
        <v>183.84</v>
      </c>
      <c r="E151" s="1787"/>
      <c r="F151" s="1787"/>
      <c r="G151" s="1785" t="s">
        <v>364</v>
      </c>
      <c r="H151" s="2004"/>
      <c r="I151" s="2004"/>
      <c r="J151" s="1785"/>
    </row>
    <row r="152" spans="2:10" ht="18" hidden="1" outlineLevel="1" x14ac:dyDescent="0.25">
      <c r="B152" s="2003" t="s">
        <v>650</v>
      </c>
      <c r="C152" s="1785" t="s">
        <v>651</v>
      </c>
      <c r="D152" s="1785">
        <v>186.20699999999999</v>
      </c>
      <c r="E152" s="1787"/>
      <c r="F152" s="1787"/>
      <c r="G152" s="1785" t="s">
        <v>364</v>
      </c>
      <c r="H152" s="2004"/>
      <c r="I152" s="2004"/>
      <c r="J152" s="1785"/>
    </row>
    <row r="153" spans="2:10" ht="18" hidden="1" outlineLevel="1" x14ac:dyDescent="0.25">
      <c r="B153" s="2003" t="s">
        <v>652</v>
      </c>
      <c r="C153" s="1785" t="s">
        <v>653</v>
      </c>
      <c r="D153" s="1785">
        <v>190.23</v>
      </c>
      <c r="E153" s="1787"/>
      <c r="F153" s="1787"/>
      <c r="G153" s="1785" t="s">
        <v>364</v>
      </c>
      <c r="H153" s="2004"/>
      <c r="I153" s="2004"/>
      <c r="J153" s="1785"/>
    </row>
    <row r="154" spans="2:10" ht="18" hidden="1" outlineLevel="1" x14ac:dyDescent="0.25">
      <c r="B154" s="2003" t="s">
        <v>654</v>
      </c>
      <c r="C154" s="1785" t="s">
        <v>655</v>
      </c>
      <c r="D154" s="1785">
        <v>192.21700000000001</v>
      </c>
      <c r="E154" s="1787"/>
      <c r="F154" s="1787"/>
      <c r="G154" s="1785" t="s">
        <v>364</v>
      </c>
      <c r="H154" s="2004"/>
      <c r="I154" s="2004"/>
      <c r="J154" s="1785"/>
    </row>
    <row r="155" spans="2:10" ht="18" hidden="1" outlineLevel="1" x14ac:dyDescent="0.25">
      <c r="B155" s="2003" t="s">
        <v>656</v>
      </c>
      <c r="C155" s="1785" t="s">
        <v>657</v>
      </c>
      <c r="D155" s="1785">
        <v>195.084</v>
      </c>
      <c r="E155" s="1787"/>
      <c r="F155" s="1787"/>
      <c r="G155" s="1785" t="s">
        <v>364</v>
      </c>
      <c r="H155" s="2004"/>
      <c r="I155" s="2004"/>
      <c r="J155" s="1785"/>
    </row>
    <row r="156" spans="2:10" ht="18" hidden="1" outlineLevel="1" x14ac:dyDescent="0.25">
      <c r="B156" s="2003" t="s">
        <v>658</v>
      </c>
      <c r="C156" s="1785" t="s">
        <v>659</v>
      </c>
      <c r="D156" s="1785">
        <v>196.96656999999999</v>
      </c>
      <c r="E156" s="1787"/>
      <c r="F156" s="1787"/>
      <c r="G156" s="1785" t="s">
        <v>364</v>
      </c>
      <c r="H156" s="2004"/>
      <c r="I156" s="2004"/>
      <c r="J156" s="1785"/>
    </row>
    <row r="157" spans="2:10" ht="18" hidden="1" outlineLevel="1" x14ac:dyDescent="0.25">
      <c r="B157" s="2003" t="s">
        <v>660</v>
      </c>
      <c r="C157" s="1785" t="s">
        <v>661</v>
      </c>
      <c r="D157" s="1785">
        <v>200.59</v>
      </c>
      <c r="E157" s="1787"/>
      <c r="F157" s="1787"/>
      <c r="G157" s="1785" t="s">
        <v>364</v>
      </c>
      <c r="H157" s="2004"/>
      <c r="I157" s="2004"/>
      <c r="J157" s="1785"/>
    </row>
    <row r="158" spans="2:10" ht="18" hidden="1" outlineLevel="1" x14ac:dyDescent="0.25">
      <c r="B158" s="2003" t="s">
        <v>662</v>
      </c>
      <c r="C158" s="1785" t="s">
        <v>663</v>
      </c>
      <c r="D158" s="1785">
        <v>204.38329999999999</v>
      </c>
      <c r="E158" s="1787"/>
      <c r="F158" s="1787"/>
      <c r="G158" s="1785" t="s">
        <v>364</v>
      </c>
      <c r="H158" s="2004"/>
      <c r="I158" s="2004"/>
      <c r="J158" s="1785"/>
    </row>
    <row r="159" spans="2:10" ht="18" hidden="1" outlineLevel="1" x14ac:dyDescent="0.25">
      <c r="B159" s="2003" t="s">
        <v>664</v>
      </c>
      <c r="C159" s="1785" t="s">
        <v>665</v>
      </c>
      <c r="D159" s="1785">
        <v>207.2</v>
      </c>
      <c r="E159" s="1787"/>
      <c r="F159" s="1787"/>
      <c r="G159" s="1785" t="s">
        <v>364</v>
      </c>
      <c r="H159" s="2004"/>
      <c r="I159" s="2004"/>
      <c r="J159" s="1785"/>
    </row>
    <row r="160" spans="2:10" ht="18" hidden="1" outlineLevel="1" x14ac:dyDescent="0.25">
      <c r="B160" s="2003" t="s">
        <v>666</v>
      </c>
      <c r="C160" s="1785" t="s">
        <v>667</v>
      </c>
      <c r="D160" s="1785">
        <v>208.9804</v>
      </c>
      <c r="E160" s="1787"/>
      <c r="F160" s="1787"/>
      <c r="G160" s="1785" t="s">
        <v>364</v>
      </c>
      <c r="H160" s="2004"/>
      <c r="I160" s="2004"/>
      <c r="J160" s="1785"/>
    </row>
    <row r="161" spans="2:10" ht="18" hidden="1" outlineLevel="1" x14ac:dyDescent="0.25">
      <c r="B161" s="2003" t="s">
        <v>668</v>
      </c>
      <c r="C161" s="1785" t="s">
        <v>669</v>
      </c>
      <c r="D161" s="1785">
        <v>209</v>
      </c>
      <c r="E161" s="1787"/>
      <c r="F161" s="1787"/>
      <c r="G161" s="1785" t="s">
        <v>364</v>
      </c>
      <c r="H161" s="2004"/>
      <c r="I161" s="2004"/>
      <c r="J161" s="1785"/>
    </row>
    <row r="162" spans="2:10" ht="18" hidden="1" outlineLevel="1" x14ac:dyDescent="0.25">
      <c r="B162" s="2003" t="s">
        <v>670</v>
      </c>
      <c r="C162" s="1785" t="s">
        <v>671</v>
      </c>
      <c r="D162" s="1785">
        <v>210</v>
      </c>
      <c r="E162" s="1787"/>
      <c r="F162" s="1787"/>
      <c r="G162" s="1785" t="s">
        <v>364</v>
      </c>
      <c r="H162" s="2004"/>
      <c r="I162" s="2004"/>
      <c r="J162" s="1785"/>
    </row>
    <row r="163" spans="2:10" ht="18" hidden="1" outlineLevel="1" x14ac:dyDescent="0.25">
      <c r="B163" s="2003" t="s">
        <v>672</v>
      </c>
      <c r="C163" s="1785" t="s">
        <v>673</v>
      </c>
      <c r="D163" s="1785">
        <v>222</v>
      </c>
      <c r="E163" s="1787"/>
      <c r="F163" s="1787"/>
      <c r="G163" s="1785" t="s">
        <v>364</v>
      </c>
      <c r="H163" s="2004"/>
      <c r="I163" s="2004"/>
      <c r="J163" s="1785"/>
    </row>
    <row r="164" spans="2:10" ht="18" hidden="1" outlineLevel="1" x14ac:dyDescent="0.25">
      <c r="B164" s="2003" t="s">
        <v>674</v>
      </c>
      <c r="C164" s="1785" t="s">
        <v>675</v>
      </c>
      <c r="D164" s="1785">
        <v>223</v>
      </c>
      <c r="E164" s="1787"/>
      <c r="F164" s="1787"/>
      <c r="G164" s="1785" t="s">
        <v>364</v>
      </c>
      <c r="H164" s="2004"/>
      <c r="I164" s="2004"/>
      <c r="J164" s="1785"/>
    </row>
    <row r="165" spans="2:10" ht="18" hidden="1" outlineLevel="1" x14ac:dyDescent="0.25">
      <c r="B165" s="2003" t="s">
        <v>676</v>
      </c>
      <c r="C165" s="1785" t="s">
        <v>677</v>
      </c>
      <c r="D165" s="1785">
        <v>226</v>
      </c>
      <c r="E165" s="1787"/>
      <c r="F165" s="1787"/>
      <c r="G165" s="1785" t="s">
        <v>364</v>
      </c>
      <c r="H165" s="2004"/>
      <c r="I165" s="2004"/>
      <c r="J165" s="1785"/>
    </row>
    <row r="166" spans="2:10" ht="18" hidden="1" outlineLevel="1" x14ac:dyDescent="0.25">
      <c r="B166" s="2003" t="s">
        <v>678</v>
      </c>
      <c r="C166" s="1785" t="s">
        <v>679</v>
      </c>
      <c r="D166" s="1785">
        <v>227</v>
      </c>
      <c r="E166" s="1787"/>
      <c r="F166" s="1787"/>
      <c r="G166" s="1785" t="s">
        <v>364</v>
      </c>
      <c r="H166" s="2004"/>
      <c r="I166" s="2004"/>
      <c r="J166" s="1785"/>
    </row>
    <row r="167" spans="2:10" ht="18" hidden="1" outlineLevel="1" x14ac:dyDescent="0.25">
      <c r="B167" s="2003" t="s">
        <v>680</v>
      </c>
      <c r="C167" s="1785" t="s">
        <v>681</v>
      </c>
      <c r="D167" s="1785">
        <v>232.03806</v>
      </c>
      <c r="E167" s="1787"/>
      <c r="F167" s="1787"/>
      <c r="G167" s="1785" t="s">
        <v>364</v>
      </c>
      <c r="H167" s="2004"/>
      <c r="I167" s="2004"/>
      <c r="J167" s="1785"/>
    </row>
    <row r="168" spans="2:10" ht="18" hidden="1" outlineLevel="1" x14ac:dyDescent="0.25">
      <c r="B168" s="2003" t="s">
        <v>682</v>
      </c>
      <c r="C168" s="1785" t="s">
        <v>683</v>
      </c>
      <c r="D168" s="1785">
        <v>231.03587999999999</v>
      </c>
      <c r="E168" s="1787"/>
      <c r="F168" s="1787"/>
      <c r="G168" s="1785" t="s">
        <v>364</v>
      </c>
      <c r="H168" s="2004"/>
      <c r="I168" s="2004"/>
      <c r="J168" s="1785"/>
    </row>
    <row r="169" spans="2:10" ht="18" hidden="1" outlineLevel="1" x14ac:dyDescent="0.25">
      <c r="B169" s="2003" t="s">
        <v>684</v>
      </c>
      <c r="C169" s="1785" t="s">
        <v>685</v>
      </c>
      <c r="D169" s="1785">
        <v>238.02891</v>
      </c>
      <c r="E169" s="1787"/>
      <c r="F169" s="1787"/>
      <c r="G169" s="1785" t="s">
        <v>364</v>
      </c>
      <c r="H169" s="2004"/>
      <c r="I169" s="2004"/>
      <c r="J169" s="1785"/>
    </row>
    <row r="170" spans="2:10" ht="18" hidden="1" outlineLevel="1" x14ac:dyDescent="0.25">
      <c r="B170" s="2003" t="s">
        <v>686</v>
      </c>
      <c r="C170" s="1785" t="s">
        <v>687</v>
      </c>
      <c r="D170" s="1785">
        <v>237</v>
      </c>
      <c r="E170" s="1787"/>
      <c r="F170" s="1787"/>
      <c r="G170" s="1785" t="s">
        <v>364</v>
      </c>
      <c r="H170" s="2004"/>
      <c r="I170" s="2004"/>
      <c r="J170" s="1785"/>
    </row>
    <row r="171" spans="2:10" ht="18" hidden="1" outlineLevel="1" x14ac:dyDescent="0.25">
      <c r="B171" s="2003" t="s">
        <v>688</v>
      </c>
      <c r="C171" s="1785" t="s">
        <v>689</v>
      </c>
      <c r="D171" s="1785">
        <v>244</v>
      </c>
      <c r="E171" s="1787"/>
      <c r="F171" s="1787"/>
      <c r="G171" s="1785" t="s">
        <v>364</v>
      </c>
      <c r="H171" s="2004"/>
      <c r="I171" s="2004"/>
      <c r="J171" s="1785"/>
    </row>
    <row r="172" spans="2:10" ht="18" hidden="1" outlineLevel="1" x14ac:dyDescent="0.25">
      <c r="B172" s="2003" t="s">
        <v>690</v>
      </c>
      <c r="C172" s="1785" t="s">
        <v>691</v>
      </c>
      <c r="D172" s="1785">
        <v>243</v>
      </c>
      <c r="E172" s="1787"/>
      <c r="F172" s="1787"/>
      <c r="G172" s="1785" t="s">
        <v>364</v>
      </c>
      <c r="H172" s="2004"/>
      <c r="I172" s="2004"/>
      <c r="J172" s="1785"/>
    </row>
    <row r="173" spans="2:10" ht="18" hidden="1" outlineLevel="1" x14ac:dyDescent="0.25">
      <c r="B173" s="2003" t="s">
        <v>692</v>
      </c>
      <c r="C173" s="1785" t="s">
        <v>693</v>
      </c>
      <c r="D173" s="1785">
        <v>247</v>
      </c>
      <c r="E173" s="1787"/>
      <c r="F173" s="1787"/>
      <c r="G173" s="1785" t="s">
        <v>364</v>
      </c>
      <c r="H173" s="2004"/>
      <c r="I173" s="2004"/>
      <c r="J173" s="1785"/>
    </row>
    <row r="174" spans="2:10" ht="18" hidden="1" outlineLevel="1" x14ac:dyDescent="0.25">
      <c r="B174" s="2003" t="s">
        <v>694</v>
      </c>
      <c r="C174" s="1785" t="s">
        <v>695</v>
      </c>
      <c r="D174" s="1785">
        <v>247</v>
      </c>
      <c r="E174" s="1787"/>
      <c r="F174" s="1787"/>
      <c r="G174" s="1785" t="s">
        <v>364</v>
      </c>
      <c r="H174" s="2004"/>
      <c r="I174" s="2004"/>
      <c r="J174" s="1785"/>
    </row>
    <row r="175" spans="2:10" ht="18" hidden="1" outlineLevel="1" x14ac:dyDescent="0.25">
      <c r="B175" s="2003" t="s">
        <v>696</v>
      </c>
      <c r="C175" s="1785" t="s">
        <v>697</v>
      </c>
      <c r="D175" s="1785">
        <v>251</v>
      </c>
      <c r="E175" s="1787"/>
      <c r="F175" s="1787"/>
      <c r="G175" s="1785" t="s">
        <v>364</v>
      </c>
      <c r="H175" s="2004"/>
      <c r="I175" s="2004"/>
      <c r="J175" s="1785"/>
    </row>
    <row r="176" spans="2:10" ht="18" hidden="1" outlineLevel="1" x14ac:dyDescent="0.25">
      <c r="B176" s="2003" t="s">
        <v>698</v>
      </c>
      <c r="C176" s="1785" t="s">
        <v>699</v>
      </c>
      <c r="D176" s="1785">
        <v>252</v>
      </c>
      <c r="E176" s="1787"/>
      <c r="F176" s="1787"/>
      <c r="G176" s="1785" t="s">
        <v>364</v>
      </c>
      <c r="H176" s="2004"/>
      <c r="I176" s="2004"/>
      <c r="J176" s="1785"/>
    </row>
    <row r="177" spans="2:10" ht="18" hidden="1" outlineLevel="1" x14ac:dyDescent="0.25">
      <c r="B177" s="2003" t="s">
        <v>700</v>
      </c>
      <c r="C177" s="1785" t="s">
        <v>701</v>
      </c>
      <c r="D177" s="1785">
        <v>257</v>
      </c>
      <c r="E177" s="1787"/>
      <c r="F177" s="1787"/>
      <c r="G177" s="1785" t="s">
        <v>364</v>
      </c>
      <c r="H177" s="2004"/>
      <c r="I177" s="2004"/>
      <c r="J177" s="1785"/>
    </row>
    <row r="178" spans="2:10" ht="18" hidden="1" outlineLevel="1" x14ac:dyDescent="0.25">
      <c r="B178" s="2003" t="s">
        <v>702</v>
      </c>
      <c r="C178" s="1785" t="s">
        <v>703</v>
      </c>
      <c r="D178" s="1785">
        <v>258</v>
      </c>
      <c r="E178" s="1787"/>
      <c r="F178" s="1787"/>
      <c r="G178" s="1785" t="s">
        <v>364</v>
      </c>
      <c r="H178" s="2004"/>
      <c r="I178" s="2004"/>
      <c r="J178" s="1785"/>
    </row>
    <row r="179" spans="2:10" ht="18" hidden="1" outlineLevel="1" x14ac:dyDescent="0.25">
      <c r="B179" s="2003" t="s">
        <v>704</v>
      </c>
      <c r="C179" s="1785" t="s">
        <v>705</v>
      </c>
      <c r="D179" s="1785">
        <v>259</v>
      </c>
      <c r="E179" s="1787"/>
      <c r="F179" s="1787"/>
      <c r="G179" s="1785" t="s">
        <v>364</v>
      </c>
      <c r="H179" s="2004"/>
      <c r="I179" s="2004"/>
      <c r="J179" s="1785"/>
    </row>
    <row r="180" spans="2:10" ht="18" hidden="1" outlineLevel="1" x14ac:dyDescent="0.25">
      <c r="B180" s="2003" t="s">
        <v>706</v>
      </c>
      <c r="C180" s="1785" t="s">
        <v>707</v>
      </c>
      <c r="D180" s="1785">
        <v>262</v>
      </c>
      <c r="E180" s="1787"/>
      <c r="F180" s="1787"/>
      <c r="G180" s="1785" t="s">
        <v>364</v>
      </c>
      <c r="H180" s="2004"/>
      <c r="I180" s="2004"/>
      <c r="J180" s="1785"/>
    </row>
    <row r="181" spans="2:10" ht="18" hidden="1" outlineLevel="1" x14ac:dyDescent="0.25">
      <c r="B181" s="2003" t="s">
        <v>708</v>
      </c>
      <c r="C181" s="1785" t="s">
        <v>709</v>
      </c>
      <c r="D181" s="1785">
        <v>261</v>
      </c>
      <c r="E181" s="1787"/>
      <c r="F181" s="1787"/>
      <c r="G181" s="1785" t="s">
        <v>364</v>
      </c>
      <c r="H181" s="2004"/>
      <c r="I181" s="2004"/>
      <c r="J181" s="1785"/>
    </row>
    <row r="182" spans="2:10" ht="18" hidden="1" outlineLevel="1" x14ac:dyDescent="0.25">
      <c r="B182" s="2003" t="s">
        <v>710</v>
      </c>
      <c r="C182" s="1785" t="s">
        <v>711</v>
      </c>
      <c r="D182" s="1785">
        <v>262</v>
      </c>
      <c r="E182" s="1787"/>
      <c r="F182" s="1787"/>
      <c r="G182" s="1785" t="s">
        <v>364</v>
      </c>
      <c r="H182" s="2004"/>
      <c r="I182" s="2004"/>
      <c r="J182" s="1785"/>
    </row>
    <row r="183" spans="2:10" ht="18" hidden="1" outlineLevel="1" x14ac:dyDescent="0.25">
      <c r="B183" s="2003" t="s">
        <v>712</v>
      </c>
      <c r="C183" s="1785" t="s">
        <v>713</v>
      </c>
      <c r="D183" s="1785">
        <v>266</v>
      </c>
      <c r="E183" s="1787"/>
      <c r="F183" s="1787"/>
      <c r="G183" s="1785" t="s">
        <v>364</v>
      </c>
      <c r="H183" s="2004"/>
      <c r="I183" s="2004"/>
      <c r="J183" s="1785"/>
    </row>
    <row r="184" spans="2:10" ht="18" hidden="1" outlineLevel="1" x14ac:dyDescent="0.25">
      <c r="B184" s="2003" t="s">
        <v>714</v>
      </c>
      <c r="C184" s="1785" t="s">
        <v>715</v>
      </c>
      <c r="D184" s="1785">
        <v>264</v>
      </c>
      <c r="E184" s="1787"/>
      <c r="F184" s="1787"/>
      <c r="G184" s="1785" t="s">
        <v>364</v>
      </c>
      <c r="H184" s="2004"/>
      <c r="I184" s="2004"/>
      <c r="J184" s="1785"/>
    </row>
    <row r="185" spans="2:10" ht="18" hidden="1" outlineLevel="1" x14ac:dyDescent="0.25">
      <c r="B185" s="2003" t="s">
        <v>716</v>
      </c>
      <c r="C185" s="1785" t="s">
        <v>717</v>
      </c>
      <c r="D185" s="1785">
        <v>277</v>
      </c>
      <c r="E185" s="1787"/>
      <c r="F185" s="1787"/>
      <c r="G185" s="1785" t="s">
        <v>364</v>
      </c>
      <c r="H185" s="2004"/>
      <c r="I185" s="2004"/>
      <c r="J185" s="1785"/>
    </row>
    <row r="186" spans="2:10" ht="18" hidden="1" outlineLevel="1" x14ac:dyDescent="0.25">
      <c r="B186" s="2003" t="s">
        <v>718</v>
      </c>
      <c r="C186" s="1785" t="s">
        <v>719</v>
      </c>
      <c r="D186" s="1785">
        <v>268</v>
      </c>
      <c r="E186" s="1787"/>
      <c r="F186" s="1787"/>
      <c r="G186" s="1785" t="s">
        <v>364</v>
      </c>
      <c r="H186" s="2004"/>
      <c r="I186" s="2004"/>
      <c r="J186" s="1785"/>
    </row>
    <row r="187" spans="2:10" ht="18" hidden="1" outlineLevel="1" x14ac:dyDescent="0.25">
      <c r="B187" s="2003" t="s">
        <v>720</v>
      </c>
      <c r="C187" s="1785" t="s">
        <v>721</v>
      </c>
      <c r="D187" s="1785">
        <v>281</v>
      </c>
      <c r="E187" s="1787"/>
      <c r="F187" s="1787"/>
      <c r="G187" s="1785" t="s">
        <v>364</v>
      </c>
      <c r="H187" s="2004"/>
      <c r="I187" s="2004"/>
      <c r="J187" s="1785"/>
    </row>
    <row r="188" spans="2:10" ht="18" hidden="1" outlineLevel="1" x14ac:dyDescent="0.25">
      <c r="B188" s="2003" t="s">
        <v>722</v>
      </c>
      <c r="C188" s="1785" t="s">
        <v>723</v>
      </c>
      <c r="D188" s="1785">
        <v>272</v>
      </c>
      <c r="E188" s="1787"/>
      <c r="F188" s="1787"/>
      <c r="G188" s="1785" t="s">
        <v>364</v>
      </c>
      <c r="H188" s="2004"/>
      <c r="I188" s="2004"/>
      <c r="J188" s="1785"/>
    </row>
    <row r="189" spans="2:10" ht="18" hidden="1" outlineLevel="1" x14ac:dyDescent="0.25">
      <c r="B189" s="2003" t="s">
        <v>724</v>
      </c>
      <c r="C189" s="1785" t="s">
        <v>725</v>
      </c>
      <c r="D189" s="1785">
        <v>285</v>
      </c>
      <c r="E189" s="1787"/>
      <c r="F189" s="1787"/>
      <c r="G189" s="1785" t="s">
        <v>364</v>
      </c>
      <c r="H189" s="2004"/>
      <c r="I189" s="2004"/>
      <c r="J189" s="1785"/>
    </row>
    <row r="190" spans="2:10" ht="18" hidden="1" outlineLevel="1" x14ac:dyDescent="0.25">
      <c r="B190" s="2003" t="s">
        <v>726</v>
      </c>
      <c r="C190" s="1785" t="s">
        <v>727</v>
      </c>
      <c r="D190" s="1785">
        <v>284</v>
      </c>
      <c r="E190" s="1787"/>
      <c r="F190" s="1787"/>
      <c r="G190" s="1785" t="s">
        <v>364</v>
      </c>
      <c r="H190" s="2004"/>
      <c r="I190" s="2004"/>
      <c r="J190" s="1785"/>
    </row>
    <row r="191" spans="2:10" ht="18" hidden="1" outlineLevel="1" x14ac:dyDescent="0.25">
      <c r="B191" s="2003" t="s">
        <v>728</v>
      </c>
      <c r="C191" s="1785" t="s">
        <v>729</v>
      </c>
      <c r="D191" s="1785">
        <v>289</v>
      </c>
      <c r="E191" s="1787"/>
      <c r="F191" s="1787"/>
      <c r="G191" s="1785" t="s">
        <v>364</v>
      </c>
      <c r="H191" s="2004"/>
      <c r="I191" s="2004"/>
      <c r="J191" s="1785"/>
    </row>
    <row r="192" spans="2:10" ht="18" hidden="1" outlineLevel="1" x14ac:dyDescent="0.25">
      <c r="B192" s="2003" t="s">
        <v>730</v>
      </c>
      <c r="C192" s="1785" t="s">
        <v>731</v>
      </c>
      <c r="D192" s="1785">
        <v>288</v>
      </c>
      <c r="E192" s="1787"/>
      <c r="F192" s="1787"/>
      <c r="G192" s="1785" t="s">
        <v>364</v>
      </c>
      <c r="H192" s="2004"/>
      <c r="I192" s="2004"/>
      <c r="J192" s="1785"/>
    </row>
    <row r="193" spans="2:10" ht="18" hidden="1" outlineLevel="1" x14ac:dyDescent="0.25">
      <c r="B193" s="2003" t="s">
        <v>732</v>
      </c>
      <c r="C193" s="1785" t="s">
        <v>733</v>
      </c>
      <c r="D193" s="1785">
        <v>292</v>
      </c>
      <c r="E193" s="1787"/>
      <c r="F193" s="1787"/>
      <c r="G193" s="1785" t="s">
        <v>364</v>
      </c>
      <c r="H193" s="2004"/>
      <c r="I193" s="2004"/>
      <c r="J193" s="1785"/>
    </row>
    <row r="194" spans="2:10" ht="18" hidden="1" outlineLevel="1" x14ac:dyDescent="0.25">
      <c r="B194" s="2003" t="s">
        <v>734</v>
      </c>
      <c r="C194" s="1785" t="s">
        <v>735</v>
      </c>
      <c r="D194" s="1785">
        <v>292</v>
      </c>
      <c r="E194" s="1787"/>
      <c r="F194" s="1787"/>
      <c r="G194" s="1785" t="s">
        <v>364</v>
      </c>
      <c r="H194" s="2004"/>
      <c r="I194" s="2004"/>
      <c r="J194" s="1785"/>
    </row>
    <row r="195" spans="2:10" ht="18" hidden="1" outlineLevel="1" x14ac:dyDescent="0.25">
      <c r="B195" s="2003" t="s">
        <v>736</v>
      </c>
      <c r="C195" s="1785" t="s">
        <v>737</v>
      </c>
      <c r="D195" s="1785">
        <v>294</v>
      </c>
      <c r="E195" s="1787"/>
      <c r="F195" s="1787"/>
      <c r="G195" s="1785" t="s">
        <v>364</v>
      </c>
      <c r="H195" s="2004"/>
      <c r="I195" s="2004"/>
      <c r="J195" s="1785"/>
    </row>
    <row r="196" spans="2:10" collapsed="1" x14ac:dyDescent="0.25"/>
    <row r="197" spans="2:10" ht="15.75" thickBot="1" x14ac:dyDescent="0.3">
      <c r="C197" s="1998" t="s">
        <v>738</v>
      </c>
    </row>
    <row r="198" spans="2:10" ht="15.75" thickBot="1" x14ac:dyDescent="0.3">
      <c r="B198" s="1999" t="s">
        <v>0</v>
      </c>
      <c r="C198" s="2000" t="s">
        <v>1</v>
      </c>
      <c r="D198" s="2001" t="s">
        <v>152</v>
      </c>
      <c r="E198" s="2001" t="s">
        <v>473</v>
      </c>
      <c r="F198" s="2001" t="s">
        <v>474</v>
      </c>
      <c r="G198" s="2001" t="s">
        <v>2</v>
      </c>
      <c r="H198" s="2001" t="s">
        <v>302</v>
      </c>
      <c r="I198" s="2001" t="s">
        <v>116</v>
      </c>
      <c r="J198" s="2002" t="s">
        <v>117</v>
      </c>
    </row>
    <row r="199" spans="2:10" ht="18" hidden="1" outlineLevel="1" x14ac:dyDescent="0.25">
      <c r="B199" s="2003" t="s">
        <v>1992</v>
      </c>
      <c r="C199" s="1785" t="s">
        <v>1993</v>
      </c>
      <c r="D199" s="1785">
        <v>28.97</v>
      </c>
      <c r="E199" s="1787"/>
      <c r="F199" s="1787"/>
      <c r="G199" s="1785" t="s">
        <v>364</v>
      </c>
      <c r="H199" s="2004"/>
      <c r="I199" s="2004"/>
      <c r="J199" s="1785"/>
    </row>
    <row r="200" spans="2:10" ht="18" hidden="1" outlineLevel="1" x14ac:dyDescent="0.25">
      <c r="B200" s="2003" t="s">
        <v>462</v>
      </c>
      <c r="C200" s="1785" t="s">
        <v>455</v>
      </c>
      <c r="D200" s="1785">
        <f>2*A_MH</f>
        <v>2.0158800000000001</v>
      </c>
      <c r="E200" s="1787"/>
      <c r="F200" s="1787"/>
      <c r="G200" s="1785" t="s">
        <v>364</v>
      </c>
      <c r="H200" s="2004"/>
      <c r="I200" s="2004"/>
      <c r="J200" s="1785"/>
    </row>
    <row r="201" spans="2:10" ht="18" hidden="1" outlineLevel="1" x14ac:dyDescent="0.25">
      <c r="B201" s="2003" t="s">
        <v>463</v>
      </c>
      <c r="C201" s="1785" t="s">
        <v>456</v>
      </c>
      <c r="D201" s="1785">
        <f>A_MC+4*A_MH</f>
        <v>16.042459999999998</v>
      </c>
      <c r="E201" s="1787"/>
      <c r="F201" s="1787"/>
      <c r="G201" s="1785" t="s">
        <v>364</v>
      </c>
      <c r="H201" s="2004"/>
      <c r="I201" s="2004"/>
      <c r="J201" s="1785"/>
    </row>
    <row r="202" spans="2:10" ht="18" hidden="1" outlineLevel="1" x14ac:dyDescent="0.25">
      <c r="B202" s="2003" t="s">
        <v>739</v>
      </c>
      <c r="C202" s="1785" t="s">
        <v>740</v>
      </c>
      <c r="D202" s="1785">
        <f>A_MC+2*A_MO</f>
        <v>44.009500000000003</v>
      </c>
      <c r="E202" s="1787"/>
      <c r="F202" s="1787"/>
      <c r="G202" s="1785" t="s">
        <v>364</v>
      </c>
      <c r="H202" s="2004"/>
      <c r="I202" s="2004"/>
      <c r="J202" s="1785"/>
    </row>
    <row r="203" spans="2:10" ht="18" hidden="1" outlineLevel="1" x14ac:dyDescent="0.25">
      <c r="B203" s="2003" t="s">
        <v>1110</v>
      </c>
      <c r="C203" s="1785" t="s">
        <v>750</v>
      </c>
      <c r="D203" s="1785">
        <f>A_MN+3*A_MH</f>
        <v>17.030519999999999</v>
      </c>
      <c r="E203" s="1787"/>
      <c r="F203" s="1787"/>
      <c r="G203" s="1785" t="s">
        <v>364</v>
      </c>
      <c r="H203" s="2004"/>
      <c r="I203" s="2004"/>
      <c r="J203" s="1785"/>
    </row>
    <row r="204" spans="2:10" ht="18" hidden="1" outlineLevel="1" x14ac:dyDescent="0.25">
      <c r="B204" s="2003" t="s">
        <v>454</v>
      </c>
      <c r="C204" s="1785" t="s">
        <v>453</v>
      </c>
      <c r="D204" s="1785">
        <f>2*A_MN</f>
        <v>28.013400000000001</v>
      </c>
      <c r="E204" s="1787"/>
      <c r="F204" s="1787"/>
      <c r="G204" s="1785" t="s">
        <v>364</v>
      </c>
      <c r="H204" s="2004"/>
      <c r="I204" s="2004"/>
      <c r="J204" s="1785"/>
    </row>
    <row r="205" spans="2:10" ht="18" hidden="1" outlineLevel="1" x14ac:dyDescent="0.25">
      <c r="B205" s="2003" t="s">
        <v>449</v>
      </c>
      <c r="C205" s="1785" t="s">
        <v>450</v>
      </c>
      <c r="D205" s="1785">
        <f>2*A_MO</f>
        <v>31.998799999999999</v>
      </c>
      <c r="E205" s="1787"/>
      <c r="F205" s="1787"/>
      <c r="G205" s="1785" t="s">
        <v>364</v>
      </c>
      <c r="H205" s="2004"/>
      <c r="I205" s="2004"/>
      <c r="J205" s="1785" t="s">
        <v>741</v>
      </c>
    </row>
    <row r="206" spans="2:10" ht="18" hidden="1" outlineLevel="1" x14ac:dyDescent="0.25">
      <c r="B206" s="2003" t="s">
        <v>742</v>
      </c>
      <c r="C206" s="1785" t="s">
        <v>743</v>
      </c>
      <c r="D206" s="1785">
        <f>A_MN+A_MO</f>
        <v>30.0061</v>
      </c>
      <c r="E206" s="1787"/>
      <c r="F206" s="1787"/>
      <c r="G206" s="1785" t="s">
        <v>364</v>
      </c>
      <c r="H206" s="2004"/>
      <c r="I206" s="2004"/>
      <c r="J206" s="1785" t="s">
        <v>744</v>
      </c>
    </row>
    <row r="207" spans="2:10" ht="18" hidden="1" outlineLevel="1" x14ac:dyDescent="0.25">
      <c r="B207" s="2003" t="s">
        <v>745</v>
      </c>
      <c r="C207" s="1785" t="s">
        <v>746</v>
      </c>
      <c r="D207" s="1785">
        <f>2*A_MN+A_MO</f>
        <v>44.012799999999999</v>
      </c>
      <c r="E207" s="1787"/>
      <c r="F207" s="1787"/>
      <c r="G207" s="1785" t="s">
        <v>364</v>
      </c>
      <c r="H207" s="2004"/>
      <c r="I207" s="2004"/>
      <c r="J207" s="1785" t="s">
        <v>747</v>
      </c>
    </row>
    <row r="208" spans="2:10" ht="18" hidden="1" outlineLevel="1" x14ac:dyDescent="0.25">
      <c r="B208" s="2003" t="s">
        <v>1156</v>
      </c>
      <c r="C208" s="1785" t="s">
        <v>1206</v>
      </c>
      <c r="D208" s="1785">
        <f>M_MH2S</f>
        <v>34.080880000000001</v>
      </c>
      <c r="E208" s="1787"/>
      <c r="F208" s="1787"/>
      <c r="G208" s="1785" t="s">
        <v>364</v>
      </c>
      <c r="H208" s="2004"/>
      <c r="I208" s="2004"/>
      <c r="J208" s="1785"/>
    </row>
    <row r="209" spans="1:10" collapsed="1" x14ac:dyDescent="0.25"/>
    <row r="210" spans="1:10" ht="15.75" thickBot="1" x14ac:dyDescent="0.3">
      <c r="C210" s="1998" t="s">
        <v>748</v>
      </c>
    </row>
    <row r="211" spans="1:10" ht="15.75" thickBot="1" x14ac:dyDescent="0.3">
      <c r="B211" s="1999" t="s">
        <v>0</v>
      </c>
      <c r="C211" s="2000" t="s">
        <v>1</v>
      </c>
      <c r="D211" s="2001" t="s">
        <v>152</v>
      </c>
      <c r="E211" s="2001" t="s">
        <v>473</v>
      </c>
      <c r="F211" s="2001" t="s">
        <v>474</v>
      </c>
      <c r="G211" s="2001" t="s">
        <v>2</v>
      </c>
      <c r="H211" s="2001" t="s">
        <v>302</v>
      </c>
      <c r="I211" s="2001" t="s">
        <v>116</v>
      </c>
      <c r="J211" s="2002" t="s">
        <v>117</v>
      </c>
    </row>
    <row r="212" spans="1:10" ht="18" outlineLevel="1" x14ac:dyDescent="0.25">
      <c r="B212" s="2003" t="s">
        <v>1207</v>
      </c>
      <c r="C212" s="1785" t="s">
        <v>1132</v>
      </c>
      <c r="D212" s="1785">
        <f>3*A_MCa+2*M_MPO4+4*M_MH2O</f>
        <v>382.23784440000003</v>
      </c>
      <c r="E212" s="1787"/>
      <c r="F212" s="1787"/>
      <c r="G212" s="1785" t="s">
        <v>364</v>
      </c>
      <c r="H212" s="2004"/>
      <c r="I212" s="2004"/>
      <c r="J212" s="1785" t="s">
        <v>4560</v>
      </c>
    </row>
    <row r="213" spans="1:10" ht="18" outlineLevel="1" x14ac:dyDescent="0.25">
      <c r="B213" s="2003" t="s">
        <v>4561</v>
      </c>
      <c r="C213" s="1785" t="s">
        <v>4562</v>
      </c>
      <c r="D213" s="1785">
        <f>2*A_MAl+3*A_MS+12*A_MO</f>
        <v>342.1508</v>
      </c>
      <c r="E213" s="1787"/>
      <c r="F213" s="1787"/>
      <c r="G213" s="1785" t="s">
        <v>364</v>
      </c>
      <c r="H213" s="2004"/>
      <c r="I213" s="2004"/>
      <c r="J213" s="1785"/>
    </row>
    <row r="214" spans="1:10" ht="18" outlineLevel="1" x14ac:dyDescent="0.25">
      <c r="B214" s="2003" t="s">
        <v>4563</v>
      </c>
      <c r="C214" s="1785" t="s">
        <v>4564</v>
      </c>
      <c r="D214" s="1785">
        <f>A_MAl+3*A_MCl</f>
        <v>133.34050000000002</v>
      </c>
      <c r="E214" s="1787"/>
      <c r="F214" s="1787"/>
      <c r="G214" s="1785" t="s">
        <v>364</v>
      </c>
      <c r="H214" s="2004"/>
      <c r="I214" s="2004"/>
      <c r="J214" s="1785"/>
    </row>
    <row r="215" spans="1:10" ht="18" outlineLevel="1" x14ac:dyDescent="0.25">
      <c r="B215" s="2003" t="s">
        <v>3333</v>
      </c>
      <c r="C215" s="1785" t="s">
        <v>2964</v>
      </c>
      <c r="D215" s="1785">
        <f>A_MAl+3*(A_MO+A_MH)</f>
        <v>78.003519999999995</v>
      </c>
      <c r="E215" s="1787"/>
      <c r="F215" s="1787"/>
      <c r="G215" s="1785" t="s">
        <v>364</v>
      </c>
      <c r="H215" s="2004"/>
      <c r="I215" s="2004"/>
      <c r="J215" s="1785"/>
    </row>
    <row r="216" spans="1:10" ht="18" outlineLevel="1" x14ac:dyDescent="0.25">
      <c r="B216" s="2003" t="s">
        <v>3334</v>
      </c>
      <c r="C216" s="1785" t="s">
        <v>2965</v>
      </c>
      <c r="D216" s="1785">
        <f>A_MAl+A_MP+4*A_MO</f>
        <v>121.9528622</v>
      </c>
      <c r="E216" s="1787"/>
      <c r="F216" s="1787"/>
      <c r="G216" s="1785" t="s">
        <v>364</v>
      </c>
      <c r="H216" s="2004"/>
      <c r="I216" s="2004"/>
      <c r="J216" s="1785"/>
    </row>
    <row r="217" spans="1:10" ht="18" x14ac:dyDescent="0.25">
      <c r="A217" s="2005"/>
      <c r="B217" s="2003" t="s">
        <v>4247</v>
      </c>
      <c r="C217" s="1785" t="s">
        <v>4248</v>
      </c>
      <c r="D217" s="1785">
        <f>1*A_MCa+1*A_MH+1*M_MPO4+2*M_MH2O</f>
        <v>172.08786220000002</v>
      </c>
      <c r="E217" s="1787"/>
      <c r="F217" s="1787"/>
      <c r="G217" s="1785" t="s">
        <v>364</v>
      </c>
      <c r="H217" s="2004"/>
      <c r="I217" s="2004"/>
      <c r="J217" s="1785"/>
    </row>
    <row r="218" spans="1:10" s="2006" customFormat="1" ht="18" outlineLevel="1" x14ac:dyDescent="0.25">
      <c r="B218" s="2003" t="s">
        <v>4565</v>
      </c>
      <c r="C218" s="1785" t="s">
        <v>4566</v>
      </c>
      <c r="D218" s="1785">
        <f>A_MCa+2*A_MCl</f>
        <v>110.98400000000001</v>
      </c>
      <c r="E218" s="1787"/>
      <c r="F218" s="1787"/>
      <c r="G218" s="1785" t="s">
        <v>364</v>
      </c>
      <c r="H218" s="2007"/>
      <c r="I218" s="2007"/>
      <c r="J218" s="2008"/>
    </row>
    <row r="219" spans="1:10" s="2006" customFormat="1" ht="18" outlineLevel="1" x14ac:dyDescent="0.25">
      <c r="B219" s="2003" t="s">
        <v>1261</v>
      </c>
      <c r="C219" s="1785" t="s">
        <v>1030</v>
      </c>
      <c r="D219" s="1785">
        <f>A_MCa+A_MC+3*A_MO</f>
        <v>100.0869</v>
      </c>
      <c r="E219" s="1787"/>
      <c r="F219" s="1787"/>
      <c r="G219" s="1785" t="s">
        <v>364</v>
      </c>
      <c r="H219" s="2007"/>
      <c r="I219" s="2007"/>
      <c r="J219" s="2008"/>
    </row>
    <row r="220" spans="1:10" ht="18" outlineLevel="1" x14ac:dyDescent="0.25">
      <c r="B220" s="2003" t="s">
        <v>1300</v>
      </c>
      <c r="C220" s="1785" t="s">
        <v>1332</v>
      </c>
      <c r="D220" s="1785">
        <f>A_MCa+2*A_MH+A_MP+4*A_MO</f>
        <v>137.0652422</v>
      </c>
      <c r="E220" s="1787"/>
      <c r="F220" s="1787"/>
      <c r="G220" s="1785" t="s">
        <v>364</v>
      </c>
      <c r="H220" s="2004"/>
      <c r="I220" s="2004"/>
      <c r="J220" s="1785"/>
    </row>
    <row r="221" spans="1:10" ht="18" outlineLevel="1" x14ac:dyDescent="0.25">
      <c r="B221" s="2003" t="s">
        <v>1297</v>
      </c>
      <c r="C221" s="1785" t="s">
        <v>1329</v>
      </c>
      <c r="D221" s="1785">
        <f>A_MCa+A_MH+A_MC+3*A_MO</f>
        <v>101.09484</v>
      </c>
      <c r="E221" s="1787"/>
      <c r="F221" s="1787"/>
      <c r="G221" s="1785" t="s">
        <v>364</v>
      </c>
      <c r="H221" s="2004"/>
      <c r="I221" s="2004"/>
      <c r="J221" s="1785"/>
    </row>
    <row r="222" spans="1:10" ht="18" outlineLevel="1" x14ac:dyDescent="0.25">
      <c r="B222" s="2003" t="s">
        <v>1299</v>
      </c>
      <c r="C222" s="1785" t="s">
        <v>1331</v>
      </c>
      <c r="D222" s="1785">
        <f>A_MCa+A_MH+A_MP+4*A_MO</f>
        <v>136.05730220000001</v>
      </c>
      <c r="E222" s="1787"/>
      <c r="F222" s="1787"/>
      <c r="G222" s="1785" t="s">
        <v>364</v>
      </c>
      <c r="H222" s="2004"/>
      <c r="I222" s="2004"/>
      <c r="J222" s="1785"/>
    </row>
    <row r="223" spans="1:10" ht="18" outlineLevel="1" x14ac:dyDescent="0.25">
      <c r="B223" s="2003" t="s">
        <v>1295</v>
      </c>
      <c r="C223" s="1785" t="s">
        <v>1296</v>
      </c>
      <c r="D223" s="1785">
        <f>A_MCa+A_MO+A_MH</f>
        <v>57.085340000000002</v>
      </c>
      <c r="E223" s="1787"/>
      <c r="F223" s="1787"/>
      <c r="G223" s="1785" t="s">
        <v>364</v>
      </c>
      <c r="H223" s="2004"/>
      <c r="I223" s="2004"/>
      <c r="J223" s="1785"/>
    </row>
    <row r="224" spans="1:10" ht="18" outlineLevel="1" x14ac:dyDescent="0.25">
      <c r="B224" s="2003" t="s">
        <v>4567</v>
      </c>
      <c r="C224" s="1785" t="s">
        <v>4568</v>
      </c>
      <c r="D224" s="1785">
        <f>A_MCa+2*(A_MO+A_MH)</f>
        <v>74.092680000000001</v>
      </c>
      <c r="E224" s="1787"/>
      <c r="F224" s="1787"/>
      <c r="G224" s="1785" t="s">
        <v>364</v>
      </c>
      <c r="H224" s="2004"/>
      <c r="I224" s="2004"/>
      <c r="J224" s="1785"/>
    </row>
    <row r="225" spans="2:10" ht="18" outlineLevel="1" x14ac:dyDescent="0.25">
      <c r="B225" s="2003" t="s">
        <v>1298</v>
      </c>
      <c r="C225" s="1785" t="s">
        <v>1330</v>
      </c>
      <c r="D225" s="1785">
        <f>A_MCa+A_MP+4*A_MO</f>
        <v>135.04936219999999</v>
      </c>
      <c r="E225" s="1787"/>
      <c r="F225" s="1787"/>
      <c r="G225" s="1785" t="s">
        <v>364</v>
      </c>
      <c r="H225" s="2004"/>
      <c r="I225" s="2004"/>
      <c r="J225" s="1785"/>
    </row>
    <row r="226" spans="2:10" ht="18" outlineLevel="1" x14ac:dyDescent="0.25">
      <c r="B226" s="2003" t="s">
        <v>754</v>
      </c>
      <c r="C226" s="1785" t="s">
        <v>755</v>
      </c>
      <c r="D226" s="1785">
        <f>A_MC+3*A_MH+A_MC+2*A_MO+A_MH</f>
        <v>60.051960000000001</v>
      </c>
      <c r="E226" s="1787"/>
      <c r="F226" s="1787"/>
      <c r="G226" s="1785" t="s">
        <v>364</v>
      </c>
      <c r="H226" s="2004"/>
      <c r="I226" s="2004"/>
      <c r="J226" s="1785"/>
    </row>
    <row r="227" spans="2:10" ht="18" outlineLevel="1" x14ac:dyDescent="0.25">
      <c r="B227" s="2003" t="s">
        <v>752</v>
      </c>
      <c r="C227" s="1785" t="s">
        <v>753</v>
      </c>
      <c r="D227" s="1785">
        <f>A_MC+3*A_MH+A_MO+A_MH</f>
        <v>32.04186</v>
      </c>
      <c r="E227" s="1787"/>
      <c r="F227" s="1787"/>
      <c r="G227" s="1785" t="s">
        <v>364</v>
      </c>
      <c r="H227" s="2004"/>
      <c r="I227" s="2004"/>
      <c r="J227" s="1785"/>
    </row>
    <row r="228" spans="2:10" ht="18" outlineLevel="1" x14ac:dyDescent="0.25">
      <c r="B228" s="2003" t="s">
        <v>1260</v>
      </c>
      <c r="C228" s="1785" t="s">
        <v>740</v>
      </c>
      <c r="D228" s="1785">
        <f>A_MC+2*A_MO</f>
        <v>44.009500000000003</v>
      </c>
      <c r="E228" s="1787"/>
      <c r="F228" s="1787"/>
      <c r="G228" s="1785" t="s">
        <v>364</v>
      </c>
      <c r="H228" s="2004"/>
      <c r="I228" s="2004"/>
      <c r="J228" s="1785"/>
    </row>
    <row r="229" spans="2:10" ht="18" outlineLevel="1" x14ac:dyDescent="0.25">
      <c r="B229" s="2003" t="s">
        <v>1021</v>
      </c>
      <c r="C229" s="1785" t="s">
        <v>1022</v>
      </c>
      <c r="D229" s="1785">
        <f>A_MC + 3*A_MO</f>
        <v>60.008899999999997</v>
      </c>
      <c r="E229" s="1787"/>
      <c r="F229" s="1787"/>
      <c r="G229" s="1785" t="s">
        <v>364</v>
      </c>
      <c r="H229" s="2004"/>
      <c r="I229" s="2004"/>
      <c r="J229" s="1785"/>
    </row>
    <row r="230" spans="2:10" ht="18" outlineLevel="1" x14ac:dyDescent="0.25">
      <c r="B230" s="2003" t="s">
        <v>1257</v>
      </c>
      <c r="C230" s="1785" t="s">
        <v>1258</v>
      </c>
      <c r="D230" s="1785">
        <f>2*A_MFe+3*A_MO</f>
        <v>159.68819999999999</v>
      </c>
      <c r="E230" s="1787"/>
      <c r="F230" s="1787"/>
      <c r="G230" s="1785" t="s">
        <v>364</v>
      </c>
      <c r="H230" s="2004"/>
      <c r="I230" s="2004"/>
      <c r="J230" s="1785"/>
    </row>
    <row r="231" spans="2:10" ht="18" outlineLevel="1" x14ac:dyDescent="0.25">
      <c r="B231" s="2003" t="s">
        <v>4569</v>
      </c>
      <c r="C231" s="1785" t="s">
        <v>4570</v>
      </c>
      <c r="D231" s="1785">
        <f>2*A_MFe+3*A_MS+12*A_MO</f>
        <v>399.87779999999998</v>
      </c>
      <c r="E231" s="1787"/>
      <c r="F231" s="1787"/>
      <c r="G231" s="1785" t="s">
        <v>364</v>
      </c>
      <c r="H231" s="2004"/>
      <c r="I231" s="2004"/>
      <c r="J231" s="1785"/>
    </row>
    <row r="232" spans="2:10" ht="18" outlineLevel="1" x14ac:dyDescent="0.25">
      <c r="B232" s="2003" t="s">
        <v>2359</v>
      </c>
      <c r="C232" s="1785" t="s">
        <v>2360</v>
      </c>
      <c r="D232" s="1785">
        <f>A_MFe+2*A_MCl</f>
        <v>126.751</v>
      </c>
      <c r="E232" s="1787"/>
      <c r="F232" s="1787"/>
      <c r="G232" s="1785" t="s">
        <v>364</v>
      </c>
      <c r="H232" s="2004"/>
      <c r="I232" s="2004"/>
      <c r="J232" s="1785"/>
    </row>
    <row r="233" spans="2:10" ht="18" outlineLevel="1" x14ac:dyDescent="0.25">
      <c r="B233" s="2003" t="s">
        <v>2357</v>
      </c>
      <c r="C233" s="1785" t="s">
        <v>2358</v>
      </c>
      <c r="D233" s="1785">
        <f>A_MFe+3*A_MCl</f>
        <v>162.20400000000001</v>
      </c>
      <c r="E233" s="1787"/>
      <c r="F233" s="1787"/>
      <c r="G233" s="1785" t="s">
        <v>364</v>
      </c>
      <c r="H233" s="2004"/>
      <c r="I233" s="2004"/>
      <c r="J233" s="1785"/>
    </row>
    <row r="234" spans="2:10" ht="18" outlineLevel="1" x14ac:dyDescent="0.25">
      <c r="B234" s="2003" t="s">
        <v>3332</v>
      </c>
      <c r="C234" s="1785" t="s">
        <v>2963</v>
      </c>
      <c r="D234" s="1785">
        <f>A_MFe+3*(A_MO+A_MH)</f>
        <v>106.86702</v>
      </c>
      <c r="E234" s="1787"/>
      <c r="F234" s="1787"/>
      <c r="G234" s="1785" t="s">
        <v>364</v>
      </c>
      <c r="H234" s="2004"/>
      <c r="I234" s="2004"/>
      <c r="J234" s="1785"/>
    </row>
    <row r="235" spans="2:10" ht="18" outlineLevel="1" x14ac:dyDescent="0.25">
      <c r="B235" s="2003" t="s">
        <v>1121</v>
      </c>
      <c r="C235" s="1785" t="s">
        <v>1117</v>
      </c>
      <c r="D235" s="1785">
        <f>A_MFe+A_MS</f>
        <v>87.91</v>
      </c>
      <c r="E235" s="1787"/>
      <c r="F235" s="1787"/>
      <c r="G235" s="1785" t="s">
        <v>364</v>
      </c>
      <c r="H235" s="2004"/>
      <c r="I235" s="2004"/>
      <c r="J235" s="1785"/>
    </row>
    <row r="236" spans="2:10" ht="18" outlineLevel="1" x14ac:dyDescent="0.25">
      <c r="B236" s="2003" t="s">
        <v>2361</v>
      </c>
      <c r="C236" s="1785" t="s">
        <v>2362</v>
      </c>
      <c r="D236" s="1785">
        <f>A_MFe+M_MSO4</f>
        <v>151.9076</v>
      </c>
      <c r="E236" s="1787"/>
      <c r="F236" s="1787"/>
      <c r="G236" s="1785" t="s">
        <v>364</v>
      </c>
      <c r="H236" s="2004"/>
      <c r="I236" s="2004"/>
      <c r="J236" s="1785"/>
    </row>
    <row r="237" spans="2:10" ht="18" outlineLevel="1" x14ac:dyDescent="0.25">
      <c r="B237" s="2003" t="s">
        <v>1025</v>
      </c>
      <c r="C237" s="1785" t="s">
        <v>1026</v>
      </c>
      <c r="D237" s="1785">
        <f>2*A_MH+A_MC + 3*A_MO</f>
        <v>62.024779999999993</v>
      </c>
      <c r="E237" s="1787"/>
      <c r="F237" s="1787"/>
      <c r="G237" s="1785" t="s">
        <v>364</v>
      </c>
      <c r="H237" s="2004"/>
      <c r="I237" s="2004"/>
      <c r="J237" s="1785"/>
    </row>
    <row r="238" spans="2:10" ht="18" outlineLevel="1" x14ac:dyDescent="0.25">
      <c r="B238" s="2003" t="s">
        <v>1118</v>
      </c>
      <c r="C238" s="1785" t="s">
        <v>1119</v>
      </c>
      <c r="D238" s="1785">
        <f>2*A_MH+A_MO</f>
        <v>18.015280000000001</v>
      </c>
      <c r="E238" s="1787"/>
      <c r="F238" s="1787"/>
      <c r="G238" s="1785" t="s">
        <v>364</v>
      </c>
      <c r="H238" s="2004"/>
      <c r="I238" s="2004"/>
      <c r="J238" s="1785"/>
    </row>
    <row r="239" spans="2:10" ht="18" outlineLevel="1" x14ac:dyDescent="0.25">
      <c r="B239" s="2003" t="s">
        <v>4571</v>
      </c>
      <c r="C239" s="1785" t="s">
        <v>4572</v>
      </c>
      <c r="D239" s="1785">
        <f>3*A_MH + A_MP+4*A_MO</f>
        <v>97.995182199999988</v>
      </c>
      <c r="E239" s="1787"/>
      <c r="F239" s="1787"/>
      <c r="G239" s="1785" t="s">
        <v>364</v>
      </c>
      <c r="H239" s="2004"/>
      <c r="I239" s="2004"/>
      <c r="J239" s="1785"/>
    </row>
    <row r="240" spans="2:10" ht="18" outlineLevel="1" x14ac:dyDescent="0.25">
      <c r="B240" s="2003" t="s">
        <v>1112</v>
      </c>
      <c r="C240" s="1785" t="s">
        <v>1029</v>
      </c>
      <c r="D240" s="1785">
        <f>2*A_MH + A_MS</f>
        <v>34.080880000000001</v>
      </c>
      <c r="E240" s="1787"/>
      <c r="F240" s="1787"/>
      <c r="G240" s="1785" t="s">
        <v>364</v>
      </c>
      <c r="H240" s="2004"/>
      <c r="I240" s="2004"/>
      <c r="J240" s="1785"/>
    </row>
    <row r="241" spans="2:10" ht="18" outlineLevel="1" x14ac:dyDescent="0.25">
      <c r="B241" s="2003" t="s">
        <v>1068</v>
      </c>
      <c r="C241" s="1785" t="s">
        <v>1027</v>
      </c>
      <c r="D241" s="1785">
        <f>2*A_MH + A_MS+4*A_MO</f>
        <v>98.078479999999999</v>
      </c>
      <c r="E241" s="1787"/>
      <c r="F241" s="1787"/>
      <c r="G241" s="1785" t="s">
        <v>364</v>
      </c>
      <c r="H241" s="2004"/>
      <c r="I241" s="2004"/>
      <c r="J241" s="1785"/>
    </row>
    <row r="242" spans="2:10" ht="18" outlineLevel="1" x14ac:dyDescent="0.25">
      <c r="B242" s="2003" t="s">
        <v>1293</v>
      </c>
      <c r="C242" s="1785" t="s">
        <v>1294</v>
      </c>
      <c r="D242" s="1785">
        <f>5*A_MCa+A_MP*3+4*3*A_MO+A_MO+A_MH</f>
        <v>502.3114266</v>
      </c>
      <c r="E242" s="1787"/>
      <c r="F242" s="1787"/>
      <c r="G242" s="1785" t="s">
        <v>364</v>
      </c>
      <c r="H242" s="2004"/>
      <c r="I242" s="2004"/>
      <c r="J242" s="1785" t="s">
        <v>4573</v>
      </c>
    </row>
    <row r="243" spans="2:10" ht="18" outlineLevel="1" x14ac:dyDescent="0.25">
      <c r="B243" s="2003" t="s">
        <v>1028</v>
      </c>
      <c r="C243" s="1785" t="s">
        <v>1108</v>
      </c>
      <c r="D243" s="1785">
        <f>A_MH + A_MCl</f>
        <v>36.460940000000001</v>
      </c>
      <c r="E243" s="1787"/>
      <c r="F243" s="1787"/>
      <c r="G243" s="1785" t="s">
        <v>364</v>
      </c>
      <c r="H243" s="2004"/>
      <c r="I243" s="2004"/>
      <c r="J243" s="1785"/>
    </row>
    <row r="244" spans="2:10" ht="18" outlineLevel="1" x14ac:dyDescent="0.25">
      <c r="B244" s="2003" t="s">
        <v>1023</v>
      </c>
      <c r="C244" s="1785" t="s">
        <v>1024</v>
      </c>
      <c r="D244" s="1785">
        <f>A_MH + A_MC + 3*A_MO</f>
        <v>61.016839999999995</v>
      </c>
      <c r="E244" s="1787"/>
      <c r="F244" s="1787"/>
      <c r="G244" s="1785" t="s">
        <v>364</v>
      </c>
      <c r="H244" s="2004"/>
      <c r="I244" s="2004"/>
      <c r="J244" s="1785"/>
    </row>
    <row r="245" spans="2:10" ht="18" outlineLevel="1" x14ac:dyDescent="0.25">
      <c r="B245" s="2003" t="s">
        <v>1291</v>
      </c>
      <c r="C245" s="1785" t="s">
        <v>1292</v>
      </c>
      <c r="D245" s="1785">
        <f>2*A_MCa+A_MP+4*A_MO+2*(A_MO+A_MH)</f>
        <v>209.14204219999999</v>
      </c>
      <c r="E245" s="1787"/>
      <c r="F245" s="1787"/>
      <c r="G245" s="1785" t="s">
        <v>364</v>
      </c>
      <c r="H245" s="2004"/>
      <c r="I245" s="2004"/>
      <c r="J245" s="1785" t="s">
        <v>4574</v>
      </c>
    </row>
    <row r="246" spans="2:10" ht="18" outlineLevel="1" x14ac:dyDescent="0.25">
      <c r="B246" s="2003" t="s">
        <v>4575</v>
      </c>
      <c r="C246" s="1785" t="s">
        <v>4576</v>
      </c>
      <c r="D246" s="1785">
        <f>A_MH + A_MN+3*A_MO</f>
        <v>63.012839999999997</v>
      </c>
      <c r="E246" s="1787"/>
      <c r="F246" s="1787"/>
      <c r="G246" s="1785" t="s">
        <v>364</v>
      </c>
      <c r="H246" s="2004"/>
      <c r="I246" s="2004"/>
      <c r="J246" s="1785"/>
    </row>
    <row r="247" spans="2:10" ht="18" outlineLevel="1" x14ac:dyDescent="0.25">
      <c r="B247" s="2003" t="s">
        <v>1067</v>
      </c>
      <c r="C247" s="1785" t="s">
        <v>1109</v>
      </c>
      <c r="D247" s="1785">
        <f>A_MH + A_MS+4*A_MO</f>
        <v>97.070539999999994</v>
      </c>
      <c r="E247" s="1787"/>
      <c r="F247" s="1787"/>
      <c r="G247" s="1785" t="s">
        <v>364</v>
      </c>
      <c r="H247" s="2004"/>
      <c r="I247" s="2004"/>
      <c r="J247" s="1785"/>
    </row>
    <row r="248" spans="2:10" ht="18" outlineLevel="1" x14ac:dyDescent="0.25">
      <c r="B248" s="2003" t="s">
        <v>1302</v>
      </c>
      <c r="C248" s="1785" t="s">
        <v>1334</v>
      </c>
      <c r="D248" s="1785">
        <f>A_MMg+A_MC+3*A_MO</f>
        <v>84.31389999999999</v>
      </c>
      <c r="E248" s="1787"/>
      <c r="F248" s="1787"/>
      <c r="G248" s="1785" t="s">
        <v>364</v>
      </c>
      <c r="H248" s="2004"/>
      <c r="I248" s="2004"/>
      <c r="J248" s="1785"/>
    </row>
    <row r="249" spans="2:10" ht="18" outlineLevel="1" x14ac:dyDescent="0.25">
      <c r="B249" s="2003" t="s">
        <v>1306</v>
      </c>
      <c r="C249" s="1785" t="s">
        <v>1338</v>
      </c>
      <c r="D249" s="1785">
        <f>A_MMg+2*A_MH+A_MP+4*A_MO</f>
        <v>121.2922422</v>
      </c>
      <c r="E249" s="1787"/>
      <c r="F249" s="1787"/>
      <c r="G249" s="1785" t="s">
        <v>364</v>
      </c>
      <c r="H249" s="2004"/>
      <c r="I249" s="2004"/>
      <c r="J249" s="1785"/>
    </row>
    <row r="250" spans="2:10" ht="18" outlineLevel="1" x14ac:dyDescent="0.25">
      <c r="B250" s="2003" t="s">
        <v>1303</v>
      </c>
      <c r="C250" s="1785" t="s">
        <v>1335</v>
      </c>
      <c r="D250" s="1785">
        <f>A_MMg+A_MH+A_MC+3*A_MO</f>
        <v>85.321839999999995</v>
      </c>
      <c r="E250" s="1787"/>
      <c r="F250" s="1787"/>
      <c r="G250" s="1785" t="s">
        <v>364</v>
      </c>
      <c r="H250" s="2004"/>
      <c r="I250" s="2004"/>
      <c r="J250" s="1785"/>
    </row>
    <row r="251" spans="2:10" ht="18" outlineLevel="1" x14ac:dyDescent="0.25">
      <c r="B251" s="2003" t="s">
        <v>1304</v>
      </c>
      <c r="C251" s="1785" t="s">
        <v>1336</v>
      </c>
      <c r="D251" s="1785">
        <f>A_MMg+A_MH+A_MP+4*A_MO</f>
        <v>120.2843022</v>
      </c>
      <c r="E251" s="1787"/>
      <c r="F251" s="1787"/>
      <c r="G251" s="1785" t="s">
        <v>364</v>
      </c>
      <c r="H251" s="2004"/>
      <c r="I251" s="2004"/>
      <c r="J251" s="1785"/>
    </row>
    <row r="252" spans="2:10" ht="18" outlineLevel="1" x14ac:dyDescent="0.25">
      <c r="B252" s="2003" t="s">
        <v>1301</v>
      </c>
      <c r="C252" s="1785" t="s">
        <v>1333</v>
      </c>
      <c r="D252" s="1785">
        <f>A_MMg+A_MO+A_MH</f>
        <v>41.312339999999999</v>
      </c>
      <c r="E252" s="1787"/>
      <c r="F252" s="1787"/>
      <c r="G252" s="1785" t="s">
        <v>364</v>
      </c>
      <c r="H252" s="2004"/>
      <c r="I252" s="2004"/>
      <c r="J252" s="1785"/>
    </row>
    <row r="253" spans="2:10" ht="18" outlineLevel="1" x14ac:dyDescent="0.25">
      <c r="B253" s="2003" t="s">
        <v>2363</v>
      </c>
      <c r="C253" s="1785" t="s">
        <v>2364</v>
      </c>
      <c r="D253" s="1785">
        <f>A_MMg+2*(A_MO+A_MH)</f>
        <v>58.319679999999998</v>
      </c>
      <c r="E253" s="1787"/>
      <c r="F253" s="1787"/>
      <c r="G253" s="1785" t="s">
        <v>364</v>
      </c>
      <c r="H253" s="2004"/>
      <c r="I253" s="2004"/>
      <c r="J253" s="1785"/>
    </row>
    <row r="254" spans="2:10" ht="18" outlineLevel="1" x14ac:dyDescent="0.25">
      <c r="B254" s="2003" t="s">
        <v>1305</v>
      </c>
      <c r="C254" s="1785" t="s">
        <v>1337</v>
      </c>
      <c r="D254" s="1785">
        <f>A_MMg+A_MP+4*A_MO</f>
        <v>119.27636219999999</v>
      </c>
      <c r="E254" s="1787"/>
      <c r="F254" s="1787"/>
      <c r="G254" s="1785" t="s">
        <v>364</v>
      </c>
      <c r="H254" s="2004"/>
      <c r="I254" s="2004"/>
      <c r="J254" s="1785"/>
    </row>
    <row r="255" spans="2:10" ht="18" outlineLevel="1" x14ac:dyDescent="0.25">
      <c r="B255" s="2003" t="s">
        <v>1289</v>
      </c>
      <c r="C255" s="1785" t="s">
        <v>1290</v>
      </c>
      <c r="D255" s="1785">
        <f>A_MMg+A_MK+A_MP+4*A_MO+6*2*A_MH+6*A_MO</f>
        <v>266.46634219999999</v>
      </c>
      <c r="E255" s="1787"/>
      <c r="F255" s="1787"/>
      <c r="G255" s="1785" t="s">
        <v>364</v>
      </c>
      <c r="H255" s="2004"/>
      <c r="I255" s="2004"/>
      <c r="J255" s="1785"/>
    </row>
    <row r="256" spans="2:10" ht="18" outlineLevel="1" x14ac:dyDescent="0.25">
      <c r="B256" s="2003" t="s">
        <v>1998</v>
      </c>
      <c r="C256" s="1785" t="s">
        <v>1999</v>
      </c>
      <c r="D256" s="1785">
        <f>4*A_MH+A_MC+A_MS</f>
        <v>48.107459999999996</v>
      </c>
      <c r="E256" s="1787"/>
      <c r="F256" s="1787"/>
      <c r="G256" s="1785" t="s">
        <v>364</v>
      </c>
      <c r="H256" s="2004"/>
      <c r="I256" s="2004"/>
      <c r="J256" s="1786" t="s">
        <v>4577</v>
      </c>
    </row>
    <row r="257" spans="2:10" ht="18" outlineLevel="1" x14ac:dyDescent="0.25">
      <c r="B257" s="2003" t="s">
        <v>452</v>
      </c>
      <c r="C257" s="1785" t="s">
        <v>453</v>
      </c>
      <c r="D257" s="1785">
        <f>2*A_MN</f>
        <v>28.013400000000001</v>
      </c>
      <c r="E257" s="1787"/>
      <c r="F257" s="1787"/>
      <c r="G257" s="1785" t="s">
        <v>364</v>
      </c>
      <c r="H257" s="2004"/>
      <c r="I257" s="2004"/>
      <c r="J257" s="1785"/>
    </row>
    <row r="258" spans="2:10" ht="18" outlineLevel="1" x14ac:dyDescent="0.25">
      <c r="B258" s="2009" t="s">
        <v>4578</v>
      </c>
      <c r="C258" s="2008" t="s">
        <v>4579</v>
      </c>
      <c r="D258" s="2008">
        <f>2*A_MN + A_MO</f>
        <v>44.012799999999999</v>
      </c>
      <c r="E258" s="2010"/>
      <c r="F258" s="2010"/>
      <c r="G258" s="2008" t="s">
        <v>364</v>
      </c>
      <c r="H258" s="2004"/>
      <c r="I258" s="2004"/>
      <c r="J258" s="1785"/>
    </row>
    <row r="259" spans="2:10" ht="18" outlineLevel="1" x14ac:dyDescent="0.25">
      <c r="B259" s="2003" t="s">
        <v>2365</v>
      </c>
      <c r="C259" s="1785" t="s">
        <v>2366</v>
      </c>
      <c r="D259" s="1785">
        <f>2*A_MNa+A_MC+3*A_MO</f>
        <v>105.988438</v>
      </c>
      <c r="E259" s="1787"/>
      <c r="F259" s="1787"/>
      <c r="G259" s="1785" t="s">
        <v>364</v>
      </c>
      <c r="H259" s="2004"/>
      <c r="I259" s="2004"/>
      <c r="J259" s="1785"/>
    </row>
    <row r="260" spans="2:10" ht="18" outlineLevel="1" x14ac:dyDescent="0.25">
      <c r="B260" s="2003" t="s">
        <v>1994</v>
      </c>
      <c r="C260" s="1785" t="s">
        <v>1995</v>
      </c>
      <c r="D260" s="1785">
        <f>A_MNa+A_MCl</f>
        <v>58.442768999999998</v>
      </c>
      <c r="E260" s="1787"/>
      <c r="F260" s="1787"/>
      <c r="G260" s="1785" t="s">
        <v>364</v>
      </c>
      <c r="H260" s="2004"/>
      <c r="I260" s="2004"/>
      <c r="J260" s="1785"/>
    </row>
    <row r="261" spans="2:10" ht="18" outlineLevel="1" x14ac:dyDescent="0.25">
      <c r="B261" s="2003" t="s">
        <v>2367</v>
      </c>
      <c r="C261" s="1785" t="s">
        <v>2368</v>
      </c>
      <c r="D261" s="1785">
        <f>A_MNa+A_MH+A_MC+3*A_MO</f>
        <v>84.006608999999997</v>
      </c>
      <c r="E261" s="1787"/>
      <c r="F261" s="1787"/>
      <c r="G261" s="1785" t="s">
        <v>364</v>
      </c>
      <c r="H261" s="2004"/>
      <c r="I261" s="2004"/>
      <c r="J261" s="1785"/>
    </row>
    <row r="262" spans="2:10" ht="18" outlineLevel="1" x14ac:dyDescent="0.25">
      <c r="B262" s="2003" t="s">
        <v>1307</v>
      </c>
      <c r="C262" s="1785" t="s">
        <v>1339</v>
      </c>
      <c r="D262" s="1785">
        <f>A_MNa+A_MH+A_MP+4*A_MO</f>
        <v>118.9690712</v>
      </c>
      <c r="E262" s="1787"/>
      <c r="F262" s="1787"/>
      <c r="G262" s="1785" t="s">
        <v>364</v>
      </c>
      <c r="H262" s="2004"/>
      <c r="I262" s="2004"/>
      <c r="J262" s="1785"/>
    </row>
    <row r="263" spans="2:10" ht="18" outlineLevel="1" x14ac:dyDescent="0.25">
      <c r="B263" s="2003" t="s">
        <v>4580</v>
      </c>
      <c r="C263" s="1785" t="s">
        <v>4581</v>
      </c>
      <c r="D263" s="1785">
        <f>A_MK+A_MN+2*A_MO</f>
        <v>85.103800000000007</v>
      </c>
      <c r="E263" s="1787"/>
      <c r="F263" s="1787"/>
      <c r="G263" s="1785" t="s">
        <v>364</v>
      </c>
      <c r="H263" s="2004"/>
      <c r="I263" s="2004"/>
      <c r="J263" s="1785"/>
    </row>
    <row r="264" spans="2:10" ht="18" outlineLevel="1" x14ac:dyDescent="0.25">
      <c r="B264" s="2003" t="s">
        <v>4582</v>
      </c>
      <c r="C264" s="1785" t="s">
        <v>4583</v>
      </c>
      <c r="D264" s="1785">
        <f>A_MK+A_MN+3*A_MO</f>
        <v>101.1032</v>
      </c>
      <c r="E264" s="1787"/>
      <c r="F264" s="1787"/>
      <c r="G264" s="1785" t="s">
        <v>364</v>
      </c>
      <c r="H264" s="2004"/>
      <c r="I264" s="2004"/>
      <c r="J264" s="1785"/>
    </row>
    <row r="265" spans="2:10" ht="18" outlineLevel="1" x14ac:dyDescent="0.25">
      <c r="B265" s="2003" t="s">
        <v>1996</v>
      </c>
      <c r="C265" s="1785" t="s">
        <v>1997</v>
      </c>
      <c r="D265" s="1785">
        <f>A_MNa+A_MH+A_MO</f>
        <v>39.997109000000002</v>
      </c>
      <c r="E265" s="1787"/>
      <c r="F265" s="1787"/>
      <c r="G265" s="1785" t="s">
        <v>364</v>
      </c>
      <c r="H265" s="2004"/>
      <c r="I265" s="2004"/>
      <c r="J265" s="1785"/>
    </row>
    <row r="266" spans="2:10" ht="18" outlineLevel="1" x14ac:dyDescent="0.25">
      <c r="B266" s="2003" t="s">
        <v>749</v>
      </c>
      <c r="C266" s="1785" t="s">
        <v>750</v>
      </c>
      <c r="D266" s="1785">
        <f>A_MN+3*A_MH</f>
        <v>17.030519999999999</v>
      </c>
      <c r="E266" s="1787"/>
      <c r="F266" s="1787"/>
      <c r="G266" s="1785" t="s">
        <v>364</v>
      </c>
      <c r="H266" s="2004"/>
      <c r="I266" s="2004"/>
      <c r="J266" s="1785"/>
    </row>
    <row r="267" spans="2:10" ht="18" outlineLevel="1" x14ac:dyDescent="0.25">
      <c r="B267" s="2003" t="s">
        <v>1018</v>
      </c>
      <c r="C267" s="1785" t="s">
        <v>3635</v>
      </c>
      <c r="D267" s="1785">
        <f>A_MN+4*A_MH</f>
        <v>18.038460000000001</v>
      </c>
      <c r="E267" s="1787"/>
      <c r="F267" s="1787"/>
      <c r="G267" s="1785" t="s">
        <v>364</v>
      </c>
      <c r="H267" s="2004"/>
      <c r="I267" s="2004"/>
      <c r="J267" s="1785"/>
    </row>
    <row r="268" spans="2:10" ht="18" outlineLevel="1" x14ac:dyDescent="0.25">
      <c r="B268" s="2003" t="s">
        <v>4584</v>
      </c>
      <c r="C268" s="1785" t="s">
        <v>4585</v>
      </c>
      <c r="D268" s="1785">
        <f>M_MNH4+A_MH+A_MC+3*A_MO</f>
        <v>79.055300000000003</v>
      </c>
      <c r="E268" s="1787"/>
      <c r="F268" s="1787"/>
      <c r="G268" s="1785" t="s">
        <v>364</v>
      </c>
      <c r="H268" s="2004"/>
      <c r="I268" s="2004"/>
      <c r="J268" s="1785"/>
    </row>
    <row r="269" spans="2:10" ht="18" outlineLevel="1" x14ac:dyDescent="0.25">
      <c r="B269" s="2009" t="s">
        <v>4586</v>
      </c>
      <c r="C269" s="2008" t="s">
        <v>4587</v>
      </c>
      <c r="D269" s="2008">
        <f>A_MN + A_MO</f>
        <v>30.0061</v>
      </c>
      <c r="E269" s="2010"/>
      <c r="F269" s="2010"/>
      <c r="G269" s="2008" t="s">
        <v>364</v>
      </c>
      <c r="H269" s="2004"/>
      <c r="I269" s="2004"/>
      <c r="J269" s="1785"/>
    </row>
    <row r="270" spans="2:10" ht="18" outlineLevel="1" x14ac:dyDescent="0.25">
      <c r="B270" s="2003" t="s">
        <v>1019</v>
      </c>
      <c r="C270" s="1785" t="s">
        <v>3636</v>
      </c>
      <c r="D270" s="1785">
        <f>A_MN + 2*A_MO</f>
        <v>46.005499999999998</v>
      </c>
      <c r="E270" s="1787"/>
      <c r="F270" s="1787"/>
      <c r="G270" s="1785" t="s">
        <v>364</v>
      </c>
      <c r="H270" s="2004"/>
      <c r="I270" s="2004"/>
      <c r="J270" s="1785"/>
    </row>
    <row r="271" spans="2:10" ht="18" outlineLevel="1" x14ac:dyDescent="0.25">
      <c r="B271" s="2003" t="s">
        <v>1020</v>
      </c>
      <c r="C271" s="1785" t="s">
        <v>3637</v>
      </c>
      <c r="D271" s="1785">
        <f>A_MN + 3*A_MO</f>
        <v>62.004899999999999</v>
      </c>
      <c r="E271" s="1787"/>
      <c r="F271" s="1787"/>
      <c r="G271" s="1785" t="s">
        <v>364</v>
      </c>
      <c r="H271" s="2004"/>
      <c r="I271" s="2004"/>
      <c r="J271" s="1785"/>
    </row>
    <row r="272" spans="2:10" ht="18" outlineLevel="1" x14ac:dyDescent="0.25">
      <c r="B272" s="2003" t="s">
        <v>451</v>
      </c>
      <c r="C272" s="1785" t="s">
        <v>450</v>
      </c>
      <c r="D272" s="1785">
        <f>2*A_MO</f>
        <v>31.998799999999999</v>
      </c>
      <c r="E272" s="1787"/>
      <c r="F272" s="1787"/>
      <c r="G272" s="1785" t="s">
        <v>364</v>
      </c>
      <c r="H272" s="2004"/>
      <c r="I272" s="2004"/>
      <c r="J272" s="1785"/>
    </row>
    <row r="273" spans="2:10" ht="18" outlineLevel="1" x14ac:dyDescent="0.25">
      <c r="B273" s="2003" t="s">
        <v>1259</v>
      </c>
      <c r="C273" s="1785" t="s">
        <v>751</v>
      </c>
      <c r="D273" s="1785">
        <f>A_MP+4*A_MO</f>
        <v>94.971362200000002</v>
      </c>
      <c r="E273" s="1787"/>
      <c r="F273" s="1787"/>
      <c r="G273" s="1785" t="s">
        <v>364</v>
      </c>
      <c r="H273" s="2004"/>
      <c r="I273" s="2004"/>
      <c r="J273" s="1785"/>
    </row>
    <row r="274" spans="2:10" ht="18" outlineLevel="1" x14ac:dyDescent="0.25">
      <c r="B274" s="2003" t="s">
        <v>1032</v>
      </c>
      <c r="C274" s="1785" t="s">
        <v>1033</v>
      </c>
      <c r="D274" s="1785">
        <f>A_MSi + 2*A_MO</f>
        <v>60.084299999999999</v>
      </c>
      <c r="E274" s="1787"/>
      <c r="F274" s="1787"/>
      <c r="G274" s="1785" t="s">
        <v>364</v>
      </c>
      <c r="H274" s="2004"/>
      <c r="I274" s="2004"/>
      <c r="J274" s="1785"/>
    </row>
    <row r="275" spans="2:10" ht="18" outlineLevel="1" x14ac:dyDescent="0.25">
      <c r="B275" s="2003" t="s">
        <v>1066</v>
      </c>
      <c r="C275" s="1785" t="s">
        <v>1111</v>
      </c>
      <c r="D275" s="1785">
        <f>A_MS+4*A_MO</f>
        <v>96.062600000000003</v>
      </c>
      <c r="E275" s="1787"/>
      <c r="F275" s="1787"/>
      <c r="G275" s="1785" t="s">
        <v>364</v>
      </c>
      <c r="H275" s="2004"/>
      <c r="I275" s="2004"/>
      <c r="J275" s="1785"/>
    </row>
    <row r="276" spans="2:10" ht="18" outlineLevel="1" x14ac:dyDescent="0.25">
      <c r="B276" s="2003" t="s">
        <v>1262</v>
      </c>
      <c r="C276" s="1785" t="s">
        <v>1031</v>
      </c>
      <c r="D276" s="1785">
        <f>A_MMg+A_MN+4*A_MH+A_MP+4*A_MO+6*(M_MH2O)</f>
        <v>245.40650220000001</v>
      </c>
      <c r="E276" s="1787"/>
      <c r="F276" s="1787"/>
      <c r="G276" s="1785" t="s">
        <v>364</v>
      </c>
      <c r="H276" s="2004"/>
      <c r="I276" s="2004"/>
      <c r="J276" s="1785" t="s">
        <v>4588</v>
      </c>
    </row>
    <row r="277" spans="2:10" ht="18" outlineLevel="1" x14ac:dyDescent="0.25">
      <c r="B277" s="2003" t="s">
        <v>1120</v>
      </c>
      <c r="C277" s="1785" t="s">
        <v>1116</v>
      </c>
      <c r="D277" s="1785">
        <f>3*A_MFe+2*(A_MP+4*A_MO)+8*M_MH2O</f>
        <v>501.59996439999998</v>
      </c>
      <c r="E277" s="1787"/>
      <c r="F277" s="1787"/>
      <c r="G277" s="1785" t="s">
        <v>364</v>
      </c>
      <c r="H277" s="2004"/>
      <c r="I277" s="2004"/>
      <c r="J277" s="1785" t="s">
        <v>4589</v>
      </c>
    </row>
    <row r="279" spans="2:10" ht="15.75" thickBot="1" x14ac:dyDescent="0.3">
      <c r="C279" s="1998" t="s">
        <v>756</v>
      </c>
    </row>
    <row r="280" spans="2:10" ht="15.75" thickBot="1" x14ac:dyDescent="0.3">
      <c r="B280" s="1999" t="s">
        <v>0</v>
      </c>
      <c r="C280" s="2000" t="s">
        <v>1</v>
      </c>
      <c r="D280" s="2001" t="s">
        <v>152</v>
      </c>
      <c r="E280" s="2001" t="s">
        <v>473</v>
      </c>
      <c r="F280" s="2001" t="s">
        <v>474</v>
      </c>
      <c r="G280" s="2001" t="s">
        <v>2</v>
      </c>
      <c r="H280" s="2001" t="s">
        <v>302</v>
      </c>
      <c r="I280" s="2001" t="s">
        <v>116</v>
      </c>
      <c r="J280" s="2002" t="s">
        <v>117</v>
      </c>
    </row>
    <row r="281" spans="2:10" ht="18" x14ac:dyDescent="0.25">
      <c r="B281" s="2003" t="s">
        <v>1263</v>
      </c>
      <c r="C281" s="1785" t="s">
        <v>1069</v>
      </c>
      <c r="D281" s="1785">
        <f>2*A_MN</f>
        <v>28.013400000000001</v>
      </c>
      <c r="E281" s="1787"/>
      <c r="F281" s="1787"/>
      <c r="G281" s="1785" t="s">
        <v>2000</v>
      </c>
      <c r="H281" s="2004"/>
      <c r="I281" s="2004"/>
      <c r="J281" s="1785"/>
    </row>
    <row r="282" spans="2:10" ht="18" x14ac:dyDescent="0.25">
      <c r="B282" s="2003" t="s">
        <v>1264</v>
      </c>
      <c r="C282" s="1785" t="s">
        <v>1113</v>
      </c>
      <c r="D282" s="1785">
        <f>A_MN</f>
        <v>14.0067</v>
      </c>
      <c r="E282" s="1787"/>
      <c r="F282" s="1787"/>
      <c r="G282" s="1785" t="s">
        <v>2000</v>
      </c>
      <c r="H282" s="2004"/>
      <c r="I282" s="2004"/>
      <c r="J282" s="1785"/>
    </row>
    <row r="283" spans="2:10" ht="18" x14ac:dyDescent="0.25">
      <c r="B283" s="2003" t="s">
        <v>1265</v>
      </c>
      <c r="C283" s="1785" t="s">
        <v>1070</v>
      </c>
      <c r="D283" s="1785">
        <f>A_MN</f>
        <v>14.0067</v>
      </c>
      <c r="E283" s="1787"/>
      <c r="F283" s="1787"/>
      <c r="G283" s="1785" t="s">
        <v>2000</v>
      </c>
      <c r="H283" s="2004"/>
      <c r="I283" s="2004"/>
      <c r="J283" s="1785"/>
    </row>
    <row r="284" spans="2:10" ht="18" x14ac:dyDescent="0.25">
      <c r="B284" s="2003" t="s">
        <v>1266</v>
      </c>
      <c r="C284" s="1785" t="s">
        <v>1071</v>
      </c>
      <c r="D284" s="1785">
        <f>2*A_MN</f>
        <v>28.013400000000001</v>
      </c>
      <c r="E284" s="1787"/>
      <c r="F284" s="1787"/>
      <c r="G284" s="1785" t="s">
        <v>2000</v>
      </c>
      <c r="H284" s="2004"/>
      <c r="I284" s="2004"/>
      <c r="J284" s="1785"/>
    </row>
    <row r="285" spans="2:10" ht="18" x14ac:dyDescent="0.25">
      <c r="B285" s="2003" t="s">
        <v>1267</v>
      </c>
      <c r="C285" s="1785" t="s">
        <v>1072</v>
      </c>
      <c r="D285" s="1785">
        <v>12.0107</v>
      </c>
      <c r="E285" s="1787"/>
      <c r="F285" s="1787"/>
      <c r="G285" s="1785" t="s">
        <v>364</v>
      </c>
      <c r="H285" s="2004"/>
      <c r="I285" s="2004"/>
      <c r="J285" s="1785" t="s">
        <v>1268</v>
      </c>
    </row>
    <row r="286" spans="2:10" ht="18" x14ac:dyDescent="0.25">
      <c r="B286" s="2003" t="s">
        <v>1269</v>
      </c>
      <c r="C286" s="1785" t="s">
        <v>1073</v>
      </c>
      <c r="D286" s="1785">
        <f>2*A_MO</f>
        <v>31.998799999999999</v>
      </c>
      <c r="E286" s="1787"/>
      <c r="F286" s="1787"/>
      <c r="G286" s="1785" t="s">
        <v>364</v>
      </c>
      <c r="H286" s="2004"/>
      <c r="I286" s="2004"/>
      <c r="J286" s="1785"/>
    </row>
    <row r="287" spans="2:10" ht="18" x14ac:dyDescent="0.25">
      <c r="B287" s="2003" t="s">
        <v>757</v>
      </c>
      <c r="C287" s="1785" t="s">
        <v>1074</v>
      </c>
      <c r="D287" s="1785">
        <v>63.997599999999998</v>
      </c>
      <c r="E287" s="1787"/>
      <c r="F287" s="1787"/>
      <c r="G287" s="1785" t="s">
        <v>2001</v>
      </c>
      <c r="H287" s="2004"/>
      <c r="I287" s="2004"/>
      <c r="J287" s="1785"/>
    </row>
    <row r="288" spans="2:10" ht="18" x14ac:dyDescent="0.25">
      <c r="B288" s="2003" t="s">
        <v>758</v>
      </c>
      <c r="C288" s="1785" t="s">
        <v>1075</v>
      </c>
      <c r="D288" s="1785">
        <f>2*7.9997</f>
        <v>15.9994</v>
      </c>
      <c r="E288" s="1787"/>
      <c r="F288" s="1787"/>
      <c r="G288" s="1785" t="s">
        <v>2001</v>
      </c>
      <c r="H288" s="2004"/>
      <c r="I288" s="2004"/>
      <c r="J288" s="1785"/>
    </row>
    <row r="289" spans="2:10" ht="18" x14ac:dyDescent="0.25">
      <c r="B289" s="2003" t="s">
        <v>1150</v>
      </c>
      <c r="C289" s="1785" t="s">
        <v>1151</v>
      </c>
      <c r="D289" s="1785">
        <f>A_MS</f>
        <v>32.064999999999998</v>
      </c>
      <c r="E289" s="1787"/>
      <c r="F289" s="1787"/>
      <c r="G289" s="1785" t="s">
        <v>2002</v>
      </c>
      <c r="H289" s="2004"/>
      <c r="I289" s="2004"/>
      <c r="J289" s="1785"/>
    </row>
    <row r="291" spans="2:10" ht="15.75" thickBot="1" x14ac:dyDescent="0.3">
      <c r="C291" s="1998" t="s">
        <v>759</v>
      </c>
    </row>
    <row r="292" spans="2:10" x14ac:dyDescent="0.25">
      <c r="B292" s="2011" t="s">
        <v>0</v>
      </c>
      <c r="C292" s="2012" t="s">
        <v>1</v>
      </c>
      <c r="D292" s="2013" t="s">
        <v>152</v>
      </c>
      <c r="E292" s="2013" t="s">
        <v>473</v>
      </c>
      <c r="F292" s="2013" t="s">
        <v>474</v>
      </c>
      <c r="G292" s="2013" t="s">
        <v>2</v>
      </c>
      <c r="H292" s="2013" t="s">
        <v>302</v>
      </c>
      <c r="I292" s="2013" t="s">
        <v>116</v>
      </c>
      <c r="J292" s="2014" t="s">
        <v>117</v>
      </c>
    </row>
    <row r="293" spans="2:10" ht="18" x14ac:dyDescent="0.35">
      <c r="B293" s="1787" t="s">
        <v>917</v>
      </c>
      <c r="C293" s="1787" t="s">
        <v>2966</v>
      </c>
      <c r="D293" s="1787">
        <f>10^-13.997</f>
        <v>1.0069316688518014E-14</v>
      </c>
      <c r="E293" s="1787"/>
      <c r="F293" s="1787"/>
      <c r="G293" s="1787"/>
      <c r="H293" s="1787"/>
      <c r="I293" s="1787"/>
      <c r="J293" s="1787" t="s">
        <v>2967</v>
      </c>
    </row>
    <row r="294" spans="2:10" ht="18" x14ac:dyDescent="0.35">
      <c r="B294" s="1787" t="s">
        <v>3335</v>
      </c>
      <c r="C294" s="1787" t="s">
        <v>2968</v>
      </c>
      <c r="D294" s="1787">
        <f>10^-9.244</f>
        <v>5.7016427228074759E-10</v>
      </c>
      <c r="E294" s="1787"/>
      <c r="F294" s="1787"/>
      <c r="G294" s="1787"/>
      <c r="H294" s="1787"/>
      <c r="I294" s="1787"/>
      <c r="J294" s="1787" t="s">
        <v>2969</v>
      </c>
    </row>
    <row r="295" spans="2:10" ht="18" x14ac:dyDescent="0.35">
      <c r="B295" s="1787" t="s">
        <v>3336</v>
      </c>
      <c r="C295" s="1787" t="s">
        <v>2970</v>
      </c>
      <c r="D295" s="1787">
        <f>10^-3.35</f>
        <v>4.4668359215096267E-4</v>
      </c>
      <c r="E295" s="1787"/>
      <c r="F295" s="1787"/>
      <c r="G295" s="1787"/>
      <c r="H295" s="1787"/>
      <c r="I295" s="1787"/>
      <c r="J295" s="1787" t="s">
        <v>2971</v>
      </c>
    </row>
    <row r="296" spans="2:10" ht="18" x14ac:dyDescent="0.35">
      <c r="B296" s="1787" t="s">
        <v>918</v>
      </c>
      <c r="C296" s="1787" t="s">
        <v>2972</v>
      </c>
      <c r="D296" s="1787">
        <f>10^-6.352</f>
        <v>4.4463126746910741E-7</v>
      </c>
      <c r="E296" s="1787"/>
      <c r="F296" s="1787"/>
      <c r="G296" s="1787"/>
      <c r="H296" s="1787"/>
      <c r="I296" s="1787"/>
      <c r="J296" s="1787" t="s">
        <v>2973</v>
      </c>
    </row>
    <row r="297" spans="2:10" ht="18" x14ac:dyDescent="0.35">
      <c r="B297" s="1787" t="s">
        <v>919</v>
      </c>
      <c r="C297" s="1787" t="s">
        <v>2974</v>
      </c>
      <c r="D297" s="1787">
        <f>10^-10.329</f>
        <v>4.6881338214526346E-11</v>
      </c>
      <c r="E297" s="1787"/>
      <c r="F297" s="1787"/>
      <c r="G297" s="1787"/>
      <c r="H297" s="1787"/>
      <c r="I297" s="1787"/>
      <c r="J297" s="1787" t="s">
        <v>2975</v>
      </c>
    </row>
    <row r="298" spans="2:10" ht="18" x14ac:dyDescent="0.35">
      <c r="B298" s="1787" t="s">
        <v>920</v>
      </c>
      <c r="C298" s="1787" t="s">
        <v>2976</v>
      </c>
      <c r="D298" s="1787">
        <f>10^-2.148</f>
        <v>7.1121351365332815E-3</v>
      </c>
      <c r="E298" s="1787"/>
      <c r="F298" s="1787"/>
      <c r="G298" s="1787"/>
      <c r="H298" s="1787"/>
      <c r="I298" s="1787"/>
      <c r="J298" s="1787" t="s">
        <v>2977</v>
      </c>
    </row>
    <row r="299" spans="2:10" ht="18" x14ac:dyDescent="0.35">
      <c r="B299" s="1787" t="s">
        <v>921</v>
      </c>
      <c r="C299" s="1787" t="s">
        <v>2978</v>
      </c>
      <c r="D299" s="1787">
        <f>10^-7.198</f>
        <v>6.3386971125692633E-8</v>
      </c>
      <c r="E299" s="1787"/>
      <c r="F299" s="1787"/>
      <c r="G299" s="1787"/>
      <c r="H299" s="1787"/>
      <c r="I299" s="1787"/>
      <c r="J299" s="1787" t="s">
        <v>2979</v>
      </c>
    </row>
    <row r="300" spans="2:10" ht="18" x14ac:dyDescent="0.35">
      <c r="B300" s="1787" t="s">
        <v>922</v>
      </c>
      <c r="C300" s="1787" t="s">
        <v>2980</v>
      </c>
      <c r="D300" s="1787">
        <f>10^-12.375</f>
        <v>4.216965034285812E-13</v>
      </c>
      <c r="E300" s="1787"/>
      <c r="F300" s="1787"/>
      <c r="G300" s="1787"/>
      <c r="H300" s="1787"/>
      <c r="I300" s="1787"/>
      <c r="J300" s="1787" t="s">
        <v>2981</v>
      </c>
    </row>
    <row r="301" spans="2:10" ht="18" x14ac:dyDescent="0.35">
      <c r="B301" s="1787" t="s">
        <v>3337</v>
      </c>
      <c r="C301" s="1787" t="s">
        <v>2982</v>
      </c>
      <c r="D301" s="1787">
        <f>10^-4.757</f>
        <v>1.7498466886246563E-5</v>
      </c>
      <c r="E301" s="1787"/>
      <c r="F301" s="1787"/>
      <c r="G301" s="1787"/>
      <c r="H301" s="1787"/>
      <c r="I301" s="1787"/>
      <c r="J301" s="1787" t="s">
        <v>2983</v>
      </c>
    </row>
    <row r="302" spans="2:10" ht="18" x14ac:dyDescent="0.35">
      <c r="B302" s="1787" t="s">
        <v>4590</v>
      </c>
      <c r="C302" s="1787" t="s">
        <v>4591</v>
      </c>
      <c r="D302" s="1787">
        <v>1.3365955165464412E-5</v>
      </c>
      <c r="E302" s="1787"/>
      <c r="F302" s="1787"/>
      <c r="G302" s="1787"/>
      <c r="H302" s="1787"/>
      <c r="I302" s="1787"/>
      <c r="J302" s="1787" t="s">
        <v>4592</v>
      </c>
    </row>
    <row r="303" spans="2:10" ht="18" x14ac:dyDescent="0.35">
      <c r="B303" s="1787" t="s">
        <v>4593</v>
      </c>
      <c r="C303" s="1787" t="s">
        <v>4594</v>
      </c>
      <c r="D303" s="1787">
        <v>1.5170503674593348E-5</v>
      </c>
      <c r="E303" s="1787"/>
      <c r="F303" s="1787"/>
      <c r="G303" s="1787"/>
      <c r="H303" s="1787"/>
      <c r="I303" s="1787"/>
      <c r="J303" s="1787" t="s">
        <v>4592</v>
      </c>
    </row>
    <row r="304" spans="2:10" ht="18" x14ac:dyDescent="0.35">
      <c r="B304" s="1787" t="s">
        <v>4595</v>
      </c>
      <c r="C304" s="1787" t="s">
        <v>4596</v>
      </c>
      <c r="D304" s="1787">
        <v>1.4354894333536556E-5</v>
      </c>
      <c r="E304" s="1787"/>
      <c r="F304" s="1787"/>
      <c r="G304" s="1787"/>
      <c r="H304" s="1787"/>
      <c r="I304" s="1787"/>
      <c r="J304" s="1787" t="s">
        <v>4592</v>
      </c>
    </row>
    <row r="305" spans="1:10" ht="18" x14ac:dyDescent="0.35">
      <c r="B305" s="1787" t="s">
        <v>1340</v>
      </c>
      <c r="C305" s="1787" t="s">
        <v>2984</v>
      </c>
      <c r="D305" s="1787">
        <f>10^(-7.02)</f>
        <v>9.5499258602143556E-8</v>
      </c>
      <c r="E305" s="1787"/>
      <c r="F305" s="1787"/>
      <c r="G305" s="1787"/>
      <c r="H305" s="1787"/>
      <c r="I305" s="1787"/>
      <c r="J305" s="1787" t="s">
        <v>2985</v>
      </c>
    </row>
    <row r="306" spans="1:10" ht="18" x14ac:dyDescent="0.35">
      <c r="B306" s="1787" t="s">
        <v>1341</v>
      </c>
      <c r="C306" s="1787" t="s">
        <v>2986</v>
      </c>
      <c r="D306" s="1787">
        <f>10^(-17.3)</f>
        <v>5.0118723362726963E-18</v>
      </c>
      <c r="E306" s="1787"/>
      <c r="F306" s="1787"/>
      <c r="G306" s="1787"/>
      <c r="H306" s="1787"/>
      <c r="I306" s="1787"/>
      <c r="J306" s="1787" t="s">
        <v>2985</v>
      </c>
    </row>
    <row r="307" spans="1:10" ht="18" x14ac:dyDescent="0.35">
      <c r="B307" s="1787" t="s">
        <v>1342</v>
      </c>
      <c r="C307" s="1787" t="s">
        <v>2987</v>
      </c>
      <c r="D307" s="1787">
        <f>10^(3)</f>
        <v>1000</v>
      </c>
      <c r="E307" s="1787"/>
      <c r="F307" s="1787"/>
      <c r="G307" s="1787"/>
      <c r="H307" s="1787"/>
      <c r="I307" s="1787"/>
      <c r="J307" s="1787" t="s">
        <v>1270</v>
      </c>
    </row>
    <row r="308" spans="1:10" ht="18" x14ac:dyDescent="0.35">
      <c r="B308" s="1787" t="s">
        <v>1343</v>
      </c>
      <c r="C308" s="1787" t="s">
        <v>2988</v>
      </c>
      <c r="D308" s="1787">
        <f>10^(-1.99)</f>
        <v>1.0232929922807535E-2</v>
      </c>
      <c r="E308" s="1787"/>
      <c r="F308" s="1787"/>
      <c r="G308" s="1787"/>
      <c r="H308" s="1787"/>
      <c r="I308" s="1787"/>
      <c r="J308" s="1787" t="s">
        <v>2989</v>
      </c>
    </row>
    <row r="309" spans="1:10" ht="18" x14ac:dyDescent="0.35">
      <c r="B309" s="1787" t="s">
        <v>3338</v>
      </c>
      <c r="C309" s="1787" t="s">
        <v>2984</v>
      </c>
      <c r="D309" s="1787">
        <f>10^(-7.02)</f>
        <v>9.5499258602143556E-8</v>
      </c>
      <c r="E309" s="1787"/>
      <c r="F309" s="1787"/>
      <c r="G309" s="1787"/>
      <c r="H309" s="1787"/>
      <c r="I309" s="1787"/>
      <c r="J309" s="1787" t="s">
        <v>2989</v>
      </c>
    </row>
    <row r="311" spans="1:10" ht="15.75" thickBot="1" x14ac:dyDescent="0.3">
      <c r="C311" s="1998" t="s">
        <v>1308</v>
      </c>
    </row>
    <row r="312" spans="1:10" ht="15.75" thickBot="1" x14ac:dyDescent="0.3">
      <c r="B312" s="1999" t="s">
        <v>0</v>
      </c>
      <c r="C312" s="2000" t="s">
        <v>1</v>
      </c>
      <c r="D312" s="2001" t="s">
        <v>152</v>
      </c>
      <c r="E312" s="2001" t="s">
        <v>473</v>
      </c>
      <c r="F312" s="2001" t="s">
        <v>474</v>
      </c>
      <c r="G312" s="2001" t="s">
        <v>2</v>
      </c>
      <c r="H312" s="2001" t="s">
        <v>302</v>
      </c>
      <c r="I312" s="2001" t="s">
        <v>116</v>
      </c>
      <c r="J312" s="2002" t="s">
        <v>117</v>
      </c>
    </row>
    <row r="313" spans="1:10" ht="18" x14ac:dyDescent="0.25">
      <c r="B313" s="2003" t="s">
        <v>1318</v>
      </c>
      <c r="C313" s="1785" t="s">
        <v>3638</v>
      </c>
      <c r="D313" s="1785">
        <f>10^(-6.35)</f>
        <v>4.4668359215096327E-7</v>
      </c>
      <c r="E313" s="1787"/>
      <c r="F313" s="1787"/>
      <c r="G313" s="1785"/>
      <c r="H313" s="2004"/>
      <c r="I313" s="2004"/>
      <c r="J313" s="1785"/>
    </row>
    <row r="314" spans="1:10" ht="18" x14ac:dyDescent="0.25">
      <c r="B314" s="2003" t="s">
        <v>1319</v>
      </c>
      <c r="C314" s="1785" t="s">
        <v>3639</v>
      </c>
      <c r="D314" s="1785">
        <v>6.9180000000000002E-14</v>
      </c>
      <c r="E314" s="1787"/>
      <c r="F314" s="1787"/>
      <c r="G314" s="1785"/>
      <c r="H314" s="2004"/>
      <c r="I314" s="2004"/>
      <c r="J314" s="1785"/>
    </row>
    <row r="315" spans="1:10" ht="18" x14ac:dyDescent="0.25">
      <c r="B315" s="2003" t="s">
        <v>1323</v>
      </c>
      <c r="C315" s="1785" t="s">
        <v>2990</v>
      </c>
      <c r="D315" s="2015">
        <f>10^(-25.46)</f>
        <v>3.4673685045252971E-26</v>
      </c>
      <c r="E315" s="1787"/>
      <c r="F315" s="1787"/>
      <c r="G315" s="1785"/>
      <c r="H315" s="2004"/>
      <c r="I315" s="2004"/>
      <c r="J315" s="1785" t="s">
        <v>4597</v>
      </c>
    </row>
    <row r="316" spans="1:10" ht="18" x14ac:dyDescent="0.25">
      <c r="A316" s="2005"/>
      <c r="B316" s="2003" t="s">
        <v>4244</v>
      </c>
      <c r="C316" s="1785" t="s">
        <v>4245</v>
      </c>
      <c r="D316" s="2015">
        <f>10^-6.6</f>
        <v>2.511886431509578E-7</v>
      </c>
      <c r="E316" s="1787"/>
      <c r="F316" s="1787"/>
      <c r="G316" s="1785"/>
      <c r="H316" s="2004"/>
      <c r="I316" s="2004"/>
      <c r="J316" s="1785" t="s">
        <v>4246</v>
      </c>
    </row>
    <row r="317" spans="1:10" ht="18" x14ac:dyDescent="0.25">
      <c r="B317" s="2003" t="s">
        <v>1320</v>
      </c>
      <c r="C317" s="1785" t="s">
        <v>2991</v>
      </c>
      <c r="D317" s="1785">
        <v>9.9999999999999994E-37</v>
      </c>
      <c r="E317" s="1787"/>
      <c r="F317" s="1787"/>
      <c r="G317" s="1785"/>
      <c r="H317" s="2004"/>
      <c r="I317" s="2004"/>
      <c r="J317" s="1785" t="s">
        <v>1866</v>
      </c>
    </row>
    <row r="318" spans="1:10" ht="18" x14ac:dyDescent="0.25">
      <c r="B318" s="2003" t="s">
        <v>1344</v>
      </c>
      <c r="C318" s="1785" t="s">
        <v>2992</v>
      </c>
      <c r="D318" s="1785">
        <f>3.7*10^-19</f>
        <v>3.7000000000000001E-19</v>
      </c>
      <c r="E318" s="1787"/>
      <c r="F318" s="1787"/>
      <c r="G318" s="1785"/>
      <c r="H318" s="2004"/>
      <c r="I318" s="2004"/>
      <c r="J318" s="1785"/>
    </row>
    <row r="319" spans="1:10" ht="18" x14ac:dyDescent="0.25">
      <c r="B319" s="2003" t="s">
        <v>1321</v>
      </c>
      <c r="C319" s="1785" t="s">
        <v>2993</v>
      </c>
      <c r="D319" s="1785">
        <v>2.7500000000000001E-22</v>
      </c>
      <c r="E319" s="1787"/>
      <c r="F319" s="1787"/>
      <c r="G319" s="1785"/>
      <c r="H319" s="2004"/>
      <c r="I319" s="2004"/>
      <c r="J319" s="1785"/>
    </row>
    <row r="320" spans="1:10" ht="18" x14ac:dyDescent="0.25">
      <c r="B320" s="2003" t="s">
        <v>1322</v>
      </c>
      <c r="C320" s="1785" t="s">
        <v>2994</v>
      </c>
      <c r="D320" s="1785">
        <f>10^(-16)</f>
        <v>9.9999999999999998E-17</v>
      </c>
      <c r="E320" s="1787"/>
      <c r="F320" s="1787"/>
      <c r="G320" s="1785"/>
      <c r="H320" s="2004"/>
      <c r="I320" s="2004"/>
      <c r="J320" s="1785"/>
    </row>
    <row r="322" spans="1:10" ht="15.75" thickBot="1" x14ac:dyDescent="0.3">
      <c r="C322" s="1998" t="s">
        <v>761</v>
      </c>
    </row>
    <row r="323" spans="1:10" ht="15.75" thickBot="1" x14ac:dyDescent="0.3">
      <c r="B323" s="1999" t="s">
        <v>0</v>
      </c>
      <c r="C323" s="2000" t="s">
        <v>1</v>
      </c>
      <c r="D323" s="2001" t="s">
        <v>152</v>
      </c>
      <c r="E323" s="2001" t="s">
        <v>473</v>
      </c>
      <c r="F323" s="2001" t="s">
        <v>474</v>
      </c>
      <c r="G323" s="2001" t="s">
        <v>2</v>
      </c>
      <c r="H323" s="2001" t="s">
        <v>302</v>
      </c>
      <c r="I323" s="2001" t="s">
        <v>116</v>
      </c>
      <c r="J323" s="2002" t="s">
        <v>117</v>
      </c>
    </row>
    <row r="324" spans="1:10" ht="18" x14ac:dyDescent="0.25">
      <c r="B324" s="2003" t="s">
        <v>762</v>
      </c>
      <c r="C324" s="1785" t="s">
        <v>763</v>
      </c>
      <c r="D324" s="1785">
        <f>3*A_MO/(2*A_MN)</f>
        <v>1.7134014435948508</v>
      </c>
      <c r="E324" s="1787"/>
      <c r="F324" s="1787"/>
      <c r="G324" s="1785" t="s">
        <v>2003</v>
      </c>
      <c r="H324" s="2004"/>
      <c r="I324" s="2004"/>
      <c r="J324" s="1785" t="s">
        <v>263</v>
      </c>
    </row>
    <row r="325" spans="1:10" ht="18" x14ac:dyDescent="0.25">
      <c r="B325" s="2003" t="s">
        <v>764</v>
      </c>
      <c r="C325" s="1785" t="s">
        <v>765</v>
      </c>
      <c r="D325" s="1785">
        <f>2*A_MO/(A_MN)</f>
        <v>2.2845352581264677</v>
      </c>
      <c r="E325" s="1787"/>
      <c r="F325" s="1787"/>
      <c r="G325" s="1785" t="s">
        <v>2003</v>
      </c>
      <c r="H325" s="2004"/>
      <c r="I325" s="2004"/>
      <c r="J325" s="1785" t="s">
        <v>263</v>
      </c>
    </row>
    <row r="326" spans="1:10" ht="18" x14ac:dyDescent="0.25">
      <c r="B326" s="2003" t="s">
        <v>766</v>
      </c>
      <c r="C326" s="1785" t="s">
        <v>767</v>
      </c>
      <c r="D326" s="1785">
        <f>2.5*A_MO/(A_MN)</f>
        <v>2.8556690726580851</v>
      </c>
      <c r="E326" s="1787"/>
      <c r="F326" s="1787"/>
      <c r="G326" s="1785" t="s">
        <v>2003</v>
      </c>
      <c r="H326" s="2004"/>
      <c r="I326" s="2004"/>
      <c r="J326" s="1785" t="s">
        <v>263</v>
      </c>
    </row>
    <row r="327" spans="1:10" ht="18" x14ac:dyDescent="0.25">
      <c r="B327" s="2003" t="s">
        <v>768</v>
      </c>
      <c r="C327" s="1785" t="s">
        <v>769</v>
      </c>
      <c r="D327" s="1785">
        <f>3*A_MO/A_MN</f>
        <v>3.4268028871897016</v>
      </c>
      <c r="E327" s="1787"/>
      <c r="F327" s="1787"/>
      <c r="G327" s="1785" t="s">
        <v>2003</v>
      </c>
      <c r="H327" s="2004"/>
      <c r="I327" s="2004"/>
      <c r="J327" s="1785" t="s">
        <v>263</v>
      </c>
    </row>
    <row r="328" spans="1:10" ht="18" x14ac:dyDescent="0.25">
      <c r="B328" s="2003" t="s">
        <v>770</v>
      </c>
      <c r="C328" s="1785" t="s">
        <v>771</v>
      </c>
      <c r="D328" s="1785">
        <f>4*A_MO/A_MN</f>
        <v>4.5690705162529355</v>
      </c>
      <c r="E328" s="1787"/>
      <c r="F328" s="1787"/>
      <c r="G328" s="1785" t="s">
        <v>2003</v>
      </c>
      <c r="H328" s="2004"/>
      <c r="I328" s="2004"/>
      <c r="J328" s="1785" t="s">
        <v>263</v>
      </c>
    </row>
    <row r="329" spans="1:10" ht="18" x14ac:dyDescent="0.25">
      <c r="A329" s="2016"/>
      <c r="B329" s="2003" t="s">
        <v>4598</v>
      </c>
      <c r="C329" s="1785" t="s">
        <v>4599</v>
      </c>
      <c r="D329" s="1785">
        <f>A_MO/A_MN</f>
        <v>1.1422676290632339</v>
      </c>
      <c r="E329" s="1787"/>
      <c r="F329" s="1787"/>
      <c r="G329" s="1785" t="s">
        <v>2003</v>
      </c>
      <c r="H329" s="2004"/>
      <c r="I329" s="2004"/>
      <c r="J329" s="1785" t="s">
        <v>263</v>
      </c>
    </row>
    <row r="330" spans="1:10" ht="18" x14ac:dyDescent="0.25">
      <c r="A330" s="2016"/>
      <c r="B330" s="2003" t="s">
        <v>4600</v>
      </c>
      <c r="C330" s="1785" t="s">
        <v>4601</v>
      </c>
      <c r="D330" s="1785">
        <f>1.5*A_MO/A_MN</f>
        <v>1.7134014435948508</v>
      </c>
      <c r="E330" s="1787"/>
      <c r="F330" s="1787"/>
      <c r="G330" s="1785" t="s">
        <v>2003</v>
      </c>
      <c r="H330" s="2004"/>
      <c r="I330" s="2004"/>
      <c r="J330" s="1785" t="s">
        <v>263</v>
      </c>
    </row>
    <row r="331" spans="1:10" ht="18" x14ac:dyDescent="0.25">
      <c r="B331" s="2003" t="s">
        <v>1034</v>
      </c>
      <c r="C331" s="1785" t="s">
        <v>772</v>
      </c>
      <c r="D331" s="1785">
        <f>A_MO/A_MN</f>
        <v>1.1422676290632339</v>
      </c>
      <c r="E331" s="1787"/>
      <c r="F331" s="1787"/>
      <c r="G331" s="1785" t="s">
        <v>2003</v>
      </c>
      <c r="H331" s="2004"/>
      <c r="I331" s="2004"/>
      <c r="J331" s="1785"/>
    </row>
    <row r="332" spans="1:10" ht="18" x14ac:dyDescent="0.25">
      <c r="B332" s="2003" t="s">
        <v>1035</v>
      </c>
      <c r="C332" s="1785" t="s">
        <v>773</v>
      </c>
      <c r="D332" s="1785">
        <f>3*A_MO/(2*A_MN)</f>
        <v>1.7134014435948508</v>
      </c>
      <c r="E332" s="1787"/>
      <c r="F332" s="1787"/>
      <c r="G332" s="1785" t="s">
        <v>2003</v>
      </c>
      <c r="H332" s="2004"/>
      <c r="I332" s="2004"/>
      <c r="J332" s="1785"/>
    </row>
    <row r="333" spans="1:10" ht="18" x14ac:dyDescent="0.25">
      <c r="B333" s="2003" t="s">
        <v>1036</v>
      </c>
      <c r="C333" s="1785" t="s">
        <v>774</v>
      </c>
      <c r="D333" s="1785">
        <f>0.5*A_MO/A_MN</f>
        <v>0.57113381453161693</v>
      </c>
      <c r="E333" s="1787"/>
      <c r="F333" s="1787"/>
      <c r="G333" s="1785" t="s">
        <v>2003</v>
      </c>
      <c r="H333" s="2004"/>
      <c r="I333" s="2004"/>
      <c r="J333" s="1785"/>
    </row>
    <row r="334" spans="1:10" ht="18" x14ac:dyDescent="0.25">
      <c r="B334" s="2003" t="s">
        <v>1037</v>
      </c>
      <c r="C334" s="1785" t="s">
        <v>775</v>
      </c>
      <c r="D334" s="1785">
        <f>0.5*A_MO/A_MN</f>
        <v>0.57113381453161693</v>
      </c>
      <c r="E334" s="1787"/>
      <c r="F334" s="1787"/>
      <c r="G334" s="1785" t="s">
        <v>2003</v>
      </c>
      <c r="H334" s="2004"/>
      <c r="I334" s="2004"/>
      <c r="J334" s="1785"/>
    </row>
    <row r="335" spans="1:10" ht="18" x14ac:dyDescent="0.25">
      <c r="B335" s="2003" t="s">
        <v>1038</v>
      </c>
      <c r="C335" s="1785" t="s">
        <v>776</v>
      </c>
      <c r="D335" s="1785">
        <f>0.5*A_MO/A_MN</f>
        <v>0.57113381453161693</v>
      </c>
      <c r="E335" s="1787"/>
      <c r="F335" s="1787"/>
      <c r="G335" s="1785" t="s">
        <v>2003</v>
      </c>
      <c r="H335" s="2004"/>
      <c r="I335" s="2004"/>
      <c r="J335" s="1785"/>
    </row>
    <row r="336" spans="1:10" ht="18" x14ac:dyDescent="0.25">
      <c r="B336" s="2003" t="s">
        <v>1076</v>
      </c>
      <c r="C336" s="1785" t="s">
        <v>792</v>
      </c>
      <c r="D336" s="1785">
        <f>5*A_MO/(2*A_MN)</f>
        <v>2.8556690726580851</v>
      </c>
      <c r="E336" s="1787"/>
      <c r="F336" s="1787"/>
      <c r="G336" s="1785" t="s">
        <v>2003</v>
      </c>
      <c r="H336" s="2004"/>
      <c r="I336" s="2004"/>
      <c r="J336" s="1785"/>
    </row>
    <row r="337" spans="2:10" ht="18" x14ac:dyDescent="0.25">
      <c r="B337" s="2003" t="s">
        <v>1345</v>
      </c>
      <c r="C337" s="1785" t="s">
        <v>1346</v>
      </c>
      <c r="D337" s="1785">
        <f>8/A_MFe</f>
        <v>0.14325364849136002</v>
      </c>
      <c r="E337" s="1787"/>
      <c r="F337" s="1787"/>
      <c r="G337" s="1785" t="s">
        <v>2004</v>
      </c>
      <c r="H337" s="2004"/>
      <c r="I337" s="2004"/>
      <c r="J337" s="1785"/>
    </row>
    <row r="338" spans="2:10" ht="18" x14ac:dyDescent="0.25">
      <c r="B338" s="2003" t="s">
        <v>1328</v>
      </c>
      <c r="C338" s="1785" t="s">
        <v>1316</v>
      </c>
      <c r="D338" s="1785">
        <f>3*A_MO/(A_MS)</f>
        <v>1.4969031654451894</v>
      </c>
      <c r="E338" s="1787"/>
      <c r="F338" s="1787"/>
      <c r="G338" s="1785" t="s">
        <v>2005</v>
      </c>
      <c r="H338" s="2004"/>
      <c r="I338" s="2004"/>
      <c r="J338" s="1785" t="s">
        <v>1271</v>
      </c>
    </row>
    <row r="339" spans="2:10" ht="18" x14ac:dyDescent="0.25">
      <c r="B339" s="2003" t="s">
        <v>1148</v>
      </c>
      <c r="C339" s="1785" t="s">
        <v>1208</v>
      </c>
      <c r="D339" s="1785">
        <f>4*A_MO/(A_MS)</f>
        <v>1.9958708872602526</v>
      </c>
      <c r="E339" s="1787"/>
      <c r="F339" s="1787"/>
      <c r="G339" s="1785" t="s">
        <v>2006</v>
      </c>
      <c r="H339" s="2004"/>
      <c r="I339" s="2004"/>
      <c r="J339" s="1785" t="s">
        <v>1271</v>
      </c>
    </row>
    <row r="341" spans="2:10" ht="15.75" thickBot="1" x14ac:dyDescent="0.3">
      <c r="C341" s="1998" t="s">
        <v>923</v>
      </c>
    </row>
    <row r="342" spans="2:10" ht="15.75" thickBot="1" x14ac:dyDescent="0.3">
      <c r="B342" s="1999" t="s">
        <v>0</v>
      </c>
      <c r="C342" s="2000" t="s">
        <v>1</v>
      </c>
      <c r="D342" s="2001" t="s">
        <v>152</v>
      </c>
      <c r="E342" s="2001" t="s">
        <v>473</v>
      </c>
      <c r="F342" s="2001" t="s">
        <v>474</v>
      </c>
      <c r="G342" s="2001" t="s">
        <v>2</v>
      </c>
      <c r="H342" s="2001" t="s">
        <v>302</v>
      </c>
      <c r="I342" s="2001" t="s">
        <v>116</v>
      </c>
      <c r="J342" s="2002" t="s">
        <v>117</v>
      </c>
    </row>
    <row r="343" spans="2:10" ht="18" x14ac:dyDescent="0.25">
      <c r="B343" s="2003" t="s">
        <v>924</v>
      </c>
      <c r="C343" s="1785" t="s">
        <v>925</v>
      </c>
      <c r="D343" s="1785">
        <v>0.5</v>
      </c>
      <c r="E343" s="1787"/>
      <c r="F343" s="1787"/>
      <c r="G343" s="1785"/>
      <c r="H343" s="2004"/>
      <c r="I343" s="2004"/>
      <c r="J343" s="1785" t="s">
        <v>1077</v>
      </c>
    </row>
    <row r="344" spans="2:10" ht="18" x14ac:dyDescent="0.25">
      <c r="B344" s="2003" t="s">
        <v>926</v>
      </c>
      <c r="C344" s="1785" t="s">
        <v>927</v>
      </c>
      <c r="D344" s="1785">
        <v>0.5</v>
      </c>
      <c r="E344" s="1787"/>
      <c r="F344" s="1787"/>
      <c r="G344" s="1785"/>
      <c r="H344" s="2004"/>
      <c r="I344" s="2004"/>
      <c r="J344" s="1785" t="s">
        <v>1078</v>
      </c>
    </row>
    <row r="345" spans="2:10" ht="18" x14ac:dyDescent="0.25">
      <c r="B345" s="2003" t="s">
        <v>928</v>
      </c>
      <c r="C345" s="1785" t="s">
        <v>929</v>
      </c>
      <c r="D345" s="1785">
        <v>2</v>
      </c>
      <c r="E345" s="1787"/>
      <c r="F345" s="1787"/>
      <c r="G345" s="1785"/>
      <c r="H345" s="2004"/>
      <c r="I345" s="2004"/>
      <c r="J345" s="1785" t="s">
        <v>1079</v>
      </c>
    </row>
    <row r="346" spans="2:10" ht="18" x14ac:dyDescent="0.25">
      <c r="B346" s="2003" t="s">
        <v>930</v>
      </c>
      <c r="C346" s="1785" t="s">
        <v>931</v>
      </c>
      <c r="D346" s="1785">
        <v>2</v>
      </c>
      <c r="E346" s="1787"/>
      <c r="F346" s="1787"/>
      <c r="G346" s="1785"/>
      <c r="H346" s="2004"/>
      <c r="I346" s="2004"/>
      <c r="J346" s="1785" t="s">
        <v>1080</v>
      </c>
    </row>
    <row r="347" spans="2:10" ht="18" x14ac:dyDescent="0.25">
      <c r="B347" s="2003" t="s">
        <v>932</v>
      </c>
      <c r="C347" s="1785" t="s">
        <v>933</v>
      </c>
      <c r="D347" s="1785">
        <v>4.5</v>
      </c>
      <c r="E347" s="1787"/>
      <c r="F347" s="1787"/>
      <c r="G347" s="1785"/>
      <c r="H347" s="2004"/>
      <c r="I347" s="2004"/>
      <c r="J347" s="1785" t="s">
        <v>1081</v>
      </c>
    </row>
    <row r="348" spans="2:10" ht="18" x14ac:dyDescent="0.25">
      <c r="B348" s="2003" t="s">
        <v>934</v>
      </c>
      <c r="C348" s="1785" t="s">
        <v>935</v>
      </c>
      <c r="D348" s="1785">
        <v>4.5</v>
      </c>
      <c r="E348" s="1787"/>
      <c r="F348" s="1787"/>
      <c r="G348" s="1785"/>
      <c r="H348" s="2004"/>
      <c r="I348" s="2004"/>
      <c r="J348" s="1785" t="s">
        <v>1082</v>
      </c>
    </row>
    <row r="350" spans="2:10" ht="15.75" thickBot="1" x14ac:dyDescent="0.3">
      <c r="C350" s="1998" t="s">
        <v>902</v>
      </c>
    </row>
    <row r="351" spans="2:10" ht="15.75" thickBot="1" x14ac:dyDescent="0.3">
      <c r="B351" s="1999" t="s">
        <v>0</v>
      </c>
      <c r="C351" s="2000" t="s">
        <v>1</v>
      </c>
      <c r="D351" s="2001" t="s">
        <v>152</v>
      </c>
      <c r="E351" s="2001" t="s">
        <v>473</v>
      </c>
      <c r="F351" s="2001" t="s">
        <v>474</v>
      </c>
      <c r="G351" s="2001" t="s">
        <v>2</v>
      </c>
      <c r="H351" s="2001" t="s">
        <v>302</v>
      </c>
      <c r="I351" s="2001" t="s">
        <v>116</v>
      </c>
      <c r="J351" s="2002" t="s">
        <v>117</v>
      </c>
    </row>
    <row r="352" spans="2:10" ht="18" x14ac:dyDescent="0.25">
      <c r="B352" s="2003" t="s">
        <v>903</v>
      </c>
      <c r="C352" s="1785" t="s">
        <v>904</v>
      </c>
      <c r="D352" s="1785">
        <v>6.4135999999999997E-5</v>
      </c>
      <c r="E352" s="1787"/>
      <c r="F352" s="1787"/>
      <c r="G352" s="1785" t="s">
        <v>387</v>
      </c>
      <c r="H352" s="2004"/>
      <c r="I352" s="2004"/>
      <c r="J352" s="1785" t="s">
        <v>1272</v>
      </c>
    </row>
    <row r="354" spans="2:10" ht="15.75" thickBot="1" x14ac:dyDescent="0.3">
      <c r="C354" s="1998" t="s">
        <v>902</v>
      </c>
    </row>
    <row r="355" spans="2:10" ht="15.75" thickBot="1" x14ac:dyDescent="0.3">
      <c r="B355" s="1999" t="s">
        <v>0</v>
      </c>
      <c r="C355" s="2000" t="s">
        <v>1</v>
      </c>
      <c r="D355" s="2001" t="s">
        <v>152</v>
      </c>
      <c r="E355" s="2001" t="s">
        <v>473</v>
      </c>
      <c r="F355" s="2001" t="s">
        <v>474</v>
      </c>
      <c r="G355" s="2001" t="s">
        <v>2</v>
      </c>
      <c r="H355" s="2001" t="s">
        <v>302</v>
      </c>
      <c r="I355" s="2001" t="s">
        <v>116</v>
      </c>
      <c r="J355" s="2002" t="s">
        <v>117</v>
      </c>
    </row>
    <row r="356" spans="2:10" ht="18" x14ac:dyDescent="0.25">
      <c r="B356" s="2003" t="s">
        <v>2369</v>
      </c>
      <c r="C356" s="1785" t="s">
        <v>1865</v>
      </c>
      <c r="D356" s="1785">
        <v>0.6</v>
      </c>
      <c r="E356" s="1787" t="s">
        <v>1217</v>
      </c>
      <c r="F356" s="1787" t="s">
        <v>2253</v>
      </c>
      <c r="G356" s="1785" t="s">
        <v>2370</v>
      </c>
      <c r="H356" s="2004"/>
      <c r="I356" s="2004"/>
      <c r="J356" s="1785" t="s">
        <v>2371</v>
      </c>
    </row>
    <row r="358" spans="2:10" ht="15.75" thickBot="1" x14ac:dyDescent="0.3">
      <c r="C358" s="1998" t="s">
        <v>936</v>
      </c>
    </row>
    <row r="359" spans="2:10" ht="15.75" thickBot="1" x14ac:dyDescent="0.3">
      <c r="B359" s="1999" t="s">
        <v>0</v>
      </c>
      <c r="C359" s="2000" t="s">
        <v>1</v>
      </c>
      <c r="D359" s="2001" t="s">
        <v>152</v>
      </c>
      <c r="E359" s="2001" t="s">
        <v>473</v>
      </c>
      <c r="F359" s="2001" t="s">
        <v>474</v>
      </c>
      <c r="G359" s="2001" t="s">
        <v>2</v>
      </c>
      <c r="H359" s="2001" t="s">
        <v>302</v>
      </c>
      <c r="I359" s="2001" t="s">
        <v>116</v>
      </c>
      <c r="J359" s="2002" t="s">
        <v>117</v>
      </c>
    </row>
    <row r="360" spans="2:10" ht="18" outlineLevel="1" x14ac:dyDescent="0.25">
      <c r="B360" s="2003" t="s">
        <v>937</v>
      </c>
      <c r="C360" s="1785" t="s">
        <v>938</v>
      </c>
      <c r="D360" s="1785">
        <v>1000000</v>
      </c>
      <c r="E360" s="1787"/>
      <c r="F360" s="1787"/>
      <c r="G360" s="1785" t="s">
        <v>2007</v>
      </c>
      <c r="H360" s="2004"/>
      <c r="I360" s="2004"/>
      <c r="J360" s="1785"/>
    </row>
    <row r="361" spans="2:10" ht="18" outlineLevel="1" x14ac:dyDescent="0.25">
      <c r="B361" s="2003" t="s">
        <v>1859</v>
      </c>
      <c r="C361" s="1785" t="s">
        <v>1860</v>
      </c>
      <c r="D361" s="1785">
        <v>100</v>
      </c>
      <c r="E361" s="1787"/>
      <c r="F361" s="1787"/>
      <c r="G361" s="1785" t="s">
        <v>2008</v>
      </c>
      <c r="H361" s="2004"/>
      <c r="I361" s="2004"/>
      <c r="J361" s="1785"/>
    </row>
    <row r="362" spans="2:10" ht="18" outlineLevel="1" x14ac:dyDescent="0.25">
      <c r="B362" s="2003" t="s">
        <v>1867</v>
      </c>
      <c r="C362" s="1785" t="s">
        <v>1868</v>
      </c>
      <c r="D362" s="1785">
        <v>100</v>
      </c>
      <c r="E362" s="1787"/>
      <c r="F362" s="1787"/>
      <c r="G362" s="1785" t="s">
        <v>1869</v>
      </c>
      <c r="H362" s="2004"/>
      <c r="I362" s="2004"/>
      <c r="J362" s="1785"/>
    </row>
    <row r="363" spans="2:10" ht="18" outlineLevel="1" x14ac:dyDescent="0.25">
      <c r="B363" s="2003" t="s">
        <v>4602</v>
      </c>
      <c r="C363" s="1785" t="s">
        <v>4603</v>
      </c>
      <c r="D363" s="1785">
        <v>1000</v>
      </c>
      <c r="E363" s="1787"/>
      <c r="F363" s="1787"/>
      <c r="G363" s="1785" t="s">
        <v>4604</v>
      </c>
      <c r="H363" s="2004"/>
      <c r="I363" s="2004"/>
      <c r="J363" s="1785"/>
    </row>
    <row r="364" spans="2:10" ht="18" outlineLevel="1" x14ac:dyDescent="0.25">
      <c r="B364" s="2003" t="s">
        <v>939</v>
      </c>
      <c r="C364" s="1785" t="s">
        <v>1599</v>
      </c>
      <c r="D364" s="1785">
        <v>86400</v>
      </c>
      <c r="E364" s="1787"/>
      <c r="F364" s="1787"/>
      <c r="G364" s="1785" t="s">
        <v>1600</v>
      </c>
      <c r="H364" s="2004"/>
      <c r="I364" s="2004"/>
      <c r="J364" s="1785"/>
    </row>
    <row r="365" spans="2:10" ht="18" outlineLevel="1" x14ac:dyDescent="0.25">
      <c r="B365" s="2003" t="s">
        <v>1601</v>
      </c>
      <c r="C365" s="1785" t="s">
        <v>1602</v>
      </c>
      <c r="D365" s="1785">
        <v>3600</v>
      </c>
      <c r="E365" s="1787"/>
      <c r="F365" s="1787"/>
      <c r="G365" s="1785" t="s">
        <v>1603</v>
      </c>
      <c r="H365" s="2004"/>
      <c r="I365" s="2004"/>
      <c r="J365" s="1785"/>
    </row>
    <row r="366" spans="2:10" ht="18" outlineLevel="1" x14ac:dyDescent="0.25">
      <c r="B366" s="2003" t="s">
        <v>4605</v>
      </c>
      <c r="C366" s="1785" t="s">
        <v>4606</v>
      </c>
      <c r="D366" s="1785">
        <v>60</v>
      </c>
      <c r="E366" s="1787"/>
      <c r="F366" s="1787"/>
      <c r="G366" s="1785" t="s">
        <v>4607</v>
      </c>
      <c r="H366" s="2004"/>
      <c r="I366" s="2004"/>
      <c r="J366" s="1785"/>
    </row>
    <row r="367" spans="2:10" ht="18" outlineLevel="1" x14ac:dyDescent="0.25">
      <c r="B367" s="2003" t="s">
        <v>4608</v>
      </c>
      <c r="C367" s="1785" t="s">
        <v>4609</v>
      </c>
      <c r="D367" s="1785">
        <v>1440</v>
      </c>
      <c r="E367" s="1787"/>
      <c r="F367" s="1787"/>
      <c r="G367" s="1785" t="s">
        <v>4610</v>
      </c>
      <c r="H367" s="2004"/>
      <c r="I367" s="2004"/>
      <c r="J367" s="1785"/>
    </row>
    <row r="368" spans="2:10" ht="18" outlineLevel="1" x14ac:dyDescent="0.25">
      <c r="B368" s="2003" t="s">
        <v>3640</v>
      </c>
      <c r="C368" s="1785" t="s">
        <v>3641</v>
      </c>
      <c r="D368" s="1785">
        <v>60</v>
      </c>
      <c r="E368" s="1787"/>
      <c r="F368" s="1787"/>
      <c r="G368" s="1785" t="s">
        <v>3642</v>
      </c>
      <c r="H368" s="2004"/>
      <c r="I368" s="2004"/>
      <c r="J368" s="1785"/>
    </row>
    <row r="369" spans="2:10" ht="18" outlineLevel="1" x14ac:dyDescent="0.25">
      <c r="B369" s="2003" t="s">
        <v>3643</v>
      </c>
      <c r="C369" s="1785" t="s">
        <v>3644</v>
      </c>
      <c r="D369" s="1785">
        <v>24</v>
      </c>
      <c r="E369" s="1787"/>
      <c r="F369" s="1787"/>
      <c r="G369" s="1785" t="s">
        <v>3645</v>
      </c>
      <c r="H369" s="2004"/>
      <c r="I369" s="2004"/>
      <c r="J369" s="1785"/>
    </row>
    <row r="370" spans="2:10" ht="18" outlineLevel="1" x14ac:dyDescent="0.25">
      <c r="B370" s="2003" t="s">
        <v>2372</v>
      </c>
      <c r="C370" s="1785" t="s">
        <v>2373</v>
      </c>
      <c r="D370" s="1785">
        <v>86400000</v>
      </c>
      <c r="E370" s="1787"/>
      <c r="F370" s="1787"/>
      <c r="G370" s="1785" t="s">
        <v>2374</v>
      </c>
      <c r="H370" s="2004"/>
      <c r="I370" s="2004"/>
      <c r="J370" s="1785"/>
    </row>
    <row r="371" spans="2:10" ht="18" outlineLevel="1" x14ac:dyDescent="0.25">
      <c r="B371" s="2003" t="s">
        <v>1083</v>
      </c>
      <c r="C371" s="1785" t="s">
        <v>1084</v>
      </c>
      <c r="D371" s="1785">
        <v>3600000</v>
      </c>
      <c r="E371" s="1787"/>
      <c r="F371" s="1787"/>
      <c r="G371" s="1785" t="s">
        <v>1085</v>
      </c>
      <c r="H371" s="2004"/>
      <c r="I371" s="2004"/>
      <c r="J371" s="1785"/>
    </row>
    <row r="372" spans="2:10" ht="18" outlineLevel="1" x14ac:dyDescent="0.25">
      <c r="B372" s="2003" t="s">
        <v>3646</v>
      </c>
      <c r="C372" s="1785" t="s">
        <v>3647</v>
      </c>
      <c r="D372" s="1785">
        <v>60000</v>
      </c>
      <c r="E372" s="1787"/>
      <c r="F372" s="1787"/>
      <c r="G372" s="1785" t="s">
        <v>3648</v>
      </c>
      <c r="H372" s="2004"/>
      <c r="I372" s="2004"/>
      <c r="J372" s="1785"/>
    </row>
    <row r="373" spans="2:10" ht="18" outlineLevel="1" x14ac:dyDescent="0.25">
      <c r="B373" s="2003" t="s">
        <v>2375</v>
      </c>
      <c r="C373" s="1785" t="s">
        <v>2376</v>
      </c>
      <c r="D373" s="1785">
        <v>1000</v>
      </c>
      <c r="E373" s="1787"/>
      <c r="F373" s="1787"/>
      <c r="G373" s="1785" t="s">
        <v>2377</v>
      </c>
      <c r="H373" s="2004"/>
      <c r="I373" s="2004"/>
      <c r="J373" s="1785"/>
    </row>
    <row r="374" spans="2:10" ht="18" outlineLevel="1" x14ac:dyDescent="0.25">
      <c r="B374" s="2003" t="s">
        <v>4611</v>
      </c>
      <c r="C374" s="1785" t="s">
        <v>4612</v>
      </c>
      <c r="D374" s="1785">
        <v>7</v>
      </c>
      <c r="E374" s="1787"/>
      <c r="F374" s="1787"/>
      <c r="G374" s="1785" t="s">
        <v>4613</v>
      </c>
      <c r="H374" s="2004"/>
      <c r="I374" s="2004"/>
      <c r="J374" s="1785"/>
    </row>
    <row r="375" spans="2:10" ht="18" outlineLevel="1" x14ac:dyDescent="0.25">
      <c r="B375" s="2003" t="s">
        <v>4614</v>
      </c>
      <c r="C375" s="1785" t="s">
        <v>4615</v>
      </c>
      <c r="D375" s="1785">
        <v>30</v>
      </c>
      <c r="E375" s="1787"/>
      <c r="F375" s="1787"/>
      <c r="G375" s="1785" t="s">
        <v>4616</v>
      </c>
      <c r="H375" s="2004"/>
      <c r="I375" s="2004"/>
      <c r="J375" s="1785"/>
    </row>
    <row r="376" spans="2:10" ht="18" outlineLevel="1" x14ac:dyDescent="0.25">
      <c r="B376" s="2003" t="s">
        <v>4617</v>
      </c>
      <c r="C376" s="1785" t="s">
        <v>4618</v>
      </c>
      <c r="D376" s="1785">
        <v>365</v>
      </c>
      <c r="E376" s="1787"/>
      <c r="F376" s="1787"/>
      <c r="G376" s="1785" t="s">
        <v>4619</v>
      </c>
      <c r="H376" s="2004"/>
      <c r="I376" s="2004"/>
      <c r="J376" s="1785"/>
    </row>
    <row r="377" spans="2:10" ht="18" outlineLevel="1" x14ac:dyDescent="0.25">
      <c r="B377" s="2003" t="s">
        <v>940</v>
      </c>
      <c r="C377" s="1785" t="s">
        <v>941</v>
      </c>
      <c r="D377" s="1785">
        <v>1000</v>
      </c>
      <c r="E377" s="1787"/>
      <c r="F377" s="1787"/>
      <c r="G377" s="1785" t="s">
        <v>1604</v>
      </c>
      <c r="H377" s="2004"/>
      <c r="I377" s="2004"/>
      <c r="J377" s="1785"/>
    </row>
    <row r="378" spans="2:10" ht="18" outlineLevel="1" x14ac:dyDescent="0.25">
      <c r="B378" s="2003" t="s">
        <v>1039</v>
      </c>
      <c r="C378" s="1785" t="s">
        <v>1040</v>
      </c>
      <c r="D378" s="1785">
        <v>1000</v>
      </c>
      <c r="E378" s="1787"/>
      <c r="F378" s="1787"/>
      <c r="G378" s="1785" t="s">
        <v>1605</v>
      </c>
      <c r="H378" s="2004"/>
      <c r="I378" s="2004"/>
      <c r="J378" s="1785"/>
    </row>
    <row r="379" spans="2:10" ht="18" outlineLevel="1" x14ac:dyDescent="0.25">
      <c r="B379" s="2003" t="s">
        <v>4620</v>
      </c>
      <c r="C379" s="1785" t="s">
        <v>4621</v>
      </c>
      <c r="D379" s="1785">
        <v>1000000</v>
      </c>
      <c r="E379" s="1787"/>
      <c r="F379" s="1787"/>
      <c r="G379" s="1785" t="s">
        <v>4622</v>
      </c>
      <c r="H379" s="2004"/>
      <c r="I379" s="2004"/>
      <c r="J379" s="1785"/>
    </row>
    <row r="380" spans="2:10" ht="18" outlineLevel="1" x14ac:dyDescent="0.25">
      <c r="B380" s="2003" t="s">
        <v>942</v>
      </c>
      <c r="C380" s="1785" t="s">
        <v>1606</v>
      </c>
      <c r="D380" s="1785">
        <v>1000</v>
      </c>
      <c r="E380" s="1787"/>
      <c r="F380" s="1787"/>
      <c r="G380" s="1785" t="s">
        <v>1607</v>
      </c>
      <c r="H380" s="2004"/>
      <c r="I380" s="2004"/>
      <c r="J380" s="1785"/>
    </row>
    <row r="381" spans="2:10" ht="18" outlineLevel="1" x14ac:dyDescent="0.25">
      <c r="B381" s="2017" t="s">
        <v>3649</v>
      </c>
      <c r="C381" s="2017" t="s">
        <v>3650</v>
      </c>
      <c r="D381" s="2017">
        <v>1000</v>
      </c>
      <c r="E381" s="2017"/>
      <c r="F381" s="2017"/>
      <c r="G381" s="2017" t="s">
        <v>3651</v>
      </c>
      <c r="H381" s="2017"/>
      <c r="I381" s="2017"/>
      <c r="J381" s="2017"/>
    </row>
    <row r="382" spans="2:10" ht="18" outlineLevel="1" x14ac:dyDescent="0.25">
      <c r="B382" s="2017" t="s">
        <v>4623</v>
      </c>
      <c r="C382" s="2017" t="s">
        <v>3650</v>
      </c>
      <c r="D382" s="2017">
        <v>1000</v>
      </c>
      <c r="E382" s="2017"/>
      <c r="F382" s="2017"/>
      <c r="G382" s="2017" t="s">
        <v>4624</v>
      </c>
      <c r="H382" s="2017"/>
      <c r="I382" s="2017"/>
      <c r="J382" s="2017"/>
    </row>
    <row r="383" spans="2:10" ht="18" outlineLevel="1" x14ac:dyDescent="0.25">
      <c r="B383" s="2003" t="s">
        <v>4625</v>
      </c>
      <c r="C383" s="1785" t="s">
        <v>4626</v>
      </c>
      <c r="D383" s="1785">
        <v>1000000</v>
      </c>
      <c r="E383" s="1787"/>
      <c r="F383" s="1787"/>
      <c r="G383" s="1785" t="s">
        <v>4627</v>
      </c>
      <c r="H383" s="2004"/>
      <c r="I383" s="2004"/>
      <c r="J383" s="1785"/>
    </row>
    <row r="384" spans="2:10" ht="18" outlineLevel="1" x14ac:dyDescent="0.25">
      <c r="B384" s="2003" t="s">
        <v>1041</v>
      </c>
      <c r="C384" s="1785" t="s">
        <v>2009</v>
      </c>
      <c r="D384" s="1785">
        <v>133.32236800000001</v>
      </c>
      <c r="E384" s="1787"/>
      <c r="F384" s="1787"/>
      <c r="G384" s="1785" t="s">
        <v>1608</v>
      </c>
      <c r="H384" s="2004"/>
      <c r="I384" s="2004"/>
      <c r="J384" s="1785"/>
    </row>
    <row r="385" spans="2:10" ht="18" outlineLevel="1" x14ac:dyDescent="0.25">
      <c r="B385" s="2003" t="s">
        <v>1042</v>
      </c>
      <c r="C385" s="1785" t="s">
        <v>2010</v>
      </c>
      <c r="D385" s="1785">
        <v>100000</v>
      </c>
      <c r="E385" s="1787"/>
      <c r="F385" s="1787"/>
      <c r="G385" s="1785" t="s">
        <v>1609</v>
      </c>
      <c r="H385" s="2004"/>
      <c r="I385" s="2004"/>
      <c r="J385" s="1785"/>
    </row>
    <row r="386" spans="2:10" ht="18" outlineLevel="1" x14ac:dyDescent="0.25">
      <c r="B386" s="2003" t="s">
        <v>4628</v>
      </c>
      <c r="C386" s="1785" t="s">
        <v>4629</v>
      </c>
      <c r="D386" s="1785">
        <v>100</v>
      </c>
      <c r="E386" s="1787"/>
      <c r="F386" s="1787"/>
      <c r="G386" s="1785" t="s">
        <v>4630</v>
      </c>
      <c r="H386" s="2004"/>
      <c r="I386" s="2004"/>
      <c r="J386" s="1785"/>
    </row>
    <row r="387" spans="2:10" ht="18" outlineLevel="1" x14ac:dyDescent="0.25">
      <c r="B387" s="2003" t="s">
        <v>4631</v>
      </c>
      <c r="C387" s="1785" t="s">
        <v>4632</v>
      </c>
      <c r="D387" s="1785">
        <v>1000000</v>
      </c>
      <c r="E387" s="1787"/>
      <c r="F387" s="1787"/>
      <c r="G387" s="1785" t="s">
        <v>4633</v>
      </c>
      <c r="H387" s="2004"/>
      <c r="I387" s="2004"/>
      <c r="J387" s="1785"/>
    </row>
    <row r="388" spans="2:10" ht="18" outlineLevel="1" x14ac:dyDescent="0.25">
      <c r="B388" s="2003" t="s">
        <v>4634</v>
      </c>
      <c r="C388" s="1785" t="s">
        <v>4635</v>
      </c>
      <c r="D388" s="1785">
        <v>1000</v>
      </c>
      <c r="E388" s="1787"/>
      <c r="F388" s="1787"/>
      <c r="G388" s="1785" t="s">
        <v>4636</v>
      </c>
      <c r="H388" s="2004"/>
      <c r="I388" s="2004"/>
      <c r="J388" s="1785"/>
    </row>
    <row r="389" spans="2:10" ht="18" outlineLevel="1" x14ac:dyDescent="0.25">
      <c r="B389" s="2003" t="s">
        <v>3652</v>
      </c>
      <c r="C389" s="1785" t="s">
        <v>3653</v>
      </c>
      <c r="D389" s="1785">
        <v>100</v>
      </c>
      <c r="E389" s="1787"/>
      <c r="F389" s="1787"/>
      <c r="G389" s="1785" t="s">
        <v>4637</v>
      </c>
      <c r="H389" s="2004"/>
      <c r="I389" s="2004"/>
      <c r="J389" s="1785"/>
    </row>
    <row r="390" spans="2:10" ht="18" outlineLevel="1" x14ac:dyDescent="0.25">
      <c r="B390" s="2003" t="s">
        <v>1043</v>
      </c>
      <c r="C390" s="1785" t="s">
        <v>2011</v>
      </c>
      <c r="D390" s="1785">
        <v>10000</v>
      </c>
      <c r="E390" s="1787"/>
      <c r="F390" s="1787"/>
      <c r="G390" s="1785" t="s">
        <v>1610</v>
      </c>
      <c r="H390" s="2004"/>
      <c r="I390" s="2004"/>
      <c r="J390" s="1785"/>
    </row>
    <row r="391" spans="2:10" ht="18" outlineLevel="1" x14ac:dyDescent="0.25">
      <c r="B391" s="2003" t="s">
        <v>2012</v>
      </c>
      <c r="C391" s="1785" t="s">
        <v>2013</v>
      </c>
      <c r="D391" s="1785">
        <v>1000000</v>
      </c>
      <c r="E391" s="1787"/>
      <c r="F391" s="1787"/>
      <c r="G391" s="1785" t="s">
        <v>2014</v>
      </c>
      <c r="H391" s="2004"/>
      <c r="I391" s="2004"/>
      <c r="J391" s="1785"/>
    </row>
    <row r="392" spans="2:10" ht="18" outlineLevel="1" x14ac:dyDescent="0.25">
      <c r="B392" s="2003" t="s">
        <v>4638</v>
      </c>
      <c r="C392" s="1785" t="s">
        <v>4639</v>
      </c>
      <c r="D392" s="1785">
        <f>1/3785.411784</f>
        <v>2.6417205235814843E-4</v>
      </c>
      <c r="E392" s="1787"/>
      <c r="F392" s="1787"/>
      <c r="G392" s="1785" t="s">
        <v>4640</v>
      </c>
      <c r="H392" s="2004"/>
      <c r="I392" s="2004"/>
      <c r="J392" s="1785"/>
    </row>
    <row r="393" spans="2:10" ht="18" outlineLevel="1" x14ac:dyDescent="0.25">
      <c r="B393" s="2003" t="s">
        <v>4641</v>
      </c>
      <c r="C393" s="1785" t="s">
        <v>4642</v>
      </c>
      <c r="D393" s="1785">
        <f>1/0.003785411784</f>
        <v>264.17205235814839</v>
      </c>
      <c r="E393" s="1787"/>
      <c r="F393" s="1787"/>
      <c r="G393" s="1785" t="s">
        <v>4643</v>
      </c>
      <c r="H393" s="2004"/>
      <c r="I393" s="2004"/>
      <c r="J393" s="1785"/>
    </row>
    <row r="394" spans="2:10" ht="18" outlineLevel="1" x14ac:dyDescent="0.25">
      <c r="B394" s="2003" t="s">
        <v>4644</v>
      </c>
      <c r="C394" s="1785" t="s">
        <v>4645</v>
      </c>
      <c r="D394" s="1785">
        <v>2.2046226218000002E-3</v>
      </c>
      <c r="E394" s="1787"/>
      <c r="F394" s="1787"/>
      <c r="G394" s="1785" t="s">
        <v>4646</v>
      </c>
      <c r="H394" s="2004"/>
      <c r="I394" s="2004"/>
      <c r="J394" s="1785"/>
    </row>
    <row r="395" spans="2:10" ht="18" outlineLevel="1" x14ac:dyDescent="0.25">
      <c r="B395" s="2003" t="s">
        <v>4647</v>
      </c>
      <c r="C395" s="1785" t="s">
        <v>4648</v>
      </c>
      <c r="D395" s="1787">
        <f>+c_ft_m*c_ft2_m2</f>
        <v>35.314670111696707</v>
      </c>
      <c r="E395" s="1787"/>
      <c r="F395" s="1787"/>
      <c r="G395" s="1785" t="s">
        <v>4649</v>
      </c>
      <c r="H395" s="2004"/>
      <c r="I395" s="2004"/>
      <c r="J395" s="1785"/>
    </row>
    <row r="396" spans="2:10" ht="18" outlineLevel="1" x14ac:dyDescent="0.25">
      <c r="B396" s="2003" t="s">
        <v>4650</v>
      </c>
      <c r="C396" s="1785" t="s">
        <v>4651</v>
      </c>
      <c r="D396" s="1787">
        <f>+c_ft_m^2</f>
        <v>10.7639111056</v>
      </c>
      <c r="E396" s="1787"/>
      <c r="F396" s="1787"/>
      <c r="G396" s="1785" t="s">
        <v>4652</v>
      </c>
      <c r="H396" s="2004"/>
      <c r="I396" s="2004"/>
      <c r="J396" s="1785"/>
    </row>
    <row r="397" spans="2:10" ht="18" outlineLevel="1" x14ac:dyDescent="0.25">
      <c r="B397" s="2003" t="s">
        <v>4653</v>
      </c>
      <c r="C397" s="1785" t="s">
        <v>4654</v>
      </c>
      <c r="D397" s="1785">
        <v>3.28084</v>
      </c>
      <c r="E397" s="1787"/>
      <c r="F397" s="1787"/>
      <c r="G397" s="1785" t="s">
        <v>4655</v>
      </c>
      <c r="H397" s="2004"/>
      <c r="I397" s="2004"/>
      <c r="J397" s="1785"/>
    </row>
    <row r="399" spans="2:10" ht="15.75" thickBot="1" x14ac:dyDescent="0.3">
      <c r="C399" s="1998" t="s">
        <v>958</v>
      </c>
    </row>
    <row r="400" spans="2:10" ht="15.75" thickBot="1" x14ac:dyDescent="0.3">
      <c r="B400" s="1999" t="s">
        <v>0</v>
      </c>
      <c r="C400" s="2000" t="s">
        <v>1</v>
      </c>
      <c r="D400" s="2001" t="s">
        <v>152</v>
      </c>
      <c r="E400" s="2001" t="s">
        <v>473</v>
      </c>
      <c r="F400" s="2001" t="s">
        <v>474</v>
      </c>
      <c r="G400" s="2001" t="s">
        <v>2</v>
      </c>
      <c r="H400" s="2001" t="s">
        <v>302</v>
      </c>
      <c r="I400" s="2001" t="s">
        <v>116</v>
      </c>
      <c r="J400" s="2002" t="s">
        <v>117</v>
      </c>
    </row>
    <row r="401" spans="2:10" ht="18" outlineLevel="1" x14ac:dyDescent="0.25">
      <c r="B401" s="2003" t="s">
        <v>1086</v>
      </c>
      <c r="C401" s="1785" t="s">
        <v>959</v>
      </c>
      <c r="D401" s="1785">
        <v>0</v>
      </c>
      <c r="E401" s="1787"/>
      <c r="F401" s="1787"/>
      <c r="G401" s="1785" t="s">
        <v>2995</v>
      </c>
      <c r="H401" s="2004"/>
      <c r="I401" s="2004"/>
      <c r="J401" s="1785" t="s">
        <v>960</v>
      </c>
    </row>
    <row r="402" spans="2:10" ht="18" outlineLevel="1" x14ac:dyDescent="0.25">
      <c r="B402" s="2003" t="s">
        <v>1087</v>
      </c>
      <c r="C402" s="1785" t="s">
        <v>961</v>
      </c>
      <c r="D402" s="1785">
        <v>-285840</v>
      </c>
      <c r="E402" s="1787"/>
      <c r="F402" s="1787"/>
      <c r="G402" s="1785" t="s">
        <v>2995</v>
      </c>
      <c r="H402" s="2004"/>
      <c r="I402" s="2004"/>
      <c r="J402" s="1785" t="s">
        <v>962</v>
      </c>
    </row>
    <row r="403" spans="2:10" ht="18" outlineLevel="1" x14ac:dyDescent="0.25">
      <c r="B403" s="2003" t="s">
        <v>1088</v>
      </c>
      <c r="C403" s="1785" t="s">
        <v>963</v>
      </c>
      <c r="D403" s="1785">
        <v>-229994</v>
      </c>
      <c r="E403" s="1787"/>
      <c r="F403" s="1787"/>
      <c r="G403" s="1785" t="s">
        <v>2995</v>
      </c>
      <c r="H403" s="2004"/>
      <c r="I403" s="2004"/>
      <c r="J403" s="1785" t="s">
        <v>960</v>
      </c>
    </row>
    <row r="404" spans="2:10" ht="18" outlineLevel="1" x14ac:dyDescent="0.25">
      <c r="B404" s="2003" t="s">
        <v>1089</v>
      </c>
      <c r="C404" s="1785" t="s">
        <v>964</v>
      </c>
      <c r="D404" s="1785">
        <v>-80920</v>
      </c>
      <c r="E404" s="1787"/>
      <c r="F404" s="1787"/>
      <c r="G404" s="1785" t="s">
        <v>2995</v>
      </c>
      <c r="H404" s="2004"/>
      <c r="I404" s="2004"/>
      <c r="J404" s="1785" t="s">
        <v>960</v>
      </c>
    </row>
    <row r="405" spans="2:10" ht="18" outlineLevel="1" x14ac:dyDescent="0.25">
      <c r="B405" s="2003" t="s">
        <v>1090</v>
      </c>
      <c r="C405" s="1785" t="s">
        <v>965</v>
      </c>
      <c r="D405" s="1785">
        <v>-132510</v>
      </c>
      <c r="E405" s="1787"/>
      <c r="F405" s="1787"/>
      <c r="G405" s="1785" t="s">
        <v>2995</v>
      </c>
      <c r="H405" s="2004"/>
      <c r="I405" s="2004"/>
      <c r="J405" s="1785" t="s">
        <v>960</v>
      </c>
    </row>
    <row r="406" spans="2:10" ht="18" outlineLevel="1" x14ac:dyDescent="0.25">
      <c r="B406" s="2003" t="s">
        <v>1091</v>
      </c>
      <c r="C406" s="1785" t="s">
        <v>966</v>
      </c>
      <c r="D406" s="1785">
        <v>-119200</v>
      </c>
      <c r="E406" s="1787"/>
      <c r="F406" s="1787"/>
      <c r="G406" s="1785" t="s">
        <v>2995</v>
      </c>
      <c r="H406" s="2004"/>
      <c r="I406" s="2004"/>
      <c r="J406" s="1785" t="s">
        <v>960</v>
      </c>
    </row>
    <row r="407" spans="2:10" ht="18" outlineLevel="1" x14ac:dyDescent="0.25">
      <c r="B407" s="2003" t="s">
        <v>1092</v>
      </c>
      <c r="C407" s="1785" t="s">
        <v>967</v>
      </c>
      <c r="D407" s="1785">
        <v>-106000</v>
      </c>
      <c r="E407" s="1787"/>
      <c r="F407" s="1787"/>
      <c r="G407" s="1785" t="s">
        <v>2995</v>
      </c>
      <c r="H407" s="2004"/>
      <c r="I407" s="2004"/>
      <c r="J407" s="1785" t="s">
        <v>962</v>
      </c>
    </row>
    <row r="408" spans="2:10" ht="18" outlineLevel="1" x14ac:dyDescent="0.25">
      <c r="B408" s="2003" t="s">
        <v>1093</v>
      </c>
      <c r="C408" s="1785" t="s">
        <v>968</v>
      </c>
      <c r="D408" s="1785">
        <v>-205000</v>
      </c>
      <c r="E408" s="1787"/>
      <c r="F408" s="1787"/>
      <c r="G408" s="1785" t="s">
        <v>2995</v>
      </c>
      <c r="H408" s="2004"/>
      <c r="I408" s="2004"/>
      <c r="J408" s="1785" t="s">
        <v>960</v>
      </c>
    </row>
    <row r="409" spans="2:10" ht="18" outlineLevel="1" x14ac:dyDescent="0.25">
      <c r="B409" s="2003" t="s">
        <v>1094</v>
      </c>
      <c r="C409" s="1785" t="s">
        <v>969</v>
      </c>
      <c r="D409" s="1785">
        <v>-699650</v>
      </c>
      <c r="E409" s="1787"/>
      <c r="F409" s="1787"/>
      <c r="G409" s="1785" t="s">
        <v>2995</v>
      </c>
      <c r="H409" s="2004"/>
      <c r="I409" s="2004"/>
      <c r="J409" s="1785" t="s">
        <v>960</v>
      </c>
    </row>
    <row r="410" spans="2:10" ht="18" outlineLevel="1" x14ac:dyDescent="0.25">
      <c r="B410" s="2003" t="s">
        <v>1095</v>
      </c>
      <c r="C410" s="1785" t="s">
        <v>970</v>
      </c>
      <c r="D410" s="1785">
        <v>-691990</v>
      </c>
      <c r="E410" s="1787"/>
      <c r="F410" s="1787"/>
      <c r="G410" s="1785" t="s">
        <v>2995</v>
      </c>
      <c r="H410" s="2004"/>
      <c r="I410" s="2004"/>
      <c r="J410" s="1785" t="s">
        <v>960</v>
      </c>
    </row>
    <row r="411" spans="2:10" ht="18" outlineLevel="1" x14ac:dyDescent="0.25">
      <c r="B411" s="2003" t="s">
        <v>1096</v>
      </c>
      <c r="C411" s="1785" t="s">
        <v>971</v>
      </c>
      <c r="D411" s="1785">
        <v>-677140</v>
      </c>
      <c r="E411" s="1787"/>
      <c r="F411" s="1787"/>
      <c r="G411" s="1785" t="s">
        <v>2995</v>
      </c>
      <c r="H411" s="2004"/>
      <c r="I411" s="2004"/>
      <c r="J411" s="1785" t="s">
        <v>960</v>
      </c>
    </row>
    <row r="412" spans="2:10" ht="18" outlineLevel="1" x14ac:dyDescent="0.25">
      <c r="B412" s="2003" t="s">
        <v>1097</v>
      </c>
      <c r="C412" s="1785" t="s">
        <v>4656</v>
      </c>
      <c r="D412" s="1785">
        <v>-1299144</v>
      </c>
      <c r="E412" s="1787"/>
      <c r="F412" s="1787"/>
      <c r="G412" s="1785" t="s">
        <v>2995</v>
      </c>
      <c r="H412" s="2004"/>
      <c r="I412" s="2004"/>
      <c r="J412" s="1785" t="s">
        <v>972</v>
      </c>
    </row>
    <row r="413" spans="2:10" ht="18" outlineLevel="1" x14ac:dyDescent="0.25">
      <c r="B413" s="2003" t="s">
        <v>1098</v>
      </c>
      <c r="C413" s="1785" t="s">
        <v>973</v>
      </c>
      <c r="D413" s="1785">
        <v>1296000</v>
      </c>
      <c r="E413" s="1787"/>
      <c r="F413" s="1787"/>
      <c r="G413" s="1785" t="s">
        <v>2995</v>
      </c>
      <c r="H413" s="2004"/>
      <c r="I413" s="2004"/>
      <c r="J413" s="1785" t="s">
        <v>974</v>
      </c>
    </row>
    <row r="414" spans="2:10" ht="18" outlineLevel="1" x14ac:dyDescent="0.25">
      <c r="B414" s="2003" t="s">
        <v>1099</v>
      </c>
      <c r="C414" s="1785" t="s">
        <v>975</v>
      </c>
      <c r="D414" s="1785">
        <v>-1292000</v>
      </c>
      <c r="E414" s="1787"/>
      <c r="F414" s="1787"/>
      <c r="G414" s="1785" t="s">
        <v>2995</v>
      </c>
      <c r="H414" s="2004"/>
      <c r="I414" s="2004"/>
      <c r="J414" s="1785" t="s">
        <v>974</v>
      </c>
    </row>
    <row r="415" spans="2:10" ht="18" outlineLevel="1" x14ac:dyDescent="0.25">
      <c r="B415" s="2003" t="s">
        <v>1100</v>
      </c>
      <c r="C415" s="1785" t="s">
        <v>976</v>
      </c>
      <c r="D415" s="1785">
        <v>-1277400</v>
      </c>
      <c r="E415" s="1787"/>
      <c r="F415" s="1787"/>
      <c r="G415" s="1785" t="s">
        <v>2995</v>
      </c>
      <c r="H415" s="2004"/>
      <c r="I415" s="2004"/>
      <c r="J415" s="1785" t="s">
        <v>960</v>
      </c>
    </row>
    <row r="416" spans="2:10" ht="18" outlineLevel="1" x14ac:dyDescent="0.25">
      <c r="B416" s="2003" t="s">
        <v>1101</v>
      </c>
      <c r="C416" s="1785" t="s">
        <v>977</v>
      </c>
      <c r="D416" s="1785">
        <v>-488453</v>
      </c>
      <c r="E416" s="1787"/>
      <c r="F416" s="1787"/>
      <c r="G416" s="1785" t="s">
        <v>2995</v>
      </c>
      <c r="H416" s="2004"/>
      <c r="I416" s="2004"/>
      <c r="J416" s="1785" t="s">
        <v>962</v>
      </c>
    </row>
    <row r="417" spans="2:10" ht="18" outlineLevel="1" x14ac:dyDescent="0.25">
      <c r="B417" s="2003" t="s">
        <v>1102</v>
      </c>
      <c r="C417" s="1785" t="s">
        <v>978</v>
      </c>
      <c r="D417" s="1785">
        <v>-488871</v>
      </c>
      <c r="E417" s="1787"/>
      <c r="F417" s="1787"/>
      <c r="G417" s="1785" t="s">
        <v>2995</v>
      </c>
      <c r="H417" s="2004"/>
      <c r="I417" s="2004"/>
      <c r="J417" s="1785" t="s">
        <v>962</v>
      </c>
    </row>
    <row r="418" spans="2:10" ht="18" outlineLevel="1" x14ac:dyDescent="0.25">
      <c r="B418" s="2003" t="s">
        <v>1347</v>
      </c>
      <c r="C418" s="1785" t="s">
        <v>1273</v>
      </c>
      <c r="D418" s="1785">
        <v>-39000</v>
      </c>
      <c r="E418" s="1787"/>
      <c r="F418" s="1787"/>
      <c r="G418" s="1785" t="s">
        <v>2995</v>
      </c>
      <c r="H418" s="2004"/>
      <c r="I418" s="2004"/>
      <c r="J418" s="1785" t="s">
        <v>962</v>
      </c>
    </row>
    <row r="419" spans="2:10" ht="18" outlineLevel="1" x14ac:dyDescent="0.25">
      <c r="B419" s="2003" t="s">
        <v>1348</v>
      </c>
      <c r="C419" s="1785" t="s">
        <v>1274</v>
      </c>
      <c r="D419" s="1785">
        <v>-17000</v>
      </c>
      <c r="E419" s="1787"/>
      <c r="F419" s="1787"/>
      <c r="G419" s="1785" t="s">
        <v>2995</v>
      </c>
      <c r="H419" s="2004"/>
      <c r="I419" s="2004"/>
      <c r="J419" s="1785" t="s">
        <v>1275</v>
      </c>
    </row>
    <row r="420" spans="2:10" ht="18" outlineLevel="1" x14ac:dyDescent="0.25">
      <c r="B420" s="2003" t="s">
        <v>1349</v>
      </c>
      <c r="C420" s="1785" t="s">
        <v>1276</v>
      </c>
      <c r="D420" s="1785">
        <v>33000</v>
      </c>
      <c r="E420" s="1787"/>
      <c r="F420" s="1787"/>
      <c r="G420" s="1785" t="s">
        <v>2995</v>
      </c>
      <c r="H420" s="2004"/>
      <c r="I420" s="2004"/>
      <c r="J420" s="1785" t="s">
        <v>962</v>
      </c>
    </row>
    <row r="421" spans="2:10" ht="18" outlineLevel="1" x14ac:dyDescent="0.25">
      <c r="B421" s="2003" t="s">
        <v>1350</v>
      </c>
      <c r="C421" s="1785" t="s">
        <v>1277</v>
      </c>
      <c r="D421" s="1785">
        <v>-909000</v>
      </c>
      <c r="E421" s="1787"/>
      <c r="F421" s="1787"/>
      <c r="G421" s="1785" t="s">
        <v>2995</v>
      </c>
      <c r="H421" s="2004"/>
      <c r="I421" s="2004"/>
      <c r="J421" s="1785" t="s">
        <v>974</v>
      </c>
    </row>
    <row r="422" spans="2:10" ht="18" outlineLevel="1" x14ac:dyDescent="0.25">
      <c r="B422" s="2003" t="s">
        <v>1351</v>
      </c>
      <c r="C422" s="1785" t="s">
        <v>1278</v>
      </c>
      <c r="D422" s="1785">
        <v>-887000</v>
      </c>
      <c r="E422" s="1787"/>
      <c r="F422" s="1787"/>
      <c r="G422" s="1785" t="s">
        <v>2995</v>
      </c>
      <c r="H422" s="2004"/>
      <c r="I422" s="2004"/>
      <c r="J422" s="1785" t="s">
        <v>1279</v>
      </c>
    </row>
    <row r="423" spans="2:10" ht="18" outlineLevel="1" x14ac:dyDescent="0.25">
      <c r="B423" s="2003" t="s">
        <v>1352</v>
      </c>
      <c r="C423" s="1785" t="s">
        <v>1280</v>
      </c>
      <c r="D423" s="1785">
        <v>-909000</v>
      </c>
      <c r="E423" s="1787"/>
      <c r="F423" s="1787"/>
      <c r="G423" s="1785" t="s">
        <v>2995</v>
      </c>
      <c r="H423" s="2004"/>
      <c r="I423" s="2004"/>
      <c r="J423" s="1785" t="s">
        <v>974</v>
      </c>
    </row>
    <row r="424" spans="2:10" ht="18" outlineLevel="1" x14ac:dyDescent="0.25">
      <c r="B424" s="2003" t="s">
        <v>1309</v>
      </c>
      <c r="C424" s="1785" t="s">
        <v>1310</v>
      </c>
      <c r="D424" s="1785">
        <v>-542960</v>
      </c>
      <c r="E424" s="1787"/>
      <c r="F424" s="1787"/>
      <c r="G424" s="1785" t="s">
        <v>2995</v>
      </c>
      <c r="H424" s="2004"/>
      <c r="I424" s="2004"/>
      <c r="J424" s="1785" t="s">
        <v>962</v>
      </c>
    </row>
    <row r="425" spans="2:10" ht="18" outlineLevel="1" x14ac:dyDescent="0.25">
      <c r="B425" s="2003" t="s">
        <v>1311</v>
      </c>
      <c r="C425" s="1785" t="s">
        <v>3654</v>
      </c>
      <c r="D425" s="1785">
        <v>-461960</v>
      </c>
      <c r="E425" s="1787"/>
      <c r="F425" s="1787"/>
      <c r="G425" s="1785" t="s">
        <v>2995</v>
      </c>
      <c r="H425" s="2004"/>
      <c r="I425" s="2004"/>
      <c r="J425" s="1785" t="s">
        <v>962</v>
      </c>
    </row>
    <row r="426" spans="2:10" ht="18" outlineLevel="1" x14ac:dyDescent="0.25">
      <c r="B426" s="2003" t="s">
        <v>1312</v>
      </c>
      <c r="C426" s="1785" t="s">
        <v>1313</v>
      </c>
      <c r="D426" s="1785">
        <v>-239660</v>
      </c>
      <c r="E426" s="1787"/>
      <c r="F426" s="1787"/>
      <c r="G426" s="1785" t="s">
        <v>2995</v>
      </c>
      <c r="H426" s="2004"/>
      <c r="I426" s="2004"/>
      <c r="J426" s="1785" t="s">
        <v>962</v>
      </c>
    </row>
    <row r="428" spans="2:10" ht="15.75" thickBot="1" x14ac:dyDescent="0.3">
      <c r="C428" s="1998" t="s">
        <v>979</v>
      </c>
    </row>
    <row r="429" spans="2:10" ht="15.75" thickBot="1" x14ac:dyDescent="0.3">
      <c r="B429" s="1999" t="s">
        <v>0</v>
      </c>
      <c r="C429" s="2000" t="s">
        <v>1</v>
      </c>
      <c r="D429" s="2001" t="s">
        <v>152</v>
      </c>
      <c r="E429" s="2001" t="s">
        <v>473</v>
      </c>
      <c r="F429" s="2001" t="s">
        <v>474</v>
      </c>
      <c r="G429" s="2001" t="s">
        <v>2</v>
      </c>
      <c r="H429" s="2001" t="s">
        <v>302</v>
      </c>
      <c r="I429" s="2001" t="s">
        <v>116</v>
      </c>
      <c r="J429" s="2002" t="s">
        <v>117</v>
      </c>
    </row>
    <row r="430" spans="2:10" ht="18" x14ac:dyDescent="0.25">
      <c r="B430" s="2003" t="s">
        <v>980</v>
      </c>
      <c r="C430" s="1785" t="s">
        <v>981</v>
      </c>
      <c r="D430" s="1785">
        <v>-286933.08</v>
      </c>
      <c r="E430" s="1787"/>
      <c r="F430" s="1787"/>
      <c r="G430" s="1785" t="s">
        <v>2995</v>
      </c>
      <c r="H430" s="2004"/>
      <c r="I430" s="2004"/>
      <c r="J430" s="1785" t="s">
        <v>982</v>
      </c>
    </row>
    <row r="432" spans="2:10" ht="15.75" thickBot="1" x14ac:dyDescent="0.3">
      <c r="C432" s="1998" t="s">
        <v>2015</v>
      </c>
    </row>
    <row r="433" spans="2:12" ht="15.75" thickBot="1" x14ac:dyDescent="0.3">
      <c r="B433" s="1999" t="s">
        <v>0</v>
      </c>
      <c r="C433" s="2000" t="s">
        <v>1</v>
      </c>
      <c r="D433" s="2001" t="s">
        <v>152</v>
      </c>
      <c r="E433" s="2001" t="s">
        <v>473</v>
      </c>
      <c r="F433" s="2001" t="s">
        <v>474</v>
      </c>
      <c r="G433" s="2001" t="s">
        <v>2</v>
      </c>
      <c r="H433" s="2001" t="s">
        <v>302</v>
      </c>
      <c r="I433" s="2001" t="s">
        <v>116</v>
      </c>
      <c r="J433" s="2002" t="s">
        <v>117</v>
      </c>
      <c r="L433" s="1784" t="s">
        <v>2016</v>
      </c>
    </row>
    <row r="434" spans="2:12" ht="18" outlineLevel="1" x14ac:dyDescent="0.25">
      <c r="B434" s="2003" t="s">
        <v>2017</v>
      </c>
      <c r="C434" s="1785" t="s">
        <v>2018</v>
      </c>
      <c r="D434" s="1785">
        <v>58032.160000000098</v>
      </c>
      <c r="E434" s="1787"/>
      <c r="F434" s="1787"/>
      <c r="G434" s="1785" t="s">
        <v>2995</v>
      </c>
      <c r="H434" s="2004">
        <v>1</v>
      </c>
      <c r="I434" s="2004"/>
      <c r="J434" s="1785" t="s">
        <v>2019</v>
      </c>
      <c r="L434" s="1784">
        <f>(H_OHm+H_H3Op) - 2*H_H2O</f>
        <v>58032.160000000033</v>
      </c>
    </row>
    <row r="435" spans="2:12" ht="18" outlineLevel="1" x14ac:dyDescent="0.25">
      <c r="B435" s="2003" t="s">
        <v>2020</v>
      </c>
      <c r="C435" s="1785" t="s">
        <v>2021</v>
      </c>
      <c r="D435" s="1785">
        <v>5349.0800000000099</v>
      </c>
      <c r="E435" s="1787"/>
      <c r="F435" s="1787"/>
      <c r="G435" s="1785" t="s">
        <v>2995</v>
      </c>
      <c r="H435" s="2004">
        <v>1</v>
      </c>
      <c r="I435" s="2004"/>
      <c r="J435" s="1785" t="s">
        <v>2378</v>
      </c>
      <c r="L435" s="1784">
        <f>(H_NH4p + H_OHm) - (H_NH3 + H_H2O)</f>
        <v>5349.0800000000163</v>
      </c>
    </row>
    <row r="436" spans="2:12" ht="18" outlineLevel="1" x14ac:dyDescent="0.25">
      <c r="B436" s="2003" t="s">
        <v>2379</v>
      </c>
      <c r="C436" s="1785" t="s">
        <v>2380</v>
      </c>
      <c r="D436" s="1785">
        <v>14293.080000000031</v>
      </c>
      <c r="E436" s="1787"/>
      <c r="F436" s="1787"/>
      <c r="G436" s="1785" t="s">
        <v>2995</v>
      </c>
      <c r="H436" s="2004">
        <v>1</v>
      </c>
      <c r="I436" s="2004"/>
      <c r="J436" s="1785" t="s">
        <v>2381</v>
      </c>
      <c r="L436" s="1784">
        <f>(H_H3Op+H_NO2m)-(H_HNO2+H_H2O)</f>
        <v>14293.080000000016</v>
      </c>
    </row>
    <row r="437" spans="2:12" ht="18" outlineLevel="1" x14ac:dyDescent="0.25">
      <c r="B437" s="2003" t="s">
        <v>2022</v>
      </c>
      <c r="C437" s="1785" t="s">
        <v>2023</v>
      </c>
      <c r="D437" s="1785">
        <v>8753.0800000000672</v>
      </c>
      <c r="E437" s="1787"/>
      <c r="F437" s="1787"/>
      <c r="G437" s="1785" t="s">
        <v>2995</v>
      </c>
      <c r="H437" s="2004">
        <v>1</v>
      </c>
      <c r="I437" s="2004"/>
      <c r="J437" s="1785" t="s">
        <v>2024</v>
      </c>
      <c r="L437" s="1784">
        <f>(H_HCO3m + H_H3Op) - (H_H2CO3 + H_H2O)</f>
        <v>8753.0800000000745</v>
      </c>
    </row>
    <row r="438" spans="2:12" ht="18" outlineLevel="1" x14ac:dyDescent="0.25">
      <c r="B438" s="2003" t="s">
        <v>2025</v>
      </c>
      <c r="C438" s="1785" t="s">
        <v>2026</v>
      </c>
      <c r="D438" s="1785">
        <v>15943.080000000009</v>
      </c>
      <c r="E438" s="1787"/>
      <c r="F438" s="1787"/>
      <c r="G438" s="1785" t="s">
        <v>2995</v>
      </c>
      <c r="H438" s="2004">
        <v>1</v>
      </c>
      <c r="I438" s="2004"/>
      <c r="J438" s="1785" t="s">
        <v>2027</v>
      </c>
      <c r="L438" s="1784">
        <f>(H_H3Op + H_CO32m) - (H_HCO3m + H_H2O)</f>
        <v>15943.080000000075</v>
      </c>
    </row>
    <row r="439" spans="2:12" ht="18" outlineLevel="1" x14ac:dyDescent="0.25">
      <c r="B439" s="2003" t="s">
        <v>2028</v>
      </c>
      <c r="C439" s="1785" t="s">
        <v>2029</v>
      </c>
      <c r="D439" s="1785">
        <v>2596237.08</v>
      </c>
      <c r="E439" s="1787"/>
      <c r="F439" s="1787"/>
      <c r="G439" s="1785" t="s">
        <v>2995</v>
      </c>
      <c r="H439" s="2004">
        <v>1</v>
      </c>
      <c r="I439" s="2004"/>
      <c r="J439" s="1785" t="s">
        <v>2030</v>
      </c>
      <c r="L439" s="1784">
        <f>(H_H3Op + H_H2PO4m) - (H_H3PO4 + H_H2O)</f>
        <v>2596237.08</v>
      </c>
    </row>
    <row r="440" spans="2:12" ht="18" outlineLevel="1" x14ac:dyDescent="0.25">
      <c r="B440" s="2003" t="s">
        <v>2031</v>
      </c>
      <c r="C440" s="1785" t="s">
        <v>2032</v>
      </c>
      <c r="D440" s="1785">
        <v>-2586906.92</v>
      </c>
      <c r="E440" s="1787"/>
      <c r="F440" s="1787"/>
      <c r="G440" s="1785" t="s">
        <v>2995</v>
      </c>
      <c r="H440" s="2004">
        <v>1</v>
      </c>
      <c r="I440" s="2004"/>
      <c r="J440" s="1785" t="s">
        <v>2033</v>
      </c>
      <c r="L440" s="1784">
        <f>(H_H3Op + H_HPO42m) - (H_H2PO4m + H_H2O)</f>
        <v>-2586906.92</v>
      </c>
    </row>
    <row r="441" spans="2:12" ht="18" outlineLevel="1" x14ac:dyDescent="0.25">
      <c r="B441" s="2003" t="s">
        <v>2034</v>
      </c>
      <c r="C441" s="1785" t="s">
        <v>2035</v>
      </c>
      <c r="D441" s="1785">
        <v>15693.080000000009</v>
      </c>
      <c r="E441" s="1787"/>
      <c r="F441" s="1787"/>
      <c r="G441" s="1785" t="s">
        <v>2995</v>
      </c>
      <c r="H441" s="2004">
        <v>1</v>
      </c>
      <c r="I441" s="2004"/>
      <c r="J441" s="1785" t="s">
        <v>2036</v>
      </c>
      <c r="L441" s="1784">
        <f>(H_H3Op + H_PO43m) - (H_HPO42m + H_H2O)</f>
        <v>15693.080000000075</v>
      </c>
    </row>
    <row r="442" spans="2:12" ht="18" outlineLevel="1" x14ac:dyDescent="0.25">
      <c r="B442" s="2003" t="s">
        <v>2037</v>
      </c>
      <c r="C442" s="1785" t="s">
        <v>2038</v>
      </c>
      <c r="D442" s="1785">
        <v>675.07999999997992</v>
      </c>
      <c r="E442" s="1787"/>
      <c r="F442" s="1787"/>
      <c r="G442" s="1785" t="s">
        <v>2995</v>
      </c>
      <c r="H442" s="2004">
        <v>1</v>
      </c>
      <c r="I442" s="2004"/>
      <c r="J442" s="1785" t="s">
        <v>2039</v>
      </c>
      <c r="L442" s="1784">
        <f>(H_H3Op + H_Acm) - (H_HAc + H_H2O)</f>
        <v>675.08000000007451</v>
      </c>
    </row>
    <row r="443" spans="2:12" ht="18" outlineLevel="1" x14ac:dyDescent="0.25">
      <c r="B443" s="2018" t="s">
        <v>4657</v>
      </c>
      <c r="C443" s="2018" t="s">
        <v>4658</v>
      </c>
      <c r="D443" s="2018">
        <v>660</v>
      </c>
      <c r="E443" s="2019"/>
      <c r="F443" s="2018"/>
      <c r="G443" s="2020" t="s">
        <v>2995</v>
      </c>
      <c r="H443" s="2021">
        <v>1</v>
      </c>
      <c r="I443" s="2018"/>
      <c r="J443" s="2018" t="s">
        <v>4659</v>
      </c>
    </row>
    <row r="444" spans="2:12" ht="18" outlineLevel="1" x14ac:dyDescent="0.25">
      <c r="B444" s="2018" t="s">
        <v>4660</v>
      </c>
      <c r="C444" s="2018" t="s">
        <v>4661</v>
      </c>
      <c r="D444" s="2018">
        <v>2800</v>
      </c>
      <c r="E444" s="2019"/>
      <c r="F444" s="2018"/>
      <c r="G444" s="2020" t="s">
        <v>2995</v>
      </c>
      <c r="H444" s="2021">
        <v>1</v>
      </c>
      <c r="I444" s="2018"/>
      <c r="J444" s="2018" t="s">
        <v>4659</v>
      </c>
    </row>
    <row r="445" spans="2:12" ht="18" outlineLevel="1" x14ac:dyDescent="0.25">
      <c r="B445" s="2018" t="s">
        <v>4662</v>
      </c>
      <c r="C445" s="2018" t="s">
        <v>4663</v>
      </c>
      <c r="D445" s="2018">
        <v>2887</v>
      </c>
      <c r="E445" s="2019"/>
      <c r="F445" s="2018"/>
      <c r="G445" s="2020" t="s">
        <v>2995</v>
      </c>
      <c r="H445" s="2021">
        <v>1</v>
      </c>
      <c r="I445" s="2018"/>
      <c r="J445" s="2018" t="s">
        <v>4659</v>
      </c>
    </row>
    <row r="446" spans="2:12" ht="18" outlineLevel="1" x14ac:dyDescent="0.25">
      <c r="B446" s="2003" t="s">
        <v>2040</v>
      </c>
      <c r="C446" s="1785" t="s">
        <v>2041</v>
      </c>
      <c r="D446" s="1785">
        <v>23093.080000000042</v>
      </c>
      <c r="E446" s="1787"/>
      <c r="F446" s="1787"/>
      <c r="G446" s="1785" t="s">
        <v>2995</v>
      </c>
      <c r="H446" s="2004">
        <v>1</v>
      </c>
      <c r="I446" s="2004"/>
      <c r="J446" s="1785" t="s">
        <v>2042</v>
      </c>
      <c r="L446" s="1784">
        <f>(H_HSm+H_H3Op)-(H_H2S+H_H2O)</f>
        <v>23093.080000000016</v>
      </c>
    </row>
    <row r="447" spans="2:12" ht="18" outlineLevel="1" x14ac:dyDescent="0.25">
      <c r="B447" s="2003" t="s">
        <v>2043</v>
      </c>
      <c r="C447" s="1785" t="s">
        <v>2044</v>
      </c>
      <c r="D447" s="1785">
        <v>51093.080000000045</v>
      </c>
      <c r="E447" s="1787"/>
      <c r="F447" s="1787"/>
      <c r="G447" s="1785" t="s">
        <v>2995</v>
      </c>
      <c r="H447" s="2004">
        <v>1</v>
      </c>
      <c r="I447" s="2004"/>
      <c r="J447" s="1785" t="s">
        <v>2045</v>
      </c>
      <c r="L447" s="1784">
        <f>(H_H3Op+H_S2m)-(H_HSm+H_H2O)</f>
        <v>51093.080000000016</v>
      </c>
    </row>
    <row r="448" spans="2:12" ht="18" outlineLevel="1" x14ac:dyDescent="0.25">
      <c r="B448" s="2003" t="s">
        <v>2046</v>
      </c>
      <c r="C448" s="1785" t="s">
        <v>2047</v>
      </c>
      <c r="D448" s="1785">
        <v>23093.0800000001</v>
      </c>
      <c r="E448" s="1787"/>
      <c r="F448" s="1787"/>
      <c r="G448" s="1785" t="s">
        <v>2995</v>
      </c>
      <c r="H448" s="2004">
        <v>1</v>
      </c>
      <c r="I448" s="2004"/>
      <c r="J448" s="1785" t="s">
        <v>2048</v>
      </c>
      <c r="L448" s="1784">
        <f>(H_HSO4m+H_H3Op)-(H_H2SO4+H_H2O)</f>
        <v>23093.080000000075</v>
      </c>
    </row>
    <row r="449" spans="2:12" ht="18" outlineLevel="1" x14ac:dyDescent="0.25">
      <c r="B449" s="2003" t="s">
        <v>2049</v>
      </c>
      <c r="C449" s="1785" t="s">
        <v>2050</v>
      </c>
      <c r="D449" s="1785">
        <v>-20906.9199999999</v>
      </c>
      <c r="E449" s="1787"/>
      <c r="F449" s="1787"/>
      <c r="G449" s="1785" t="s">
        <v>2995</v>
      </c>
      <c r="H449" s="2004">
        <v>1</v>
      </c>
      <c r="I449" s="2004"/>
      <c r="J449" s="1785" t="s">
        <v>2051</v>
      </c>
      <c r="L449" s="1784">
        <f>(H_H3Op+H_SO42m)-(H_HSO4m+H_H2O)</f>
        <v>-20906.919999999925</v>
      </c>
    </row>
    <row r="450" spans="2:12" ht="18" outlineLevel="1" x14ac:dyDescent="0.25">
      <c r="B450" s="2003" t="s">
        <v>2052</v>
      </c>
      <c r="C450" s="1785" t="s">
        <v>2053</v>
      </c>
      <c r="D450" s="1785">
        <v>64110</v>
      </c>
      <c r="E450" s="1787"/>
      <c r="F450" s="1787"/>
      <c r="G450" s="1785" t="s">
        <v>2995</v>
      </c>
      <c r="H450" s="2004">
        <v>1</v>
      </c>
      <c r="I450" s="2004"/>
      <c r="J450" s="1785"/>
    </row>
    <row r="451" spans="2:12" ht="18" outlineLevel="1" x14ac:dyDescent="0.25">
      <c r="B451" s="2003" t="s">
        <v>2054</v>
      </c>
      <c r="C451" s="1785" t="s">
        <v>2055</v>
      </c>
      <c r="D451" s="1785">
        <v>16000</v>
      </c>
      <c r="E451" s="1787"/>
      <c r="F451" s="1787"/>
      <c r="G451" s="1785" t="s">
        <v>2995</v>
      </c>
      <c r="H451" s="2004">
        <v>1</v>
      </c>
      <c r="I451" s="2004"/>
      <c r="J451" s="1785"/>
    </row>
    <row r="452" spans="2:12" ht="18" outlineLevel="1" x14ac:dyDescent="0.25">
      <c r="B452" s="2003" t="s">
        <v>2056</v>
      </c>
      <c r="C452" s="1785" t="s">
        <v>2057</v>
      </c>
      <c r="D452" s="1785">
        <v>5400</v>
      </c>
      <c r="E452" s="1787"/>
      <c r="F452" s="1787"/>
      <c r="G452" s="1785" t="s">
        <v>2995</v>
      </c>
      <c r="H452" s="2004">
        <v>1</v>
      </c>
      <c r="I452" s="2004"/>
      <c r="J452" s="1785"/>
    </row>
    <row r="453" spans="2:12" ht="18" outlineLevel="1" x14ac:dyDescent="0.25">
      <c r="B453" s="2003" t="s">
        <v>2058</v>
      </c>
      <c r="C453" s="1785" t="s">
        <v>2059</v>
      </c>
      <c r="D453" s="1785">
        <v>12970.4</v>
      </c>
      <c r="E453" s="1787"/>
      <c r="F453" s="1787"/>
      <c r="G453" s="1785" t="s">
        <v>2995</v>
      </c>
      <c r="H453" s="2004">
        <v>1</v>
      </c>
      <c r="I453" s="2004"/>
      <c r="J453" s="1785"/>
    </row>
    <row r="454" spans="2:12" ht="18" outlineLevel="1" x14ac:dyDescent="0.25">
      <c r="B454" s="2003" t="s">
        <v>2060</v>
      </c>
      <c r="C454" s="1785" t="s">
        <v>2061</v>
      </c>
      <c r="D454" s="1785">
        <v>-3000</v>
      </c>
      <c r="E454" s="1787"/>
      <c r="F454" s="1787"/>
      <c r="G454" s="1785" t="s">
        <v>2995</v>
      </c>
      <c r="H454" s="2004">
        <v>1</v>
      </c>
      <c r="I454" s="2004"/>
      <c r="J454" s="1785"/>
    </row>
    <row r="455" spans="2:12" ht="18" outlineLevel="1" x14ac:dyDescent="0.25">
      <c r="B455" s="2003" t="s">
        <v>2062</v>
      </c>
      <c r="C455" s="1785" t="s">
        <v>2063</v>
      </c>
      <c r="D455" s="1785">
        <v>-6000</v>
      </c>
      <c r="E455" s="1787"/>
      <c r="F455" s="1787"/>
      <c r="G455" s="1785" t="s">
        <v>2995</v>
      </c>
      <c r="H455" s="2004">
        <v>1</v>
      </c>
      <c r="I455" s="2004"/>
      <c r="J455" s="1785"/>
    </row>
    <row r="456" spans="2:12" ht="18" outlineLevel="1" x14ac:dyDescent="0.25">
      <c r="B456" s="2003" t="s">
        <v>2064</v>
      </c>
      <c r="C456" s="1785" t="s">
        <v>2065</v>
      </c>
      <c r="D456" s="1785">
        <v>67810</v>
      </c>
      <c r="E456" s="1787"/>
      <c r="F456" s="1787"/>
      <c r="G456" s="1785" t="s">
        <v>2995</v>
      </c>
      <c r="H456" s="2004">
        <v>1</v>
      </c>
      <c r="I456" s="2004"/>
      <c r="J456" s="1785"/>
    </row>
    <row r="457" spans="2:12" ht="18" outlineLevel="1" x14ac:dyDescent="0.25">
      <c r="B457" s="2003" t="s">
        <v>2066</v>
      </c>
      <c r="C457" s="1785" t="s">
        <v>2067</v>
      </c>
      <c r="D457" s="1785">
        <v>12000</v>
      </c>
      <c r="E457" s="1787"/>
      <c r="F457" s="1787"/>
      <c r="G457" s="1785" t="s">
        <v>2995</v>
      </c>
      <c r="H457" s="2004">
        <v>1</v>
      </c>
      <c r="I457" s="2004"/>
      <c r="J457" s="1785"/>
    </row>
    <row r="458" spans="2:12" ht="18" outlineLevel="1" x14ac:dyDescent="0.25">
      <c r="B458" s="2003" t="s">
        <v>2068</v>
      </c>
      <c r="C458" s="1785" t="s">
        <v>2069</v>
      </c>
      <c r="D458" s="1785">
        <v>-10600</v>
      </c>
      <c r="E458" s="1787"/>
      <c r="F458" s="1787"/>
      <c r="G458" s="1785" t="s">
        <v>2995</v>
      </c>
      <c r="H458" s="2004">
        <v>1</v>
      </c>
      <c r="I458" s="2004"/>
      <c r="J458" s="1785"/>
    </row>
    <row r="459" spans="2:12" ht="18" outlineLevel="1" x14ac:dyDescent="0.25">
      <c r="B459" s="2003" t="s">
        <v>2070</v>
      </c>
      <c r="C459" s="1785" t="s">
        <v>2071</v>
      </c>
      <c r="D459" s="1785">
        <v>-3000</v>
      </c>
      <c r="E459" s="1787"/>
      <c r="F459" s="1787"/>
      <c r="G459" s="1785" t="s">
        <v>2995</v>
      </c>
      <c r="H459" s="2004">
        <v>1</v>
      </c>
      <c r="I459" s="2004"/>
      <c r="J459" s="1785"/>
    </row>
    <row r="460" spans="2:12" ht="18" outlineLevel="1" x14ac:dyDescent="0.25">
      <c r="B460" s="2003" t="s">
        <v>2072</v>
      </c>
      <c r="C460" s="1785" t="s">
        <v>2073</v>
      </c>
      <c r="D460" s="1785">
        <v>12970.4</v>
      </c>
      <c r="E460" s="1787"/>
      <c r="F460" s="1787"/>
      <c r="G460" s="1785" t="s">
        <v>2995</v>
      </c>
      <c r="H460" s="2004">
        <v>1</v>
      </c>
      <c r="I460" s="2004"/>
      <c r="J460" s="1785"/>
    </row>
    <row r="461" spans="2:12" ht="18" outlineLevel="1" x14ac:dyDescent="0.25">
      <c r="B461" s="2003" t="s">
        <v>2074</v>
      </c>
      <c r="C461" s="1785" t="s">
        <v>2075</v>
      </c>
      <c r="D461" s="1785">
        <v>21256.1</v>
      </c>
      <c r="E461" s="1787"/>
      <c r="F461" s="1787"/>
      <c r="G461" s="1785" t="s">
        <v>2995</v>
      </c>
      <c r="H461" s="2004">
        <v>1</v>
      </c>
      <c r="I461" s="2004"/>
      <c r="J461" s="1785"/>
    </row>
    <row r="462" spans="2:12" ht="18" outlineLevel="1" x14ac:dyDescent="0.25">
      <c r="B462" s="2003" t="s">
        <v>2076</v>
      </c>
      <c r="C462" s="1785" t="s">
        <v>2077</v>
      </c>
      <c r="D462" s="1785">
        <v>0</v>
      </c>
      <c r="E462" s="1787"/>
      <c r="F462" s="1787"/>
      <c r="G462" s="1785" t="s">
        <v>2995</v>
      </c>
      <c r="H462" s="2004">
        <v>1</v>
      </c>
      <c r="I462" s="2004"/>
      <c r="J462" s="1785"/>
    </row>
    <row r="464" spans="2:12" ht="15.75" thickBot="1" x14ac:dyDescent="0.3">
      <c r="C464" s="1998" t="s">
        <v>3655</v>
      </c>
    </row>
    <row r="465" spans="2:12" ht="15.75" thickBot="1" x14ac:dyDescent="0.3">
      <c r="B465" s="1999" t="s">
        <v>0</v>
      </c>
      <c r="C465" s="2000" t="s">
        <v>1</v>
      </c>
      <c r="D465" s="2001" t="s">
        <v>152</v>
      </c>
      <c r="E465" s="2001" t="s">
        <v>473</v>
      </c>
      <c r="F465" s="2001" t="s">
        <v>474</v>
      </c>
      <c r="G465" s="2001" t="s">
        <v>2</v>
      </c>
      <c r="H465" s="2001" t="s">
        <v>302</v>
      </c>
      <c r="I465" s="2001" t="s">
        <v>116</v>
      </c>
      <c r="J465" s="2002" t="s">
        <v>117</v>
      </c>
      <c r="L465" s="1784" t="s">
        <v>2016</v>
      </c>
    </row>
    <row r="466" spans="2:12" ht="18" outlineLevel="1" x14ac:dyDescent="0.25">
      <c r="B466" s="2003" t="s">
        <v>3339</v>
      </c>
      <c r="C466" s="1785" t="s">
        <v>2996</v>
      </c>
      <c r="D466" s="1785">
        <v>2.5000000000000001E-5</v>
      </c>
      <c r="E466" s="1787" t="s">
        <v>1217</v>
      </c>
      <c r="F466" s="1787" t="s">
        <v>1254</v>
      </c>
      <c r="G466" s="1785" t="s">
        <v>3340</v>
      </c>
      <c r="H466" s="2004">
        <v>2</v>
      </c>
      <c r="I466" s="2004"/>
      <c r="J466" s="1785" t="s">
        <v>2997</v>
      </c>
    </row>
    <row r="467" spans="2:12" ht="18" outlineLevel="1" x14ac:dyDescent="0.25">
      <c r="B467" s="2003" t="s">
        <v>3341</v>
      </c>
      <c r="C467" s="1785" t="s">
        <v>2996</v>
      </c>
      <c r="D467" s="1785">
        <v>2.5000000000000001E-5</v>
      </c>
      <c r="E467" s="1787" t="s">
        <v>1217</v>
      </c>
      <c r="F467" s="1787" t="s">
        <v>1254</v>
      </c>
      <c r="G467" s="1785" t="s">
        <v>3340</v>
      </c>
      <c r="H467" s="2004">
        <v>2</v>
      </c>
      <c r="I467" s="2004"/>
      <c r="J467" s="1785" t="s">
        <v>2997</v>
      </c>
    </row>
    <row r="468" spans="2:12" ht="18" outlineLevel="1" x14ac:dyDescent="0.25">
      <c r="B468" s="2003" t="s">
        <v>3342</v>
      </c>
      <c r="C468" s="1785" t="s">
        <v>2996</v>
      </c>
      <c r="D468" s="1785">
        <v>2.5000000000000001E-5</v>
      </c>
      <c r="E468" s="1787" t="s">
        <v>1217</v>
      </c>
      <c r="F468" s="1787" t="s">
        <v>1254</v>
      </c>
      <c r="G468" s="1785" t="s">
        <v>3340</v>
      </c>
      <c r="H468" s="2004">
        <v>2</v>
      </c>
      <c r="I468" s="2004"/>
      <c r="J468" s="1785" t="s">
        <v>2997</v>
      </c>
    </row>
    <row r="469" spans="2:12" ht="18" outlineLevel="1" x14ac:dyDescent="0.25">
      <c r="B469" s="2003" t="s">
        <v>3343</v>
      </c>
      <c r="C469" s="1785" t="s">
        <v>2998</v>
      </c>
      <c r="D469" s="1785">
        <v>1.24E-5</v>
      </c>
      <c r="E469" s="1787" t="s">
        <v>1217</v>
      </c>
      <c r="F469" s="1787" t="s">
        <v>1254</v>
      </c>
      <c r="G469" s="1785" t="s">
        <v>3340</v>
      </c>
      <c r="H469" s="2004">
        <v>2</v>
      </c>
      <c r="I469" s="2004"/>
      <c r="J469" s="1785" t="s">
        <v>2997</v>
      </c>
    </row>
    <row r="470" spans="2:12" ht="18" outlineLevel="1" x14ac:dyDescent="0.25">
      <c r="B470" s="2003" t="s">
        <v>3344</v>
      </c>
      <c r="C470" s="1785" t="s">
        <v>2999</v>
      </c>
      <c r="D470" s="1785">
        <v>1.24E-5</v>
      </c>
      <c r="E470" s="1787" t="s">
        <v>1217</v>
      </c>
      <c r="F470" s="1787" t="s">
        <v>1254</v>
      </c>
      <c r="G470" s="1785" t="s">
        <v>3340</v>
      </c>
      <c r="H470" s="2004">
        <v>2</v>
      </c>
      <c r="I470" s="2004"/>
      <c r="J470" s="1785" t="s">
        <v>2997</v>
      </c>
    </row>
    <row r="471" spans="2:12" ht="18" outlineLevel="1" x14ac:dyDescent="0.25">
      <c r="B471" s="2003" t="s">
        <v>3345</v>
      </c>
      <c r="C471" s="1785" t="s">
        <v>3000</v>
      </c>
      <c r="D471" s="1785">
        <v>1.24E-5</v>
      </c>
      <c r="E471" s="1787" t="s">
        <v>1217</v>
      </c>
      <c r="F471" s="1787" t="s">
        <v>1254</v>
      </c>
      <c r="G471" s="1785" t="s">
        <v>3340</v>
      </c>
      <c r="H471" s="2004">
        <v>2</v>
      </c>
      <c r="I471" s="2004"/>
      <c r="J471" s="1785" t="s">
        <v>2997</v>
      </c>
    </row>
    <row r="472" spans="2:12" ht="18" outlineLevel="1" x14ac:dyDescent="0.25">
      <c r="B472" s="2003" t="s">
        <v>3346</v>
      </c>
      <c r="C472" s="1785" t="s">
        <v>2998</v>
      </c>
      <c r="D472" s="1785">
        <v>1.24E-5</v>
      </c>
      <c r="E472" s="1787" t="s">
        <v>1217</v>
      </c>
      <c r="F472" s="1787" t="s">
        <v>1254</v>
      </c>
      <c r="G472" s="1785" t="s">
        <v>3340</v>
      </c>
      <c r="H472" s="2004">
        <v>2</v>
      </c>
      <c r="I472" s="2004"/>
      <c r="J472" s="1785" t="s">
        <v>2997</v>
      </c>
    </row>
    <row r="473" spans="2:12" ht="18" outlineLevel="1" x14ac:dyDescent="0.25">
      <c r="B473" s="2003" t="s">
        <v>4664</v>
      </c>
      <c r="C473" s="1785" t="s">
        <v>4665</v>
      </c>
      <c r="D473" s="1785">
        <v>1.24E-5</v>
      </c>
      <c r="E473" s="1787" t="s">
        <v>1217</v>
      </c>
      <c r="F473" s="1787" t="s">
        <v>1254</v>
      </c>
      <c r="G473" s="1785" t="s">
        <v>3340</v>
      </c>
      <c r="H473" s="2004">
        <v>2</v>
      </c>
      <c r="I473" s="2004"/>
      <c r="J473" s="1785" t="s">
        <v>2997</v>
      </c>
    </row>
    <row r="474" spans="2:12" ht="18" outlineLevel="1" x14ac:dyDescent="0.25">
      <c r="B474" s="2003" t="s">
        <v>3347</v>
      </c>
      <c r="C474" s="1785" t="s">
        <v>3001</v>
      </c>
      <c r="D474" s="1785">
        <v>1.24E-5</v>
      </c>
      <c r="E474" s="1787" t="s">
        <v>1217</v>
      </c>
      <c r="F474" s="1787" t="s">
        <v>1254</v>
      </c>
      <c r="G474" s="1785" t="s">
        <v>3340</v>
      </c>
      <c r="H474" s="2004">
        <v>2</v>
      </c>
      <c r="I474" s="2004"/>
      <c r="J474" s="1785" t="s">
        <v>2997</v>
      </c>
    </row>
    <row r="475" spans="2:12" ht="18" outlineLevel="1" x14ac:dyDescent="0.25">
      <c r="B475" s="2003" t="s">
        <v>3348</v>
      </c>
      <c r="C475" s="1785" t="s">
        <v>3001</v>
      </c>
      <c r="D475" s="1785">
        <v>1.24E-5</v>
      </c>
      <c r="E475" s="1787" t="s">
        <v>1217</v>
      </c>
      <c r="F475" s="1787" t="s">
        <v>1254</v>
      </c>
      <c r="G475" s="1785" t="s">
        <v>3340</v>
      </c>
      <c r="H475" s="2004">
        <v>2</v>
      </c>
      <c r="I475" s="2004"/>
      <c r="J475" s="1785" t="s">
        <v>2997</v>
      </c>
    </row>
    <row r="476" spans="2:12" ht="18" outlineLevel="1" x14ac:dyDescent="0.25">
      <c r="B476" s="2003" t="s">
        <v>3349</v>
      </c>
      <c r="C476" s="1785" t="s">
        <v>3002</v>
      </c>
      <c r="D476" s="1785">
        <v>1.24E-5</v>
      </c>
      <c r="E476" s="1787" t="s">
        <v>1217</v>
      </c>
      <c r="F476" s="1787" t="s">
        <v>1254</v>
      </c>
      <c r="G476" s="1785" t="s">
        <v>3340</v>
      </c>
      <c r="H476" s="2004">
        <v>2</v>
      </c>
      <c r="I476" s="2004"/>
      <c r="J476" s="1785" t="s">
        <v>2997</v>
      </c>
    </row>
    <row r="477" spans="2:12" ht="18" outlineLevel="1" x14ac:dyDescent="0.25">
      <c r="B477" s="2003" t="s">
        <v>3350</v>
      </c>
      <c r="C477" s="1785" t="s">
        <v>3003</v>
      </c>
      <c r="D477" s="1785">
        <v>1.0000000000000001E-5</v>
      </c>
      <c r="E477" s="1787" t="s">
        <v>1217</v>
      </c>
      <c r="F477" s="1787" t="s">
        <v>1254</v>
      </c>
      <c r="G477" s="1785" t="s">
        <v>3340</v>
      </c>
      <c r="H477" s="2004">
        <v>2</v>
      </c>
      <c r="I477" s="2004"/>
      <c r="J477" s="1785"/>
    </row>
    <row r="478" spans="2:12" ht="18" outlineLevel="1" x14ac:dyDescent="0.25">
      <c r="B478" s="2003" t="s">
        <v>3351</v>
      </c>
      <c r="C478" s="1785" t="s">
        <v>3003</v>
      </c>
      <c r="D478" s="1785">
        <v>1.0000000000000001E-5</v>
      </c>
      <c r="E478" s="1787" t="s">
        <v>1217</v>
      </c>
      <c r="F478" s="1787" t="s">
        <v>1254</v>
      </c>
      <c r="G478" s="1785" t="s">
        <v>3340</v>
      </c>
      <c r="H478" s="2004">
        <v>2</v>
      </c>
      <c r="I478" s="2004"/>
      <c r="J478" s="1785"/>
    </row>
    <row r="479" spans="2:12" ht="18" outlineLevel="1" x14ac:dyDescent="0.25">
      <c r="B479" s="2003" t="s">
        <v>3384</v>
      </c>
      <c r="C479" s="1785" t="s">
        <v>3034</v>
      </c>
      <c r="D479" s="1785">
        <v>2.5000000000000002E-6</v>
      </c>
      <c r="E479" s="1787" t="s">
        <v>1217</v>
      </c>
      <c r="F479" s="1787" t="s">
        <v>1254</v>
      </c>
      <c r="G479" s="1785" t="s">
        <v>3340</v>
      </c>
      <c r="H479" s="2004">
        <v>2</v>
      </c>
      <c r="I479" s="2004"/>
      <c r="J479" s="1785" t="s">
        <v>2997</v>
      </c>
    </row>
    <row r="480" spans="2:12" ht="18" outlineLevel="1" x14ac:dyDescent="0.25">
      <c r="B480" s="2003" t="s">
        <v>3385</v>
      </c>
      <c r="C480" s="1785" t="s">
        <v>3035</v>
      </c>
      <c r="D480" s="1785">
        <v>2.5000000000000002E-6</v>
      </c>
      <c r="E480" s="1787" t="s">
        <v>1217</v>
      </c>
      <c r="F480" s="1787" t="s">
        <v>1254</v>
      </c>
      <c r="G480" s="1785" t="s">
        <v>3340</v>
      </c>
      <c r="H480" s="2004">
        <v>2</v>
      </c>
      <c r="I480" s="2004"/>
      <c r="J480" s="1785" t="s">
        <v>2997</v>
      </c>
    </row>
    <row r="481" spans="2:10" ht="18" outlineLevel="1" x14ac:dyDescent="0.25">
      <c r="B481" s="2003" t="s">
        <v>3352</v>
      </c>
      <c r="C481" s="1785" t="s">
        <v>3004</v>
      </c>
      <c r="D481" s="1785">
        <v>2.0000000000000002E-5</v>
      </c>
      <c r="E481" s="1787" t="s">
        <v>1217</v>
      </c>
      <c r="F481" s="1787" t="s">
        <v>1254</v>
      </c>
      <c r="G481" s="1785" t="s">
        <v>3340</v>
      </c>
      <c r="H481" s="2004">
        <v>2</v>
      </c>
      <c r="I481" s="2004"/>
      <c r="J481" s="1785" t="s">
        <v>3005</v>
      </c>
    </row>
    <row r="482" spans="2:10" ht="18" outlineLevel="1" x14ac:dyDescent="0.25">
      <c r="B482" s="2003" t="s">
        <v>3353</v>
      </c>
      <c r="C482" s="1785" t="s">
        <v>3004</v>
      </c>
      <c r="D482" s="1785">
        <v>2.0000000000000002E-5</v>
      </c>
      <c r="E482" s="1787" t="s">
        <v>1217</v>
      </c>
      <c r="F482" s="1787" t="s">
        <v>1254</v>
      </c>
      <c r="G482" s="1785" t="s">
        <v>3340</v>
      </c>
      <c r="H482" s="2004">
        <v>2</v>
      </c>
      <c r="I482" s="2004"/>
      <c r="J482" s="1785" t="s">
        <v>3005</v>
      </c>
    </row>
    <row r="483" spans="2:10" ht="18" outlineLevel="1" x14ac:dyDescent="0.25">
      <c r="B483" s="2003" t="s">
        <v>3354</v>
      </c>
      <c r="C483" s="1785" t="s">
        <v>3004</v>
      </c>
      <c r="D483" s="1785">
        <v>2.0000000000000002E-5</v>
      </c>
      <c r="E483" s="1787" t="s">
        <v>1217</v>
      </c>
      <c r="F483" s="1787" t="s">
        <v>1254</v>
      </c>
      <c r="G483" s="1785" t="s">
        <v>3340</v>
      </c>
      <c r="H483" s="2004">
        <v>2</v>
      </c>
      <c r="I483" s="2004"/>
      <c r="J483" s="1785" t="s">
        <v>3005</v>
      </c>
    </row>
    <row r="484" spans="2:10" ht="18" outlineLevel="1" x14ac:dyDescent="0.25">
      <c r="B484" s="2003" t="s">
        <v>3355</v>
      </c>
      <c r="C484" s="1785" t="s">
        <v>3006</v>
      </c>
      <c r="D484" s="1785">
        <v>2.0000000000000002E-5</v>
      </c>
      <c r="E484" s="1787" t="s">
        <v>1217</v>
      </c>
      <c r="F484" s="1787" t="s">
        <v>2253</v>
      </c>
      <c r="G484" s="1785" t="s">
        <v>3340</v>
      </c>
      <c r="H484" s="2004">
        <v>2</v>
      </c>
      <c r="I484" s="2004"/>
      <c r="J484" s="1785" t="s">
        <v>3007</v>
      </c>
    </row>
    <row r="485" spans="2:10" ht="18" outlineLevel="1" x14ac:dyDescent="0.25">
      <c r="B485" s="2003" t="s">
        <v>3356</v>
      </c>
      <c r="C485" s="1785" t="s">
        <v>3008</v>
      </c>
      <c r="D485" s="1785">
        <v>1.0000000000000001E-5</v>
      </c>
      <c r="E485" s="1787" t="s">
        <v>1217</v>
      </c>
      <c r="F485" s="1787" t="s">
        <v>2253</v>
      </c>
      <c r="G485" s="1785" t="s">
        <v>3340</v>
      </c>
      <c r="H485" s="2004">
        <v>2</v>
      </c>
      <c r="I485" s="2004"/>
      <c r="J485" s="1785" t="s">
        <v>2997</v>
      </c>
    </row>
    <row r="486" spans="2:10" ht="18" outlineLevel="1" x14ac:dyDescent="0.25">
      <c r="B486" s="2003" t="s">
        <v>3357</v>
      </c>
      <c r="C486" s="1785" t="s">
        <v>3009</v>
      </c>
      <c r="D486" s="1785">
        <v>1.24E-5</v>
      </c>
      <c r="E486" s="1787" t="s">
        <v>1217</v>
      </c>
      <c r="F486" s="1787" t="s">
        <v>2253</v>
      </c>
      <c r="G486" s="1785" t="s">
        <v>3340</v>
      </c>
      <c r="H486" s="2004">
        <v>2</v>
      </c>
      <c r="I486" s="2004"/>
      <c r="J486" s="1785" t="s">
        <v>2997</v>
      </c>
    </row>
    <row r="487" spans="2:10" ht="18" outlineLevel="1" x14ac:dyDescent="0.25">
      <c r="B487" s="2003" t="s">
        <v>3358</v>
      </c>
      <c r="C487" s="1785" t="s">
        <v>3010</v>
      </c>
      <c r="D487" s="1785">
        <v>1.9000000000000001E-5</v>
      </c>
      <c r="E487" s="1787" t="s">
        <v>1217</v>
      </c>
      <c r="F487" s="1787" t="s">
        <v>2253</v>
      </c>
      <c r="G487" s="1785" t="s">
        <v>3340</v>
      </c>
      <c r="H487" s="2004">
        <v>2</v>
      </c>
      <c r="I487" s="2004"/>
      <c r="J487" s="1785" t="s">
        <v>3011</v>
      </c>
    </row>
    <row r="488" spans="2:10" ht="18" outlineLevel="1" x14ac:dyDescent="0.25">
      <c r="B488" s="2003" t="s">
        <v>3359</v>
      </c>
      <c r="C488" s="1785" t="s">
        <v>3012</v>
      </c>
      <c r="D488" s="1785">
        <v>1.24E-5</v>
      </c>
      <c r="E488" s="1787" t="s">
        <v>1217</v>
      </c>
      <c r="F488" s="1787" t="s">
        <v>2253</v>
      </c>
      <c r="G488" s="1785" t="s">
        <v>3340</v>
      </c>
      <c r="H488" s="2004">
        <v>2</v>
      </c>
      <c r="I488" s="2004"/>
      <c r="J488" s="1785" t="s">
        <v>3013</v>
      </c>
    </row>
    <row r="489" spans="2:10" ht="18" outlineLevel="1" x14ac:dyDescent="0.25">
      <c r="B489" s="2003" t="s">
        <v>3360</v>
      </c>
      <c r="C489" s="1785" t="s">
        <v>3014</v>
      </c>
      <c r="D489" s="1785">
        <v>1.24E-5</v>
      </c>
      <c r="E489" s="1787" t="s">
        <v>1217</v>
      </c>
      <c r="F489" s="1787" t="s">
        <v>2253</v>
      </c>
      <c r="G489" s="1785" t="s">
        <v>3340</v>
      </c>
      <c r="H489" s="2004">
        <v>2</v>
      </c>
      <c r="I489" s="2004"/>
      <c r="J489" s="1785" t="s">
        <v>3013</v>
      </c>
    </row>
    <row r="490" spans="2:10" ht="18" outlineLevel="1" x14ac:dyDescent="0.25">
      <c r="B490" s="2003" t="s">
        <v>3361</v>
      </c>
      <c r="C490" s="1785" t="s">
        <v>3003</v>
      </c>
      <c r="D490" s="1785">
        <v>1.0000000000000001E-5</v>
      </c>
      <c r="E490" s="1787" t="s">
        <v>1217</v>
      </c>
      <c r="F490" s="1787" t="s">
        <v>2253</v>
      </c>
      <c r="G490" s="1785" t="s">
        <v>3340</v>
      </c>
      <c r="H490" s="2004">
        <v>2</v>
      </c>
      <c r="I490" s="2004"/>
      <c r="J490" s="1785" t="s">
        <v>2997</v>
      </c>
    </row>
    <row r="491" spans="2:10" ht="18" outlineLevel="1" x14ac:dyDescent="0.25">
      <c r="B491" s="2003" t="s">
        <v>3362</v>
      </c>
      <c r="C491" s="1785" t="s">
        <v>3008</v>
      </c>
      <c r="D491" s="1785">
        <v>1.0000000000000001E-5</v>
      </c>
      <c r="E491" s="1787" t="s">
        <v>1217</v>
      </c>
      <c r="F491" s="1787" t="s">
        <v>1254</v>
      </c>
      <c r="G491" s="1785" t="s">
        <v>3340</v>
      </c>
      <c r="H491" s="2004">
        <v>2</v>
      </c>
      <c r="I491" s="2004"/>
      <c r="J491" s="1785"/>
    </row>
    <row r="492" spans="2:10" ht="18" outlineLevel="1" x14ac:dyDescent="0.25">
      <c r="B492" s="2003" t="s">
        <v>4666</v>
      </c>
      <c r="C492" s="1785" t="s">
        <v>4667</v>
      </c>
      <c r="D492" s="1785">
        <v>1.0000000000000001E-5</v>
      </c>
      <c r="E492" s="1787" t="s">
        <v>1217</v>
      </c>
      <c r="F492" s="1787" t="s">
        <v>2253</v>
      </c>
      <c r="G492" s="1785" t="s">
        <v>3340</v>
      </c>
      <c r="H492" s="2004">
        <v>2</v>
      </c>
      <c r="I492" s="2004"/>
      <c r="J492" s="1785"/>
    </row>
    <row r="493" spans="2:10" ht="18" outlineLevel="1" x14ac:dyDescent="0.25">
      <c r="B493" s="2003" t="s">
        <v>3364</v>
      </c>
      <c r="C493" s="1785" t="s">
        <v>3016</v>
      </c>
      <c r="D493" s="1785">
        <v>1.0000000000000001E-5</v>
      </c>
      <c r="E493" s="1787" t="s">
        <v>1217</v>
      </c>
      <c r="F493" s="1787" t="s">
        <v>2253</v>
      </c>
      <c r="G493" s="1785" t="s">
        <v>3340</v>
      </c>
      <c r="H493" s="2004">
        <v>2</v>
      </c>
      <c r="I493" s="2004"/>
      <c r="J493" s="1785"/>
    </row>
    <row r="494" spans="2:10" ht="18" outlineLevel="1" x14ac:dyDescent="0.25">
      <c r="B494" s="2003" t="s">
        <v>3363</v>
      </c>
      <c r="C494" s="1785" t="s">
        <v>3015</v>
      </c>
      <c r="D494" s="1785">
        <v>1.0000000000000001E-5</v>
      </c>
      <c r="E494" s="1787" t="s">
        <v>1217</v>
      </c>
      <c r="F494" s="1787" t="s">
        <v>2253</v>
      </c>
      <c r="G494" s="1785" t="s">
        <v>3340</v>
      </c>
      <c r="H494" s="2004">
        <v>2</v>
      </c>
      <c r="I494" s="2004"/>
      <c r="J494" s="1785"/>
    </row>
    <row r="495" spans="2:10" ht="18" outlineLevel="1" x14ac:dyDescent="0.25">
      <c r="B495" s="2003" t="s">
        <v>4668</v>
      </c>
      <c r="C495" s="1785" t="s">
        <v>3008</v>
      </c>
      <c r="D495" s="1785">
        <v>1.0000000000000001E-5</v>
      </c>
      <c r="E495" s="1787" t="s">
        <v>1217</v>
      </c>
      <c r="F495" s="1787" t="s">
        <v>1254</v>
      </c>
      <c r="G495" s="1785" t="s">
        <v>3340</v>
      </c>
      <c r="H495" s="2004">
        <v>2</v>
      </c>
      <c r="I495" s="2004"/>
      <c r="J495" s="1785"/>
    </row>
    <row r="496" spans="2:10" ht="18" outlineLevel="1" x14ac:dyDescent="0.25">
      <c r="B496" s="2003" t="s">
        <v>4669</v>
      </c>
      <c r="C496" s="1785" t="s">
        <v>4670</v>
      </c>
      <c r="D496" s="1785">
        <v>1.0000000000000001E-5</v>
      </c>
      <c r="E496" s="1787" t="s">
        <v>1217</v>
      </c>
      <c r="F496" s="1787" t="s">
        <v>2253</v>
      </c>
      <c r="G496" s="1785" t="s">
        <v>3340</v>
      </c>
      <c r="H496" s="2004">
        <v>2</v>
      </c>
      <c r="I496" s="2004"/>
      <c r="J496" s="1785"/>
    </row>
    <row r="497" spans="2:10" ht="18" outlineLevel="1" x14ac:dyDescent="0.25">
      <c r="B497" s="2003" t="s">
        <v>3365</v>
      </c>
      <c r="C497" s="1785" t="s">
        <v>3017</v>
      </c>
      <c r="D497" s="1785">
        <v>1.24E-5</v>
      </c>
      <c r="E497" s="1787" t="s">
        <v>1217</v>
      </c>
      <c r="F497" s="1787" t="s">
        <v>1254</v>
      </c>
      <c r="G497" s="1785" t="s">
        <v>3340</v>
      </c>
      <c r="H497" s="2004">
        <v>2</v>
      </c>
      <c r="I497" s="2004"/>
      <c r="J497" s="1785" t="s">
        <v>3013</v>
      </c>
    </row>
    <row r="498" spans="2:10" ht="18" outlineLevel="1" x14ac:dyDescent="0.25">
      <c r="B498" s="2003" t="s">
        <v>3366</v>
      </c>
      <c r="C498" s="1785" t="s">
        <v>3017</v>
      </c>
      <c r="D498" s="1785">
        <v>1.24E-5</v>
      </c>
      <c r="E498" s="1787" t="s">
        <v>1217</v>
      </c>
      <c r="F498" s="1787" t="s">
        <v>1254</v>
      </c>
      <c r="G498" s="1785" t="s">
        <v>3340</v>
      </c>
      <c r="H498" s="2004">
        <v>2</v>
      </c>
      <c r="I498" s="2004"/>
      <c r="J498" s="1785" t="s">
        <v>3013</v>
      </c>
    </row>
    <row r="499" spans="2:10" ht="18" outlineLevel="1" x14ac:dyDescent="0.25">
      <c r="B499" s="2003" t="s">
        <v>3367</v>
      </c>
      <c r="C499" s="1785" t="s">
        <v>3009</v>
      </c>
      <c r="D499" s="1785">
        <v>1.24E-5</v>
      </c>
      <c r="E499" s="1787" t="s">
        <v>1217</v>
      </c>
      <c r="F499" s="1787" t="s">
        <v>1254</v>
      </c>
      <c r="G499" s="1785" t="s">
        <v>3340</v>
      </c>
      <c r="H499" s="2004">
        <v>2</v>
      </c>
      <c r="I499" s="2004"/>
      <c r="J499" s="1785" t="s">
        <v>2997</v>
      </c>
    </row>
    <row r="500" spans="2:10" ht="18" outlineLevel="1" x14ac:dyDescent="0.25">
      <c r="B500" s="2003" t="s">
        <v>3368</v>
      </c>
      <c r="C500" s="1785" t="s">
        <v>3009</v>
      </c>
      <c r="D500" s="1785">
        <v>1.24E-5</v>
      </c>
      <c r="E500" s="1787" t="s">
        <v>1217</v>
      </c>
      <c r="F500" s="1787" t="s">
        <v>1254</v>
      </c>
      <c r="G500" s="1785" t="s">
        <v>3340</v>
      </c>
      <c r="H500" s="2004">
        <v>2</v>
      </c>
      <c r="I500" s="2004"/>
      <c r="J500" s="1785" t="s">
        <v>2997</v>
      </c>
    </row>
    <row r="501" spans="2:10" ht="18" outlineLevel="1" x14ac:dyDescent="0.25">
      <c r="B501" s="2003" t="s">
        <v>3369</v>
      </c>
      <c r="C501" s="1785" t="s">
        <v>3018</v>
      </c>
      <c r="D501" s="1785">
        <v>1.24E-5</v>
      </c>
      <c r="E501" s="1787" t="s">
        <v>1217</v>
      </c>
      <c r="F501" s="1787" t="s">
        <v>1254</v>
      </c>
      <c r="G501" s="1785" t="s">
        <v>3340</v>
      </c>
      <c r="H501" s="2004">
        <v>2</v>
      </c>
      <c r="I501" s="2004"/>
      <c r="J501" s="1785" t="s">
        <v>3013</v>
      </c>
    </row>
    <row r="502" spans="2:10" ht="18" outlineLevel="1" x14ac:dyDescent="0.25">
      <c r="B502" s="2003" t="s">
        <v>3370</v>
      </c>
      <c r="C502" s="1785" t="s">
        <v>3019</v>
      </c>
      <c r="D502" s="1785">
        <v>2.5000000000000001E-5</v>
      </c>
      <c r="E502" s="1787" t="s">
        <v>1217</v>
      </c>
      <c r="F502" s="1787" t="s">
        <v>1254</v>
      </c>
      <c r="G502" s="1785" t="s">
        <v>3340</v>
      </c>
      <c r="H502" s="2004">
        <v>2</v>
      </c>
      <c r="I502" s="2004"/>
      <c r="J502" s="1785" t="s">
        <v>3020</v>
      </c>
    </row>
    <row r="503" spans="2:10" ht="18" outlineLevel="1" x14ac:dyDescent="0.25">
      <c r="B503" s="2003" t="s">
        <v>4671</v>
      </c>
      <c r="C503" s="1785" t="s">
        <v>3019</v>
      </c>
      <c r="D503" s="1785">
        <v>2.5000000000000001E-5</v>
      </c>
      <c r="E503" s="1787" t="s">
        <v>1217</v>
      </c>
      <c r="F503" s="1787" t="s">
        <v>1254</v>
      </c>
      <c r="G503" s="1785" t="s">
        <v>3340</v>
      </c>
      <c r="H503" s="2004">
        <v>2</v>
      </c>
      <c r="I503" s="2004"/>
      <c r="J503" s="1785" t="s">
        <v>3020</v>
      </c>
    </row>
    <row r="504" spans="2:10" ht="18" outlineLevel="1" x14ac:dyDescent="0.25">
      <c r="B504" s="2003" t="s">
        <v>3371</v>
      </c>
      <c r="C504" s="1785" t="s">
        <v>3021</v>
      </c>
      <c r="D504" s="1785">
        <v>2.5000000000000001E-5</v>
      </c>
      <c r="E504" s="1787" t="s">
        <v>1217</v>
      </c>
      <c r="F504" s="1787" t="s">
        <v>1254</v>
      </c>
      <c r="G504" s="1785" t="s">
        <v>3340</v>
      </c>
      <c r="H504" s="2004">
        <v>2</v>
      </c>
      <c r="I504" s="2004"/>
      <c r="J504" s="1785" t="s">
        <v>2997</v>
      </c>
    </row>
    <row r="505" spans="2:10" ht="18" outlineLevel="1" x14ac:dyDescent="0.25">
      <c r="B505" s="2003" t="s">
        <v>3372</v>
      </c>
      <c r="C505" s="1785" t="s">
        <v>3022</v>
      </c>
      <c r="D505" s="1785">
        <v>2.5000000000000001E-5</v>
      </c>
      <c r="E505" s="1787" t="s">
        <v>1217</v>
      </c>
      <c r="F505" s="1787" t="s">
        <v>1254</v>
      </c>
      <c r="G505" s="1785" t="s">
        <v>3340</v>
      </c>
      <c r="H505" s="2004">
        <v>2</v>
      </c>
      <c r="I505" s="2004"/>
      <c r="J505" s="1785" t="s">
        <v>2997</v>
      </c>
    </row>
    <row r="506" spans="2:10" ht="18" outlineLevel="1" x14ac:dyDescent="0.25">
      <c r="B506" s="2003" t="s">
        <v>3373</v>
      </c>
      <c r="C506" s="1785" t="s">
        <v>3023</v>
      </c>
      <c r="D506" s="1785">
        <v>1.0000000000000001E-5</v>
      </c>
      <c r="E506" s="1787" t="s">
        <v>1217</v>
      </c>
      <c r="F506" s="1787" t="s">
        <v>1254</v>
      </c>
      <c r="G506" s="1785" t="s">
        <v>3340</v>
      </c>
      <c r="H506" s="2004">
        <v>2</v>
      </c>
      <c r="I506" s="2004"/>
      <c r="J506" s="1785" t="s">
        <v>2997</v>
      </c>
    </row>
    <row r="507" spans="2:10" ht="18" outlineLevel="1" x14ac:dyDescent="0.25">
      <c r="B507" s="2003" t="s">
        <v>3374</v>
      </c>
      <c r="C507" s="1785" t="s">
        <v>3024</v>
      </c>
      <c r="D507" s="1785">
        <v>1.9000000000000001E-5</v>
      </c>
      <c r="E507" s="1787" t="s">
        <v>1217</v>
      </c>
      <c r="F507" s="1787" t="s">
        <v>1254</v>
      </c>
      <c r="G507" s="1785" t="s">
        <v>3340</v>
      </c>
      <c r="H507" s="2004">
        <v>2</v>
      </c>
      <c r="I507" s="2004"/>
      <c r="J507" s="1785" t="s">
        <v>2997</v>
      </c>
    </row>
    <row r="508" spans="2:10" ht="18" outlineLevel="1" x14ac:dyDescent="0.25">
      <c r="B508" s="2003" t="s">
        <v>3375</v>
      </c>
      <c r="C508" s="1785" t="s">
        <v>3025</v>
      </c>
      <c r="D508" s="1785">
        <v>1.9000000000000001E-5</v>
      </c>
      <c r="E508" s="1787" t="s">
        <v>1217</v>
      </c>
      <c r="F508" s="1787" t="s">
        <v>1254</v>
      </c>
      <c r="G508" s="1785" t="s">
        <v>3340</v>
      </c>
      <c r="H508" s="2004">
        <v>2</v>
      </c>
      <c r="I508" s="2004"/>
      <c r="J508" s="1785" t="s">
        <v>2997</v>
      </c>
    </row>
    <row r="509" spans="2:10" ht="18" outlineLevel="1" x14ac:dyDescent="0.25">
      <c r="B509" s="2003" t="s">
        <v>3376</v>
      </c>
      <c r="C509" s="1785" t="s">
        <v>3026</v>
      </c>
      <c r="D509" s="1785">
        <v>1.9000000000000001E-5</v>
      </c>
      <c r="E509" s="1787" t="s">
        <v>1217</v>
      </c>
      <c r="F509" s="1787" t="s">
        <v>1254</v>
      </c>
      <c r="G509" s="1785" t="s">
        <v>3340</v>
      </c>
      <c r="H509" s="2004">
        <v>2</v>
      </c>
      <c r="I509" s="2004"/>
      <c r="J509" s="1785" t="s">
        <v>2997</v>
      </c>
    </row>
    <row r="510" spans="2:10" ht="18" outlineLevel="1" x14ac:dyDescent="0.25">
      <c r="B510" s="2003" t="s">
        <v>3377</v>
      </c>
      <c r="C510" s="1785" t="s">
        <v>3027</v>
      </c>
      <c r="D510" s="1785">
        <v>1.9000000000000001E-5</v>
      </c>
      <c r="E510" s="1787" t="s">
        <v>1217</v>
      </c>
      <c r="F510" s="1787" t="s">
        <v>1254</v>
      </c>
      <c r="G510" s="1785" t="s">
        <v>3340</v>
      </c>
      <c r="H510" s="2004">
        <v>2</v>
      </c>
      <c r="I510" s="2004"/>
      <c r="J510" s="1785" t="s">
        <v>2997</v>
      </c>
    </row>
    <row r="511" spans="2:10" ht="18" outlineLevel="1" x14ac:dyDescent="0.25">
      <c r="B511" s="2003" t="s">
        <v>3378</v>
      </c>
      <c r="C511" s="1785" t="s">
        <v>3028</v>
      </c>
      <c r="D511" s="1785">
        <v>1.9000000000000001E-5</v>
      </c>
      <c r="E511" s="1787" t="s">
        <v>1217</v>
      </c>
      <c r="F511" s="1787" t="s">
        <v>1254</v>
      </c>
      <c r="G511" s="1785" t="s">
        <v>3340</v>
      </c>
      <c r="H511" s="2004">
        <v>2</v>
      </c>
      <c r="I511" s="2004"/>
      <c r="J511" s="1785" t="s">
        <v>2997</v>
      </c>
    </row>
    <row r="512" spans="2:10" ht="18" outlineLevel="1" x14ac:dyDescent="0.25">
      <c r="B512" s="2003" t="s">
        <v>3379</v>
      </c>
      <c r="C512" s="1785" t="s">
        <v>3029</v>
      </c>
      <c r="D512" s="1785">
        <v>1.9000000000000001E-5</v>
      </c>
      <c r="E512" s="1787" t="s">
        <v>1217</v>
      </c>
      <c r="F512" s="1787" t="s">
        <v>1254</v>
      </c>
      <c r="G512" s="1785" t="s">
        <v>3340</v>
      </c>
      <c r="H512" s="2004">
        <v>2</v>
      </c>
      <c r="I512" s="2004"/>
      <c r="J512" s="1785" t="s">
        <v>2997</v>
      </c>
    </row>
    <row r="513" spans="2:10" ht="18" outlineLevel="1" x14ac:dyDescent="0.25">
      <c r="B513" s="2003" t="s">
        <v>3380</v>
      </c>
      <c r="C513" s="1785" t="s">
        <v>3030</v>
      </c>
      <c r="D513" s="1785">
        <v>1.9000000000000001E-5</v>
      </c>
      <c r="E513" s="1787" t="s">
        <v>1217</v>
      </c>
      <c r="F513" s="1787" t="s">
        <v>1254</v>
      </c>
      <c r="G513" s="1785" t="s">
        <v>3340</v>
      </c>
      <c r="H513" s="2004">
        <v>2</v>
      </c>
      <c r="I513" s="2004"/>
      <c r="J513" s="1785" t="s">
        <v>2997</v>
      </c>
    </row>
    <row r="514" spans="2:10" ht="18" outlineLevel="1" x14ac:dyDescent="0.25">
      <c r="B514" s="2003" t="s">
        <v>3381</v>
      </c>
      <c r="C514" s="1785" t="s">
        <v>3031</v>
      </c>
      <c r="D514" s="1785">
        <v>1.9000000000000001E-5</v>
      </c>
      <c r="E514" s="1787" t="s">
        <v>1217</v>
      </c>
      <c r="F514" s="1787" t="s">
        <v>1254</v>
      </c>
      <c r="G514" s="1785" t="s">
        <v>3340</v>
      </c>
      <c r="H514" s="2004">
        <v>2</v>
      </c>
      <c r="I514" s="2004"/>
      <c r="J514" s="1785" t="s">
        <v>2997</v>
      </c>
    </row>
    <row r="515" spans="2:10" ht="18" outlineLevel="1" x14ac:dyDescent="0.25">
      <c r="B515" s="2003" t="s">
        <v>3382</v>
      </c>
      <c r="C515" s="1785" t="s">
        <v>3032</v>
      </c>
      <c r="D515" s="1785">
        <v>1.0000000000000001E-5</v>
      </c>
      <c r="E515" s="1787" t="s">
        <v>1217</v>
      </c>
      <c r="F515" s="1787" t="s">
        <v>2253</v>
      </c>
      <c r="G515" s="1785" t="s">
        <v>3340</v>
      </c>
      <c r="H515" s="2004"/>
      <c r="I515" s="2004"/>
      <c r="J515" s="1785"/>
    </row>
    <row r="516" spans="2:10" ht="18" outlineLevel="1" x14ac:dyDescent="0.25">
      <c r="B516" s="2003" t="s">
        <v>4672</v>
      </c>
      <c r="C516" s="1785" t="s">
        <v>3032</v>
      </c>
      <c r="D516" s="1785">
        <v>1.0000000000000001E-5</v>
      </c>
      <c r="E516" s="1787" t="s">
        <v>1217</v>
      </c>
      <c r="F516" s="1787" t="s">
        <v>2253</v>
      </c>
      <c r="G516" s="1785" t="s">
        <v>3340</v>
      </c>
      <c r="H516" s="2004"/>
      <c r="I516" s="2004"/>
      <c r="J516" s="1785"/>
    </row>
    <row r="517" spans="2:10" ht="18" outlineLevel="1" x14ac:dyDescent="0.25">
      <c r="B517" s="2003" t="s">
        <v>3383</v>
      </c>
      <c r="C517" s="1785" t="s">
        <v>3033</v>
      </c>
      <c r="D517" s="1785">
        <v>1.9000000000000001E-5</v>
      </c>
      <c r="E517" s="1787" t="s">
        <v>1217</v>
      </c>
      <c r="F517" s="1787" t="s">
        <v>2253</v>
      </c>
      <c r="G517" s="1785" t="s">
        <v>3340</v>
      </c>
      <c r="H517" s="2004">
        <v>2</v>
      </c>
      <c r="I517" s="2004"/>
      <c r="J517" s="1785" t="s">
        <v>2997</v>
      </c>
    </row>
  </sheetData>
  <conditionalFormatting sqref="E251:F251">
    <cfRule type="cellIs" dxfId="77" priority="20" stopIfTrue="1" operator="notEqual">
      <formula>INDIRECT("Dummy_for_Comparison3!"&amp;ADDRESS(ROW(),COLUMN()))</formula>
    </cfRule>
  </conditionalFormatting>
  <conditionalFormatting sqref="E516:F516">
    <cfRule type="cellIs" dxfId="76" priority="24" stopIfTrue="1" operator="notEqual">
      <formula>INDIRECT("Dummy_for_Comparison3!"&amp;ADDRESS(ROW(),COLUMN()))</formula>
    </cfRule>
  </conditionalFormatting>
  <conditionalFormatting sqref="E218:F218">
    <cfRule type="cellIs" dxfId="75" priority="23" stopIfTrue="1" operator="notEqual">
      <formula>INDIRECT("Dummy_for_Comparison3!"&amp;ADDRESS(ROW(),COLUMN()))</formula>
    </cfRule>
  </conditionalFormatting>
  <conditionalFormatting sqref="E219:F219">
    <cfRule type="cellIs" dxfId="74" priority="22" stopIfTrue="1" operator="notEqual">
      <formula>INDIRECT("Dummy_for_Comparison3!"&amp;ADDRESS(ROW(),COLUMN()))</formula>
    </cfRule>
  </conditionalFormatting>
  <conditionalFormatting sqref="E226:F226">
    <cfRule type="cellIs" dxfId="73" priority="21" stopIfTrue="1" operator="notEqual">
      <formula>INDIRECT("Dummy_for_Comparison3!"&amp;ADDRESS(ROW(),COLUMN()))</formula>
    </cfRule>
  </conditionalFormatting>
  <conditionalFormatting sqref="E227:F227">
    <cfRule type="cellIs" dxfId="72" priority="18" stopIfTrue="1" operator="notEqual">
      <formula>INDIRECT("Dummy_for_Comparison3!"&amp;ADDRESS(ROW(),COLUMN()))</formula>
    </cfRule>
  </conditionalFormatting>
  <conditionalFormatting sqref="E246:F246">
    <cfRule type="cellIs" dxfId="71" priority="17" stopIfTrue="1" operator="notEqual">
      <formula>INDIRECT("Dummy_for_Comparison3!"&amp;ADDRESS(ROW(),COLUMN()))</formula>
    </cfRule>
  </conditionalFormatting>
  <conditionalFormatting sqref="E239:F239">
    <cfRule type="cellIs" dxfId="70" priority="16" stopIfTrue="1" operator="notEqual">
      <formula>INDIRECT("Dummy_for_Comparison3!"&amp;ADDRESS(ROW(),COLUMN()))</formula>
    </cfRule>
  </conditionalFormatting>
  <conditionalFormatting sqref="E263:F263">
    <cfRule type="cellIs" dxfId="69" priority="15" stopIfTrue="1" operator="notEqual">
      <formula>INDIRECT("Dummy_for_Comparison3!"&amp;ADDRESS(ROW(),COLUMN()))</formula>
    </cfRule>
  </conditionalFormatting>
  <conditionalFormatting sqref="E264:F264">
    <cfRule type="cellIs" dxfId="68" priority="14" stopIfTrue="1" operator="notEqual">
      <formula>INDIRECT("Dummy_for_Comparison3!"&amp;ADDRESS(ROW(),COLUMN()))</formula>
    </cfRule>
  </conditionalFormatting>
  <conditionalFormatting sqref="E268:F268">
    <cfRule type="cellIs" dxfId="67" priority="13" stopIfTrue="1" operator="notEqual">
      <formula>INDIRECT("Dummy_for_Comparison3!"&amp;ADDRESS(ROW(),COLUMN()))</formula>
    </cfRule>
  </conditionalFormatting>
  <conditionalFormatting sqref="E30:F30">
    <cfRule type="cellIs" dxfId="66" priority="12" stopIfTrue="1" operator="notEqual">
      <formula>INDIRECT("Dummy_for_Comparison3!"&amp;ADDRESS(ROW(),COLUMN()))</formula>
    </cfRule>
  </conditionalFormatting>
  <conditionalFormatting sqref="E492:F494">
    <cfRule type="cellIs" dxfId="65" priority="11" stopIfTrue="1" operator="notEqual">
      <formula>INDIRECT("Dummy_for_Comparison3!"&amp;ADDRESS(ROW(),COLUMN()))</formula>
    </cfRule>
  </conditionalFormatting>
  <conditionalFormatting sqref="E496:F496">
    <cfRule type="cellIs" dxfId="64" priority="10" stopIfTrue="1" operator="notEqual">
      <formula>INDIRECT("Dummy_for_Comparison3!"&amp;ADDRESS(ROW(),COLUMN()))</formula>
    </cfRule>
  </conditionalFormatting>
  <conditionalFormatting sqref="E217:F217">
    <cfRule type="cellIs" dxfId="63" priority="9" stopIfTrue="1" operator="notEqual">
      <formula>INDIRECT("Dummy_for_Comparison3!"&amp;ADDRESS(ROW(),COLUMN()))</formula>
    </cfRule>
  </conditionalFormatting>
  <conditionalFormatting sqref="E316:F316">
    <cfRule type="cellIs" dxfId="62" priority="8" stopIfTrue="1" operator="notEqual">
      <formula>INDIRECT("Dummy_for_Comparison3!"&amp;ADDRESS(ROW(),COLUMN()))</formula>
    </cfRule>
  </conditionalFormatting>
  <conditionalFormatting sqref="E31:F32">
    <cfRule type="cellIs" dxfId="61" priority="7" stopIfTrue="1" operator="notEqual">
      <formula>INDIRECT("Dummy_for_Comparison3!"&amp;ADDRESS(ROW(),COLUMN()))</formula>
    </cfRule>
  </conditionalFormatting>
  <conditionalFormatting sqref="E367:F367">
    <cfRule type="cellIs" dxfId="60" priority="6" stopIfTrue="1" operator="notEqual">
      <formula>INDIRECT("Dummy_for_Comparison3!"&amp;ADDRESS(ROW(),COLUMN()))</formula>
    </cfRule>
  </conditionalFormatting>
  <conditionalFormatting sqref="E383:F383">
    <cfRule type="cellIs" dxfId="59" priority="5" stopIfTrue="1" operator="notEqual">
      <formula>INDIRECT("Dummy_for_Comparison3!"&amp;ADDRESS(ROW(),COLUMN()))</formula>
    </cfRule>
  </conditionalFormatting>
  <conditionalFormatting sqref="E366:F366">
    <cfRule type="cellIs" dxfId="58" priority="4" stopIfTrue="1" operator="notEqual">
      <formula>INDIRECT("Dummy_for_Comparison3!"&amp;ADDRESS(ROW(),COLUMN()))</formula>
    </cfRule>
  </conditionalFormatting>
  <conditionalFormatting sqref="E443:F445">
    <cfRule type="cellIs" dxfId="57" priority="3" stopIfTrue="1" operator="notEqual">
      <formula>INDIRECT("Dummy_for_Comparison3!"&amp;ADDRESS(ROW(),COLUMN()))</formula>
    </cfRule>
  </conditionalFormatting>
  <conditionalFormatting sqref="B293:J309">
    <cfRule type="cellIs" dxfId="56" priority="2" stopIfTrue="1" operator="notEqual">
      <formula>INDIRECT("Dummy_for_Comparison3!"&amp;ADDRESS(ROW(),COLUMN()))</formula>
    </cfRule>
  </conditionalFormatting>
  <conditionalFormatting sqref="E473:F473">
    <cfRule type="cellIs" dxfId="55" priority="1" stopIfTrue="1" operator="notEqual">
      <formula>INDIRECT("Dummy_for_Comparison3!"&amp;ADDRESS(ROW(),COLUMN()))</formula>
    </cfRule>
  </conditionalFormatting>
  <conditionalFormatting sqref="E46:F46 E504:F515 E517:F517 E497:F502 E466:F472 E402:F426 E474:F494 E56:F56">
    <cfRule type="cellIs" dxfId="54" priority="62" stopIfTrue="1" operator="notEqual">
      <formula>INDIRECT("Dummy_for_Comparison3!"&amp;ADDRESS(ROW(),COLUMN()))</formula>
    </cfRule>
  </conditionalFormatting>
  <conditionalFormatting sqref="E6:F21 E26:F29 E38:F42 E47:F52 E61:F70 E79:F195 E200:F208 E213:F216 E282:F289 E314:F315 E325:F339 E344:F348 E361:F362 E435:F442 E384:F385 E258:F262 E389:F391 E379:F380 E364:F365 E377:F377 E220:F238 E252:F255 E387:F387 E265:F267 E247:F250 E269:F277 E240:F245 E33:F33 E317:F320 E368:F373 E446:F462">
    <cfRule type="cellIs" dxfId="53" priority="65" stopIfTrue="1" operator="notEqual">
      <formula>INDIRECT("Dummy_for_Comparison3!"&amp;ADDRESS(ROW(),COLUMN()))</formula>
    </cfRule>
  </conditionalFormatting>
  <conditionalFormatting sqref="E25:F25">
    <cfRule type="cellIs" dxfId="52" priority="64" stopIfTrue="1" operator="notEqual">
      <formula>INDIRECT("Dummy_for_Comparison3!"&amp;ADDRESS(ROW(),COLUMN()))</formula>
    </cfRule>
  </conditionalFormatting>
  <conditionalFormatting sqref="E37:F37">
    <cfRule type="cellIs" dxfId="51" priority="63" stopIfTrue="1" operator="notEqual">
      <formula>INDIRECT("Dummy_for_Comparison3!"&amp;ADDRESS(ROW(),COLUMN()))</formula>
    </cfRule>
  </conditionalFormatting>
  <conditionalFormatting sqref="E60:F60">
    <cfRule type="cellIs" dxfId="50" priority="61" stopIfTrue="1" operator="notEqual">
      <formula>INDIRECT("Dummy_for_Comparison3!"&amp;ADDRESS(ROW(),COLUMN()))</formula>
    </cfRule>
  </conditionalFormatting>
  <conditionalFormatting sqref="E74:F74">
    <cfRule type="cellIs" dxfId="49" priority="60" stopIfTrue="1" operator="notEqual">
      <formula>INDIRECT("Dummy_for_Comparison3!"&amp;ADDRESS(ROW(),COLUMN()))</formula>
    </cfRule>
  </conditionalFormatting>
  <conditionalFormatting sqref="E78:F78">
    <cfRule type="cellIs" dxfId="48" priority="59" stopIfTrue="1" operator="notEqual">
      <formula>INDIRECT("Dummy_for_Comparison3!"&amp;ADDRESS(ROW(),COLUMN()))</formula>
    </cfRule>
  </conditionalFormatting>
  <conditionalFormatting sqref="E199:F199">
    <cfRule type="cellIs" dxfId="47" priority="58" stopIfTrue="1" operator="notEqual">
      <formula>INDIRECT("Dummy_for_Comparison3!"&amp;ADDRESS(ROW(),COLUMN()))</formula>
    </cfRule>
  </conditionalFormatting>
  <conditionalFormatting sqref="E212:F212">
    <cfRule type="cellIs" dxfId="46" priority="57" stopIfTrue="1" operator="notEqual">
      <formula>INDIRECT("Dummy_for_Comparison3!"&amp;ADDRESS(ROW(),COLUMN()))</formula>
    </cfRule>
  </conditionalFormatting>
  <conditionalFormatting sqref="E281:F281">
    <cfRule type="cellIs" dxfId="45" priority="56" stopIfTrue="1" operator="notEqual">
      <formula>INDIRECT("Dummy_for_Comparison3!"&amp;ADDRESS(ROW(),COLUMN()))</formula>
    </cfRule>
  </conditionalFormatting>
  <conditionalFormatting sqref="E313:F313">
    <cfRule type="cellIs" dxfId="44" priority="55" stopIfTrue="1" operator="notEqual">
      <formula>INDIRECT("Dummy_for_Comparison3!"&amp;ADDRESS(ROW(),COLUMN()))</formula>
    </cfRule>
  </conditionalFormatting>
  <conditionalFormatting sqref="E324:F324">
    <cfRule type="cellIs" dxfId="43" priority="54" stopIfTrue="1" operator="notEqual">
      <formula>INDIRECT("Dummy_for_Comparison3!"&amp;ADDRESS(ROW(),COLUMN()))</formula>
    </cfRule>
  </conditionalFormatting>
  <conditionalFormatting sqref="E343:F343">
    <cfRule type="cellIs" dxfId="42" priority="53" stopIfTrue="1" operator="notEqual">
      <formula>INDIRECT("Dummy_for_Comparison3!"&amp;ADDRESS(ROW(),COLUMN()))</formula>
    </cfRule>
  </conditionalFormatting>
  <conditionalFormatting sqref="E352:F352">
    <cfRule type="cellIs" dxfId="41" priority="52" stopIfTrue="1" operator="notEqual">
      <formula>INDIRECT("Dummy_for_Comparison3!"&amp;ADDRESS(ROW(),COLUMN()))</formula>
    </cfRule>
  </conditionalFormatting>
  <conditionalFormatting sqref="E356:F356">
    <cfRule type="cellIs" dxfId="40" priority="51" stopIfTrue="1" operator="notEqual">
      <formula>INDIRECT("Dummy_for_Comparison3!"&amp;ADDRESS(ROW(),COLUMN()))</formula>
    </cfRule>
  </conditionalFormatting>
  <conditionalFormatting sqref="E360:F360">
    <cfRule type="cellIs" dxfId="39" priority="50" stopIfTrue="1" operator="notEqual">
      <formula>INDIRECT("Dummy_for_Comparison3!"&amp;ADDRESS(ROW(),COLUMN()))</formula>
    </cfRule>
  </conditionalFormatting>
  <conditionalFormatting sqref="E401:F401">
    <cfRule type="cellIs" dxfId="38" priority="49" stopIfTrue="1" operator="notEqual">
      <formula>INDIRECT("Dummy_for_Comparison3!"&amp;ADDRESS(ROW(),COLUMN()))</formula>
    </cfRule>
  </conditionalFormatting>
  <conditionalFormatting sqref="E430:F430">
    <cfRule type="cellIs" dxfId="37" priority="48" stopIfTrue="1" operator="notEqual">
      <formula>INDIRECT("Dummy_for_Comparison3!"&amp;ADDRESS(ROW(),COLUMN()))</formula>
    </cfRule>
  </conditionalFormatting>
  <conditionalFormatting sqref="E434:F434">
    <cfRule type="cellIs" dxfId="36" priority="47" stopIfTrue="1" operator="notEqual">
      <formula>INDIRECT("Dummy_for_Comparison3!"&amp;ADDRESS(ROW(),COLUMN()))</formula>
    </cfRule>
  </conditionalFormatting>
  <conditionalFormatting sqref="E256:F256">
    <cfRule type="cellIs" dxfId="35" priority="46" stopIfTrue="1" operator="notEqual">
      <formula>INDIRECT("Dummy_for_Comparison3!"&amp;ADDRESS(ROW(),COLUMN()))</formula>
    </cfRule>
  </conditionalFormatting>
  <conditionalFormatting sqref="E5:F5">
    <cfRule type="cellIs" dxfId="34" priority="45" stopIfTrue="1" operator="notEqual">
      <formula>INDIRECT("Dummy_for_Comparison3!"&amp;ADDRESS(ROW(),COLUMN()))</formula>
    </cfRule>
  </conditionalFormatting>
  <conditionalFormatting sqref="E4:F4">
    <cfRule type="cellIs" dxfId="33" priority="44" stopIfTrue="1" operator="notEqual">
      <formula>INDIRECT("Dummy_for_Comparison3!"&amp;ADDRESS(ROW(),COLUMN()))</formula>
    </cfRule>
  </conditionalFormatting>
  <conditionalFormatting sqref="E393:F393">
    <cfRule type="cellIs" dxfId="32" priority="43" stopIfTrue="1" operator="notEqual">
      <formula>INDIRECT("Dummy_for_Comparison3!"&amp;ADDRESS(ROW(),COLUMN()))</formula>
    </cfRule>
  </conditionalFormatting>
  <conditionalFormatting sqref="E392:F392">
    <cfRule type="cellIs" dxfId="31" priority="42" stopIfTrue="1" operator="notEqual">
      <formula>INDIRECT("Dummy_for_Comparison3!"&amp;ADDRESS(ROW(),COLUMN()))</formula>
    </cfRule>
  </conditionalFormatting>
  <conditionalFormatting sqref="E394:F394">
    <cfRule type="cellIs" dxfId="30" priority="41" stopIfTrue="1" operator="notEqual">
      <formula>INDIRECT("Dummy_for_Comparison3!"&amp;ADDRESS(ROW(),COLUMN()))</formula>
    </cfRule>
  </conditionalFormatting>
  <conditionalFormatting sqref="F396">
    <cfRule type="cellIs" dxfId="29" priority="40" stopIfTrue="1" operator="notEqual">
      <formula>INDIRECT("Dummy_for_Comparison3!"&amp;ADDRESS(ROW(),COLUMN()))</formula>
    </cfRule>
  </conditionalFormatting>
  <conditionalFormatting sqref="D396">
    <cfRule type="cellIs" dxfId="28" priority="39" stopIfTrue="1" operator="notEqual">
      <formula>INDIRECT("Dummy_for_Comparison3!"&amp;ADDRESS(ROW(),COLUMN()))</formula>
    </cfRule>
  </conditionalFormatting>
  <conditionalFormatting sqref="E397:F397">
    <cfRule type="cellIs" dxfId="27" priority="38" stopIfTrue="1" operator="notEqual">
      <formula>INDIRECT("Dummy_for_Comparison3!"&amp;ADDRESS(ROW(),COLUMN()))</formula>
    </cfRule>
  </conditionalFormatting>
  <conditionalFormatting sqref="E396">
    <cfRule type="cellIs" dxfId="26" priority="37" stopIfTrue="1" operator="notEqual">
      <formula>INDIRECT("Dummy_for_Comparison3!"&amp;ADDRESS(ROW(),COLUMN()))</formula>
    </cfRule>
  </conditionalFormatting>
  <conditionalFormatting sqref="E388:F388">
    <cfRule type="cellIs" dxfId="25" priority="36" stopIfTrue="1" operator="notEqual">
      <formula>INDIRECT("Dummy_for_Comparison3!"&amp;ADDRESS(ROW(),COLUMN()))</formula>
    </cfRule>
  </conditionalFormatting>
  <conditionalFormatting sqref="E378:F378">
    <cfRule type="cellIs" dxfId="24" priority="35" stopIfTrue="1" operator="notEqual">
      <formula>INDIRECT("Dummy_for_Comparison3!"&amp;ADDRESS(ROW(),COLUMN()))</formula>
    </cfRule>
  </conditionalFormatting>
  <conditionalFormatting sqref="E363:F363">
    <cfRule type="cellIs" dxfId="23" priority="34" stopIfTrue="1" operator="notEqual">
      <formula>INDIRECT("Dummy_for_Comparison3!"&amp;ADDRESS(ROW(),COLUMN()))</formula>
    </cfRule>
  </conditionalFormatting>
  <conditionalFormatting sqref="F395">
    <cfRule type="cellIs" dxfId="22" priority="33" stopIfTrue="1" operator="notEqual">
      <formula>INDIRECT("Dummy_for_Comparison3!"&amp;ADDRESS(ROW(),COLUMN()))</formula>
    </cfRule>
  </conditionalFormatting>
  <conditionalFormatting sqref="D395">
    <cfRule type="cellIs" dxfId="21" priority="32" stopIfTrue="1" operator="notEqual">
      <formula>INDIRECT("Dummy_for_Comparison3!"&amp;ADDRESS(ROW(),COLUMN()))</formula>
    </cfRule>
  </conditionalFormatting>
  <conditionalFormatting sqref="E395">
    <cfRule type="cellIs" dxfId="20" priority="31" stopIfTrue="1" operator="notEqual">
      <formula>INDIRECT("Dummy_for_Comparison3!"&amp;ADDRESS(ROW(),COLUMN()))</formula>
    </cfRule>
  </conditionalFormatting>
  <conditionalFormatting sqref="E257:F257">
    <cfRule type="cellIs" dxfId="19" priority="30" stopIfTrue="1" operator="notEqual">
      <formula>INDIRECT("Dummy_for_Comparison3!"&amp;ADDRESS(ROW(),COLUMN()))</formula>
    </cfRule>
  </conditionalFormatting>
  <conditionalFormatting sqref="E374:F374">
    <cfRule type="cellIs" dxfId="18" priority="29" stopIfTrue="1" operator="notEqual">
      <formula>INDIRECT("Dummy_for_Comparison3!"&amp;ADDRESS(ROW(),COLUMN()))</formula>
    </cfRule>
  </conditionalFormatting>
  <conditionalFormatting sqref="E375:F375">
    <cfRule type="cellIs" dxfId="17" priority="28" stopIfTrue="1" operator="notEqual">
      <formula>INDIRECT("Dummy_for_Comparison3!"&amp;ADDRESS(ROW(),COLUMN()))</formula>
    </cfRule>
  </conditionalFormatting>
  <conditionalFormatting sqref="E376:F376">
    <cfRule type="cellIs" dxfId="16" priority="27" stopIfTrue="1" operator="notEqual">
      <formula>INDIRECT("Dummy_for_Comparison3!"&amp;ADDRESS(ROW(),COLUMN()))</formula>
    </cfRule>
  </conditionalFormatting>
  <conditionalFormatting sqref="E503:F503">
    <cfRule type="cellIs" dxfId="15" priority="26" stopIfTrue="1" operator="notEqual">
      <formula>INDIRECT("Dummy_for_Comparison3!"&amp;ADDRESS(ROW(),COLUMN()))</formula>
    </cfRule>
  </conditionalFormatting>
  <conditionalFormatting sqref="E495:F495">
    <cfRule type="cellIs" dxfId="14" priority="25" stopIfTrue="1" operator="notEqual">
      <formula>INDIRECT("Dummy_for_Comparison3!"&amp;ADDRESS(ROW(),COLUMN()))</formula>
    </cfRule>
  </conditionalFormatting>
  <conditionalFormatting sqref="E386:F386">
    <cfRule type="cellIs" dxfId="13" priority="19" stopIfTrue="1" operator="notEqual">
      <formula>INDIRECT("Dummy_for_Comparison3!"&amp;ADDRESS(ROW(),COLUMN()))</formula>
    </cfRule>
  </conditionalFormatting>
  <hyperlinks>
    <hyperlink ref="J18" r:id="rId1" xr:uid="{00000000-0004-0000-1100-000000000000}"/>
    <hyperlink ref="J19" r:id="rId2" xr:uid="{00000000-0004-0000-1100-000001000000}"/>
    <hyperlink ref="J20" r:id="rId3" xr:uid="{00000000-0004-0000-1100-000002000000}"/>
    <hyperlink ref="J21" r:id="rId4" xr:uid="{00000000-0004-0000-1100-000003000000}"/>
    <hyperlink ref="J14" r:id="rId5" xr:uid="{00000000-0004-0000-1100-000004000000}"/>
    <hyperlink ref="J15" r:id="rId6" xr:uid="{00000000-0004-0000-1100-000005000000}"/>
    <hyperlink ref="J16" r:id="rId7" xr:uid="{00000000-0004-0000-1100-000006000000}"/>
    <hyperlink ref="J17" r:id="rId8" xr:uid="{00000000-0004-0000-1100-000007000000}"/>
    <hyperlink ref="J424" r:id="rId9" xr:uid="{00000000-0004-0000-1100-000008000000}"/>
    <hyperlink ref="J7" r:id="rId10" xr:uid="{00000000-0004-0000-1100-000009000000}"/>
  </hyperlinks>
  <pageMargins left="0.7" right="0.7" top="0.75" bottom="0.75" header="0.3" footer="0.3"/>
  <pageSetup orientation="portrait" r:id="rId1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
  <dimension ref="A1:L81"/>
  <sheetViews>
    <sheetView showGridLines="0" workbookViewId="0">
      <selection activeCell="B3" sqref="B3:D81"/>
    </sheetView>
  </sheetViews>
  <sheetFormatPr baseColWidth="10" defaultColWidth="9.28515625" defaultRowHeight="15" x14ac:dyDescent="0.25"/>
  <cols>
    <col min="2" max="2" width="19.28515625" style="4" bestFit="1" customWidth="1"/>
    <col min="3" max="3" width="51.28515625" style="4" bestFit="1" customWidth="1"/>
    <col min="4" max="5" width="9.28515625" style="3"/>
    <col min="6" max="6" width="17.7109375" style="3" customWidth="1"/>
    <col min="7" max="8" width="9.28515625" style="3"/>
    <col min="9" max="9" width="12.7109375" style="3" bestFit="1" customWidth="1"/>
    <col min="10" max="10" width="19.5703125" customWidth="1"/>
  </cols>
  <sheetData>
    <row r="1" spans="2:10" ht="15.75" thickBot="1" x14ac:dyDescent="0.3">
      <c r="B1"/>
      <c r="C1"/>
      <c r="D1"/>
      <c r="E1"/>
      <c r="F1"/>
      <c r="G1"/>
      <c r="H1"/>
      <c r="I1"/>
    </row>
    <row r="2" spans="2:10" s="102" customFormat="1" ht="15.75" thickBot="1" x14ac:dyDescent="0.3">
      <c r="B2" s="103"/>
      <c r="C2" s="1112" t="s">
        <v>1193</v>
      </c>
      <c r="D2" s="103" t="s">
        <v>303</v>
      </c>
      <c r="E2" s="103"/>
      <c r="F2" s="103"/>
      <c r="G2" s="103"/>
      <c r="H2" s="103"/>
      <c r="I2" s="103"/>
    </row>
    <row r="3" spans="2:10" s="102" customFormat="1" ht="15.75" thickBot="1" x14ac:dyDescent="0.3">
      <c r="B3" s="1149" t="s">
        <v>0</v>
      </c>
      <c r="C3" s="1150" t="s">
        <v>1</v>
      </c>
      <c r="D3" s="1150" t="s">
        <v>842</v>
      </c>
      <c r="E3" s="1150" t="s">
        <v>473</v>
      </c>
      <c r="F3" s="1150" t="s">
        <v>474</v>
      </c>
      <c r="G3" s="1150" t="s">
        <v>2</v>
      </c>
      <c r="H3" s="1150" t="s">
        <v>302</v>
      </c>
      <c r="I3" s="1150" t="s">
        <v>116</v>
      </c>
      <c r="J3" s="1151" t="s">
        <v>117</v>
      </c>
    </row>
    <row r="4" spans="2:10" s="102" customFormat="1" ht="18.75" thickBot="1" x14ac:dyDescent="0.3">
      <c r="B4" s="1152" t="s">
        <v>3658</v>
      </c>
      <c r="C4" s="1119" t="s">
        <v>2543</v>
      </c>
      <c r="D4" s="986">
        <v>0.1</v>
      </c>
      <c r="E4" s="986">
        <v>0</v>
      </c>
      <c r="F4" s="986">
        <v>1</v>
      </c>
      <c r="G4" s="1153" t="s">
        <v>1976</v>
      </c>
      <c r="H4" s="1153">
        <v>2</v>
      </c>
      <c r="I4" s="986"/>
      <c r="J4" s="1154"/>
    </row>
    <row r="5" spans="2:10" ht="15.75" thickBot="1" x14ac:dyDescent="0.3">
      <c r="B5"/>
      <c r="C5"/>
      <c r="D5"/>
      <c r="E5"/>
      <c r="F5"/>
      <c r="G5"/>
      <c r="H5"/>
      <c r="I5"/>
    </row>
    <row r="6" spans="2:10" ht="15.75" thickBot="1" x14ac:dyDescent="0.3">
      <c r="B6" s="149"/>
      <c r="C6" s="924" t="s">
        <v>3386</v>
      </c>
      <c r="D6" s="149"/>
      <c r="E6" s="149"/>
      <c r="F6" s="149"/>
      <c r="G6" s="149"/>
      <c r="H6" s="149"/>
      <c r="I6" s="149"/>
    </row>
    <row r="7" spans="2:10" ht="15.75" thickBot="1" x14ac:dyDescent="0.3">
      <c r="B7" s="925" t="s">
        <v>0</v>
      </c>
      <c r="C7" s="926" t="s">
        <v>1</v>
      </c>
      <c r="D7" s="926" t="s">
        <v>152</v>
      </c>
      <c r="E7" s="927" t="s">
        <v>473</v>
      </c>
      <c r="F7" s="927" t="s">
        <v>474</v>
      </c>
      <c r="G7" s="926" t="s">
        <v>2</v>
      </c>
      <c r="H7" s="926" t="s">
        <v>302</v>
      </c>
      <c r="I7" s="928" t="s">
        <v>116</v>
      </c>
    </row>
    <row r="8" spans="2:10" ht="18" x14ac:dyDescent="0.35">
      <c r="B8" s="2047" t="s">
        <v>4710</v>
      </c>
      <c r="C8" s="2048" t="s">
        <v>4711</v>
      </c>
      <c r="D8" s="2049">
        <v>4.8</v>
      </c>
      <c r="E8" s="2048"/>
      <c r="F8" s="2048"/>
      <c r="G8" s="2048" t="s">
        <v>4712</v>
      </c>
      <c r="H8" s="2048"/>
      <c r="I8" s="2050"/>
    </row>
    <row r="9" spans="2:10" ht="18.75" x14ac:dyDescent="0.35">
      <c r="B9" s="2051" t="s">
        <v>3387</v>
      </c>
      <c r="C9" s="933" t="s">
        <v>3388</v>
      </c>
      <c r="D9" s="934">
        <v>76.402000000000001</v>
      </c>
      <c r="E9" s="933"/>
      <c r="F9" s="933"/>
      <c r="G9" s="933" t="s">
        <v>3389</v>
      </c>
      <c r="H9" s="933"/>
      <c r="I9" s="935"/>
    </row>
    <row r="10" spans="2:10" ht="18.75" x14ac:dyDescent="0.35">
      <c r="B10" s="155" t="s">
        <v>3390</v>
      </c>
      <c r="C10" s="933" t="s">
        <v>3391</v>
      </c>
      <c r="D10" s="934">
        <v>100</v>
      </c>
      <c r="E10" s="933"/>
      <c r="F10" s="933"/>
      <c r="G10" s="933" t="s">
        <v>3389</v>
      </c>
      <c r="H10" s="933"/>
      <c r="I10" s="935"/>
    </row>
    <row r="11" spans="2:10" ht="18.75" x14ac:dyDescent="0.35">
      <c r="B11" s="155" t="s">
        <v>3392</v>
      </c>
      <c r="C11" s="933" t="s">
        <v>3393</v>
      </c>
      <c r="D11" s="934">
        <v>88.852000000000004</v>
      </c>
      <c r="E11" s="933"/>
      <c r="F11" s="933"/>
      <c r="G11" s="933" t="s">
        <v>3389</v>
      </c>
      <c r="H11" s="933"/>
      <c r="I11" s="935"/>
    </row>
    <row r="12" spans="2:10" ht="18.75" x14ac:dyDescent="0.35">
      <c r="B12" s="155" t="s">
        <v>3394</v>
      </c>
      <c r="C12" s="933" t="s">
        <v>3395</v>
      </c>
      <c r="D12" s="934">
        <v>84.435000000000002</v>
      </c>
      <c r="E12" s="933"/>
      <c r="F12" s="933"/>
      <c r="G12" s="933" t="s">
        <v>3389</v>
      </c>
      <c r="H12" s="933"/>
      <c r="I12" s="935"/>
    </row>
    <row r="13" spans="2:10" ht="18.75" x14ac:dyDescent="0.35">
      <c r="B13" s="155" t="s">
        <v>3396</v>
      </c>
      <c r="C13" s="933" t="s">
        <v>3397</v>
      </c>
      <c r="D13" s="934">
        <v>146.73500000000001</v>
      </c>
      <c r="E13" s="933"/>
      <c r="F13" s="933"/>
      <c r="G13" s="933" t="s">
        <v>3389</v>
      </c>
      <c r="H13" s="933"/>
      <c r="I13" s="935"/>
    </row>
    <row r="14" spans="2:10" ht="18.75" x14ac:dyDescent="0.35">
      <c r="B14" s="155" t="s">
        <v>3398</v>
      </c>
      <c r="C14" s="933" t="s">
        <v>3399</v>
      </c>
      <c r="D14" s="934">
        <v>0</v>
      </c>
      <c r="E14" s="933"/>
      <c r="F14" s="933"/>
      <c r="G14" s="933" t="s">
        <v>3389</v>
      </c>
      <c r="H14" s="933"/>
      <c r="I14" s="935"/>
    </row>
    <row r="15" spans="2:10" ht="18.75" x14ac:dyDescent="0.35">
      <c r="B15" s="155" t="s">
        <v>3400</v>
      </c>
      <c r="C15" s="933" t="s">
        <v>3401</v>
      </c>
      <c r="D15" s="934">
        <v>90.980999999999995</v>
      </c>
      <c r="E15" s="933"/>
      <c r="F15" s="933"/>
      <c r="G15" s="933" t="s">
        <v>3389</v>
      </c>
      <c r="H15" s="933"/>
      <c r="I15" s="935"/>
    </row>
    <row r="16" spans="2:10" s="132" customFormat="1" ht="18" x14ac:dyDescent="0.35">
      <c r="B16" s="936" t="s">
        <v>3402</v>
      </c>
      <c r="C16" s="937" t="s">
        <v>3403</v>
      </c>
      <c r="D16" s="938">
        <v>3748.91</v>
      </c>
      <c r="E16" s="938"/>
      <c r="F16" s="937"/>
      <c r="G16" s="939" t="s">
        <v>837</v>
      </c>
      <c r="H16" s="937"/>
      <c r="I16" s="940" t="s">
        <v>1178</v>
      </c>
    </row>
    <row r="17" spans="1:9" s="132" customFormat="1" ht="18.75" x14ac:dyDescent="0.35">
      <c r="B17" s="936" t="s">
        <v>3404</v>
      </c>
      <c r="C17" s="937" t="s">
        <v>3405</v>
      </c>
      <c r="D17" s="938">
        <v>10</v>
      </c>
      <c r="E17" s="938"/>
      <c r="F17" s="937"/>
      <c r="G17" s="937" t="s">
        <v>837</v>
      </c>
      <c r="H17" s="937"/>
      <c r="I17" s="940" t="s">
        <v>1168</v>
      </c>
    </row>
    <row r="18" spans="1:9" s="132" customFormat="1" ht="18.75" x14ac:dyDescent="0.35">
      <c r="B18" s="936" t="s">
        <v>3406</v>
      </c>
      <c r="C18" s="937" t="s">
        <v>3407</v>
      </c>
      <c r="D18" s="938">
        <v>40</v>
      </c>
      <c r="E18" s="938"/>
      <c r="F18" s="937"/>
      <c r="G18" s="937" t="s">
        <v>837</v>
      </c>
      <c r="H18" s="937"/>
      <c r="I18" s="940" t="s">
        <v>1169</v>
      </c>
    </row>
    <row r="19" spans="1:9" s="132" customFormat="1" ht="18.75" x14ac:dyDescent="0.35">
      <c r="B19" s="936" t="s">
        <v>3408</v>
      </c>
      <c r="C19" s="937" t="s">
        <v>3409</v>
      </c>
      <c r="D19" s="938">
        <v>0</v>
      </c>
      <c r="E19" s="938"/>
      <c r="F19" s="937"/>
      <c r="G19" s="937" t="s">
        <v>837</v>
      </c>
      <c r="H19" s="937"/>
      <c r="I19" s="940" t="s">
        <v>1170</v>
      </c>
    </row>
    <row r="20" spans="1:9" s="132" customFormat="1" ht="18.75" x14ac:dyDescent="0.35">
      <c r="B20" s="936" t="s">
        <v>3410</v>
      </c>
      <c r="C20" s="937" t="s">
        <v>3411</v>
      </c>
      <c r="D20" s="938">
        <v>0</v>
      </c>
      <c r="E20" s="938"/>
      <c r="F20" s="937"/>
      <c r="G20" s="937" t="s">
        <v>837</v>
      </c>
      <c r="H20" s="937"/>
      <c r="I20" s="940" t="s">
        <v>1171</v>
      </c>
    </row>
    <row r="21" spans="1:9" s="132" customFormat="1" ht="18" x14ac:dyDescent="0.25">
      <c r="B21" s="941" t="s">
        <v>3412</v>
      </c>
      <c r="C21" s="939" t="s">
        <v>3413</v>
      </c>
      <c r="D21" s="942">
        <v>0</v>
      </c>
      <c r="E21" s="942"/>
      <c r="F21" s="942"/>
      <c r="G21" s="939" t="s">
        <v>837</v>
      </c>
      <c r="H21" s="942"/>
      <c r="I21" s="943" t="s">
        <v>1179</v>
      </c>
    </row>
    <row r="22" spans="1:9" s="132" customFormat="1" ht="19.5" thickBot="1" x14ac:dyDescent="0.4">
      <c r="A22"/>
      <c r="B22" s="944" t="s">
        <v>3414</v>
      </c>
      <c r="C22" s="945" t="s">
        <v>3415</v>
      </c>
      <c r="D22" s="946">
        <v>15</v>
      </c>
      <c r="E22" s="946"/>
      <c r="F22" s="945"/>
      <c r="G22" s="945" t="s">
        <v>837</v>
      </c>
      <c r="H22" s="945"/>
      <c r="I22" s="947" t="s">
        <v>1172</v>
      </c>
    </row>
    <row r="23" spans="1:9" ht="15.75" thickBot="1" x14ac:dyDescent="0.3">
      <c r="B23"/>
      <c r="C23"/>
      <c r="D23"/>
      <c r="E23"/>
      <c r="F23"/>
      <c r="G23"/>
      <c r="H23"/>
      <c r="I23"/>
    </row>
    <row r="24" spans="1:9" ht="15.75" thickBot="1" x14ac:dyDescent="0.3">
      <c r="B24" s="149"/>
      <c r="C24" s="924" t="s">
        <v>3416</v>
      </c>
      <c r="D24" s="149"/>
      <c r="E24" s="149"/>
      <c r="F24" s="149"/>
      <c r="G24" s="149"/>
      <c r="H24" s="149"/>
      <c r="I24" s="149"/>
    </row>
    <row r="25" spans="1:9" ht="15.75" thickBot="1" x14ac:dyDescent="0.3">
      <c r="B25" s="925" t="s">
        <v>0</v>
      </c>
      <c r="C25" s="926" t="s">
        <v>1</v>
      </c>
      <c r="D25" s="926" t="s">
        <v>152</v>
      </c>
      <c r="E25" s="927" t="s">
        <v>473</v>
      </c>
      <c r="F25" s="927" t="s">
        <v>474</v>
      </c>
      <c r="G25" s="926" t="s">
        <v>2</v>
      </c>
      <c r="H25" s="926" t="s">
        <v>302</v>
      </c>
      <c r="I25" s="928" t="s">
        <v>116</v>
      </c>
    </row>
    <row r="26" spans="1:9" ht="18.75" x14ac:dyDescent="0.35">
      <c r="B26" s="929" t="s">
        <v>3417</v>
      </c>
      <c r="C26" s="930" t="s">
        <v>3418</v>
      </c>
      <c r="D26" s="931">
        <v>2.2919999999999998</v>
      </c>
      <c r="E26" s="930"/>
      <c r="F26" s="930"/>
      <c r="G26" s="930" t="s">
        <v>3389</v>
      </c>
      <c r="H26" s="930"/>
      <c r="I26" s="932"/>
    </row>
    <row r="27" spans="1:9" ht="18.75" x14ac:dyDescent="0.35">
      <c r="B27" s="155" t="s">
        <v>3419</v>
      </c>
      <c r="C27" s="933" t="s">
        <v>3420</v>
      </c>
      <c r="D27" s="934">
        <v>3</v>
      </c>
      <c r="E27" s="933"/>
      <c r="F27" s="933"/>
      <c r="G27" s="933" t="s">
        <v>3389</v>
      </c>
      <c r="H27" s="933"/>
      <c r="I27" s="935"/>
    </row>
    <row r="28" spans="1:9" ht="18.75" x14ac:dyDescent="0.35">
      <c r="B28" s="155" t="s">
        <v>3421</v>
      </c>
      <c r="C28" s="933" t="s">
        <v>3422</v>
      </c>
      <c r="D28" s="934">
        <v>2.6659999999999999</v>
      </c>
      <c r="E28" s="933"/>
      <c r="F28" s="933"/>
      <c r="G28" s="933" t="s">
        <v>3389</v>
      </c>
      <c r="H28" s="933"/>
      <c r="I28" s="935"/>
    </row>
    <row r="29" spans="1:9" ht="18.75" x14ac:dyDescent="0.35">
      <c r="B29" s="155" t="s">
        <v>3423</v>
      </c>
      <c r="C29" s="933" t="s">
        <v>3424</v>
      </c>
      <c r="D29" s="934">
        <v>2.5329999999999999</v>
      </c>
      <c r="E29" s="933"/>
      <c r="F29" s="933"/>
      <c r="G29" s="933" t="s">
        <v>3389</v>
      </c>
      <c r="H29" s="933"/>
      <c r="I29" s="935"/>
    </row>
    <row r="30" spans="1:9" ht="18.75" x14ac:dyDescent="0.35">
      <c r="B30" s="155" t="s">
        <v>3425</v>
      </c>
      <c r="C30" s="933" t="s">
        <v>3426</v>
      </c>
      <c r="D30" s="934">
        <v>4.4020000000000001</v>
      </c>
      <c r="E30" s="933"/>
      <c r="F30" s="933"/>
      <c r="G30" s="933" t="s">
        <v>3389</v>
      </c>
      <c r="H30" s="933"/>
      <c r="I30" s="935"/>
    </row>
    <row r="31" spans="1:9" ht="18.75" x14ac:dyDescent="0.35">
      <c r="B31" s="155" t="s">
        <v>3427</v>
      </c>
      <c r="C31" s="933" t="s">
        <v>3428</v>
      </c>
      <c r="D31" s="934">
        <v>0</v>
      </c>
      <c r="E31" s="933"/>
      <c r="F31" s="933"/>
      <c r="G31" s="933" t="s">
        <v>3389</v>
      </c>
      <c r="H31" s="933"/>
      <c r="I31" s="935"/>
    </row>
    <row r="32" spans="1:9" ht="18.75" x14ac:dyDescent="0.35">
      <c r="B32" s="155" t="s">
        <v>3429</v>
      </c>
      <c r="C32" s="933" t="s">
        <v>3430</v>
      </c>
      <c r="D32" s="934">
        <v>2.73</v>
      </c>
      <c r="E32" s="933"/>
      <c r="F32" s="933"/>
      <c r="G32" s="933" t="s">
        <v>3389</v>
      </c>
      <c r="H32" s="933"/>
      <c r="I32" s="935"/>
    </row>
    <row r="33" spans="1:12" s="132" customFormat="1" ht="18" x14ac:dyDescent="0.35">
      <c r="B33" s="936" t="s">
        <v>3431</v>
      </c>
      <c r="C33" s="937" t="s">
        <v>3432</v>
      </c>
      <c r="D33" s="938">
        <v>3748.91</v>
      </c>
      <c r="E33" s="938"/>
      <c r="F33" s="937"/>
      <c r="G33" s="939" t="s">
        <v>837</v>
      </c>
      <c r="H33" s="937"/>
      <c r="I33" s="940" t="s">
        <v>3433</v>
      </c>
    </row>
    <row r="34" spans="1:12" s="132" customFormat="1" ht="18.75" x14ac:dyDescent="0.35">
      <c r="B34" s="936" t="s">
        <v>3434</v>
      </c>
      <c r="C34" s="937" t="s">
        <v>3435</v>
      </c>
      <c r="D34" s="938">
        <v>10</v>
      </c>
      <c r="E34" s="938"/>
      <c r="F34" s="937"/>
      <c r="G34" s="937" t="s">
        <v>837</v>
      </c>
      <c r="H34" s="937"/>
      <c r="I34" s="940" t="s">
        <v>3436</v>
      </c>
    </row>
    <row r="35" spans="1:12" s="132" customFormat="1" ht="18.75" x14ac:dyDescent="0.35">
      <c r="B35" s="936" t="s">
        <v>3437</v>
      </c>
      <c r="C35" s="937" t="s">
        <v>3438</v>
      </c>
      <c r="D35" s="938">
        <v>40</v>
      </c>
      <c r="E35" s="938"/>
      <c r="F35" s="937"/>
      <c r="G35" s="937" t="s">
        <v>837</v>
      </c>
      <c r="H35" s="937"/>
      <c r="I35" s="940" t="s">
        <v>3439</v>
      </c>
    </row>
    <row r="36" spans="1:12" s="132" customFormat="1" ht="18.75" x14ac:dyDescent="0.35">
      <c r="B36" s="936" t="s">
        <v>3440</v>
      </c>
      <c r="C36" s="937" t="s">
        <v>3441</v>
      </c>
      <c r="D36" s="938">
        <v>0</v>
      </c>
      <c r="E36" s="938"/>
      <c r="F36" s="937"/>
      <c r="G36" s="937" t="s">
        <v>837</v>
      </c>
      <c r="H36" s="937"/>
      <c r="I36" s="940" t="s">
        <v>3442</v>
      </c>
    </row>
    <row r="37" spans="1:12" s="132" customFormat="1" ht="18.75" x14ac:dyDescent="0.35">
      <c r="B37" s="936" t="s">
        <v>3443</v>
      </c>
      <c r="C37" s="937" t="s">
        <v>3444</v>
      </c>
      <c r="D37" s="938">
        <v>0</v>
      </c>
      <c r="E37" s="938"/>
      <c r="F37" s="937"/>
      <c r="G37" s="937" t="s">
        <v>837</v>
      </c>
      <c r="H37" s="937"/>
      <c r="I37" s="940" t="s">
        <v>3445</v>
      </c>
    </row>
    <row r="38" spans="1:12" s="132" customFormat="1" ht="18" x14ac:dyDescent="0.25">
      <c r="B38" s="941" t="s">
        <v>3446</v>
      </c>
      <c r="C38" s="939" t="s">
        <v>3447</v>
      </c>
      <c r="D38" s="942">
        <v>0</v>
      </c>
      <c r="E38" s="942"/>
      <c r="F38" s="942"/>
      <c r="G38" s="939" t="s">
        <v>837</v>
      </c>
      <c r="H38" s="942"/>
      <c r="I38" s="943" t="s">
        <v>3448</v>
      </c>
    </row>
    <row r="39" spans="1:12" s="132" customFormat="1" ht="19.5" thickBot="1" x14ac:dyDescent="0.4">
      <c r="A39" s="117"/>
      <c r="B39" s="944" t="s">
        <v>3449</v>
      </c>
      <c r="C39" s="945" t="s">
        <v>3450</v>
      </c>
      <c r="D39" s="946">
        <v>15</v>
      </c>
      <c r="E39" s="946"/>
      <c r="F39" s="945"/>
      <c r="G39" s="945" t="s">
        <v>837</v>
      </c>
      <c r="H39" s="945"/>
      <c r="I39" s="947" t="s">
        <v>3451</v>
      </c>
    </row>
    <row r="40" spans="1:12" ht="15.75" thickBot="1" x14ac:dyDescent="0.3">
      <c r="B40"/>
      <c r="C40"/>
      <c r="D40"/>
      <c r="E40"/>
      <c r="F40"/>
      <c r="G40"/>
      <c r="H40"/>
      <c r="I40"/>
    </row>
    <row r="41" spans="1:12" ht="15.75" thickBot="1" x14ac:dyDescent="0.3">
      <c r="B41" s="149"/>
      <c r="C41" s="924" t="s">
        <v>789</v>
      </c>
      <c r="D41" s="149"/>
      <c r="E41" s="149"/>
      <c r="F41" s="149"/>
      <c r="G41" s="149"/>
      <c r="H41" s="149"/>
      <c r="I41" s="149"/>
    </row>
    <row r="42" spans="1:12" ht="15.75" thickBot="1" x14ac:dyDescent="0.3">
      <c r="B42" s="925" t="s">
        <v>0</v>
      </c>
      <c r="C42" s="926" t="s">
        <v>1</v>
      </c>
      <c r="D42" s="926" t="s">
        <v>152</v>
      </c>
      <c r="E42" s="927" t="s">
        <v>473</v>
      </c>
      <c r="F42" s="927" t="s">
        <v>474</v>
      </c>
      <c r="G42" s="926" t="s">
        <v>2</v>
      </c>
      <c r="H42" s="926" t="s">
        <v>302</v>
      </c>
      <c r="I42" s="928" t="s">
        <v>116</v>
      </c>
    </row>
    <row r="43" spans="1:12" s="102" customFormat="1" ht="30" x14ac:dyDescent="0.25">
      <c r="B43" s="1041" t="s">
        <v>3567</v>
      </c>
      <c r="C43" s="1042" t="s">
        <v>3572</v>
      </c>
      <c r="D43" s="1043">
        <v>0</v>
      </c>
      <c r="E43" s="1044">
        <v>0</v>
      </c>
      <c r="F43" s="1044" t="s">
        <v>1254</v>
      </c>
      <c r="G43" s="1045" t="s">
        <v>1991</v>
      </c>
      <c r="H43" s="1044">
        <v>1</v>
      </c>
      <c r="I43" s="636" t="s">
        <v>3574</v>
      </c>
      <c r="J43" s="1046" t="s">
        <v>3569</v>
      </c>
    </row>
    <row r="44" spans="1:12" s="102" customFormat="1" ht="30" x14ac:dyDescent="0.25">
      <c r="B44" s="1041" t="s">
        <v>3568</v>
      </c>
      <c r="C44" s="1042" t="s">
        <v>3573</v>
      </c>
      <c r="D44" s="1043">
        <v>0</v>
      </c>
      <c r="E44" s="1044">
        <v>0</v>
      </c>
      <c r="F44" s="1044" t="s">
        <v>1254</v>
      </c>
      <c r="G44" s="1045" t="s">
        <v>1991</v>
      </c>
      <c r="H44" s="1044">
        <v>1</v>
      </c>
      <c r="I44" s="636" t="s">
        <v>3575</v>
      </c>
      <c r="J44" s="1046" t="s">
        <v>3569</v>
      </c>
    </row>
    <row r="45" spans="1:12" ht="18.75" x14ac:dyDescent="0.35">
      <c r="B45" s="948" t="s">
        <v>806</v>
      </c>
      <c r="C45" s="897" t="s">
        <v>805</v>
      </c>
      <c r="D45" s="516">
        <v>7.0000000000000001E-3</v>
      </c>
      <c r="E45" s="897"/>
      <c r="F45" s="897"/>
      <c r="G45" s="937" t="s">
        <v>1873</v>
      </c>
      <c r="H45" s="897"/>
      <c r="I45" s="898"/>
    </row>
    <row r="46" spans="1:12" s="117" customFormat="1" ht="18" x14ac:dyDescent="0.25">
      <c r="B46" s="949" t="s">
        <v>2409</v>
      </c>
      <c r="C46" s="557" t="s">
        <v>2410</v>
      </c>
      <c r="D46" s="515">
        <v>35</v>
      </c>
      <c r="E46" s="515"/>
      <c r="F46" s="515"/>
      <c r="G46" s="636" t="s">
        <v>1047</v>
      </c>
      <c r="H46" s="514"/>
      <c r="I46" s="950"/>
      <c r="J46" s="141"/>
      <c r="K46" s="141"/>
      <c r="L46" s="141"/>
    </row>
    <row r="47" spans="1:12" s="117" customFormat="1" ht="18.75" thickBot="1" x14ac:dyDescent="0.3">
      <c r="B47" s="559" t="s">
        <v>2411</v>
      </c>
      <c r="C47" s="920" t="s">
        <v>2412</v>
      </c>
      <c r="D47" s="650">
        <v>150</v>
      </c>
      <c r="E47" s="650"/>
      <c r="F47" s="650"/>
      <c r="G47" s="951" t="s">
        <v>1049</v>
      </c>
      <c r="H47" s="651"/>
      <c r="I47" s="113"/>
      <c r="J47" s="141"/>
      <c r="K47" s="141"/>
      <c r="L47" s="141"/>
    </row>
    <row r="48" spans="1:12" s="103" customFormat="1" ht="18.75" thickBot="1" x14ac:dyDescent="0.3">
      <c r="B48" s="1039" t="s">
        <v>3257</v>
      </c>
      <c r="C48" s="1028" t="s">
        <v>3191</v>
      </c>
      <c r="D48" s="1029">
        <v>0.5</v>
      </c>
      <c r="E48" s="882" t="s">
        <v>1217</v>
      </c>
      <c r="F48" s="882">
        <v>1</v>
      </c>
      <c r="G48" s="882" t="s">
        <v>282</v>
      </c>
      <c r="H48" s="1029">
        <v>1</v>
      </c>
      <c r="J48" s="1029"/>
    </row>
    <row r="49" spans="2:9" s="161" customFormat="1" ht="15.75" thickBot="1" x14ac:dyDescent="0.3">
      <c r="B49" s="139"/>
      <c r="C49" s="156"/>
      <c r="D49" s="157"/>
      <c r="E49" s="158"/>
      <c r="F49" s="159"/>
      <c r="G49" s="157"/>
      <c r="H49" s="157"/>
      <c r="I49" s="160"/>
    </row>
    <row r="50" spans="2:9" s="161" customFormat="1" ht="15.75" thickBot="1" x14ac:dyDescent="0.3">
      <c r="B50" s="139"/>
      <c r="C50" s="150" t="s">
        <v>1173</v>
      </c>
      <c r="D50" s="157"/>
      <c r="E50" s="158"/>
      <c r="F50" s="159"/>
      <c r="G50" s="157"/>
      <c r="H50" s="157"/>
      <c r="I50" s="160"/>
    </row>
    <row r="51" spans="2:9" s="161" customFormat="1" ht="15.75" thickBot="1" x14ac:dyDescent="0.3">
      <c r="B51" s="151" t="s">
        <v>0</v>
      </c>
      <c r="C51" s="152" t="s">
        <v>1</v>
      </c>
      <c r="D51" s="152" t="s">
        <v>152</v>
      </c>
      <c r="E51" s="153" t="s">
        <v>473</v>
      </c>
      <c r="F51" s="153" t="s">
        <v>474</v>
      </c>
      <c r="G51" s="152" t="s">
        <v>2</v>
      </c>
      <c r="H51" s="152" t="s">
        <v>302</v>
      </c>
      <c r="I51" s="154" t="s">
        <v>116</v>
      </c>
    </row>
    <row r="52" spans="2:9" s="161" customFormat="1" ht="15.75" thickBot="1" x14ac:dyDescent="0.3">
      <c r="B52" s="162" t="s">
        <v>795</v>
      </c>
      <c r="C52" s="163" t="s">
        <v>790</v>
      </c>
      <c r="D52" s="164" t="b">
        <v>0</v>
      </c>
      <c r="E52" s="163"/>
      <c r="F52" s="163"/>
      <c r="G52" s="163"/>
      <c r="H52" s="163"/>
      <c r="I52" s="165" t="s">
        <v>791</v>
      </c>
    </row>
    <row r="53" spans="2:9" s="161" customFormat="1" ht="15.75" thickBot="1" x14ac:dyDescent="0.3"/>
    <row r="54" spans="2:9" s="161" customFormat="1" ht="15.75" thickBot="1" x14ac:dyDescent="0.3">
      <c r="B54" s="166" t="s">
        <v>1174</v>
      </c>
      <c r="C54" s="150" t="s">
        <v>1175</v>
      </c>
      <c r="D54" s="149"/>
      <c r="E54" s="149"/>
      <c r="F54" s="149"/>
      <c r="G54" s="149"/>
      <c r="H54" s="149"/>
      <c r="I54" s="149"/>
    </row>
    <row r="55" spans="2:9" s="161" customFormat="1" ht="15.75" thickBot="1" x14ac:dyDescent="0.3">
      <c r="B55" s="337" t="s">
        <v>0</v>
      </c>
      <c r="C55" s="338" t="s">
        <v>1</v>
      </c>
      <c r="D55" s="338" t="s">
        <v>152</v>
      </c>
      <c r="E55" s="339" t="s">
        <v>473</v>
      </c>
      <c r="F55" s="339" t="s">
        <v>474</v>
      </c>
      <c r="G55" s="338" t="s">
        <v>2</v>
      </c>
      <c r="H55" s="338" t="s">
        <v>302</v>
      </c>
      <c r="I55" s="340" t="s">
        <v>116</v>
      </c>
    </row>
    <row r="56" spans="2:9" s="161" customFormat="1" x14ac:dyDescent="0.25">
      <c r="B56" s="2022" t="s">
        <v>1176</v>
      </c>
      <c r="C56" s="2023"/>
      <c r="D56" s="2023" t="b">
        <v>0</v>
      </c>
      <c r="E56" s="2023"/>
      <c r="F56" s="2023"/>
      <c r="G56" s="2023"/>
      <c r="H56" s="2023"/>
      <c r="I56" s="2024" t="s">
        <v>1177</v>
      </c>
    </row>
    <row r="57" spans="2:9" s="161" customFormat="1" x14ac:dyDescent="0.25">
      <c r="B57" s="2025" t="s">
        <v>1255</v>
      </c>
      <c r="C57" s="2026"/>
      <c r="D57" s="2026" t="b">
        <v>0</v>
      </c>
      <c r="E57" s="2026"/>
      <c r="F57" s="2026"/>
      <c r="G57" s="2026"/>
      <c r="H57" s="2026"/>
      <c r="I57" s="2027" t="s">
        <v>1177</v>
      </c>
    </row>
    <row r="58" spans="2:9" s="161" customFormat="1" x14ac:dyDescent="0.25">
      <c r="B58" s="2025" t="s">
        <v>11</v>
      </c>
      <c r="C58" s="2026"/>
      <c r="D58" s="2026" t="b">
        <v>1</v>
      </c>
      <c r="E58" s="2026"/>
      <c r="F58" s="2026"/>
      <c r="G58" s="2026"/>
      <c r="H58" s="2026"/>
      <c r="I58" s="2027" t="s">
        <v>1177</v>
      </c>
    </row>
    <row r="59" spans="2:9" s="161" customFormat="1" x14ac:dyDescent="0.25">
      <c r="B59" s="2025" t="s">
        <v>15</v>
      </c>
      <c r="C59" s="2026"/>
      <c r="D59" s="2026" t="b">
        <v>0</v>
      </c>
      <c r="E59" s="2026"/>
      <c r="F59" s="2026"/>
      <c r="G59" s="2026"/>
      <c r="H59" s="2026"/>
      <c r="I59" s="2027" t="s">
        <v>1177</v>
      </c>
    </row>
    <row r="60" spans="2:9" s="161" customFormat="1" x14ac:dyDescent="0.25">
      <c r="B60" s="2025" t="s">
        <v>4673</v>
      </c>
      <c r="C60" s="2026"/>
      <c r="D60" s="2026" t="b">
        <v>0</v>
      </c>
      <c r="E60" s="2026"/>
      <c r="F60" s="2026"/>
      <c r="G60" s="2026"/>
      <c r="H60" s="2026"/>
      <c r="I60" s="2027" t="s">
        <v>1177</v>
      </c>
    </row>
    <row r="61" spans="2:9" x14ac:dyDescent="0.25">
      <c r="B61" s="2025" t="s">
        <v>2088</v>
      </c>
      <c r="C61" s="2026"/>
      <c r="D61" s="2026" t="b">
        <v>1</v>
      </c>
      <c r="E61" s="2026"/>
      <c r="F61" s="2026"/>
      <c r="G61" s="2026"/>
      <c r="H61" s="2026"/>
      <c r="I61" s="2027" t="s">
        <v>1177</v>
      </c>
    </row>
    <row r="62" spans="2:9" x14ac:dyDescent="0.25">
      <c r="B62" s="2025" t="s">
        <v>333</v>
      </c>
      <c r="C62" s="2026"/>
      <c r="D62" s="2026" t="b">
        <v>1</v>
      </c>
      <c r="E62" s="2026"/>
      <c r="F62" s="2026"/>
      <c r="G62" s="2026"/>
      <c r="H62" s="2026"/>
      <c r="I62" s="2027" t="s">
        <v>1177</v>
      </c>
    </row>
    <row r="63" spans="2:9" x14ac:dyDescent="0.25">
      <c r="B63" s="2025" t="s">
        <v>1210</v>
      </c>
      <c r="C63" s="2028"/>
      <c r="D63" s="2026" t="b">
        <v>0</v>
      </c>
      <c r="E63" s="2028"/>
      <c r="F63" s="2028"/>
      <c r="G63" s="2028"/>
      <c r="H63" s="2028"/>
      <c r="I63" s="2027" t="s">
        <v>1177</v>
      </c>
    </row>
    <row r="64" spans="2:9" x14ac:dyDescent="0.25">
      <c r="B64" s="2025" t="s">
        <v>1616</v>
      </c>
      <c r="C64" s="2028"/>
      <c r="D64" s="2026" t="b">
        <v>0</v>
      </c>
      <c r="E64" s="2028"/>
      <c r="F64" s="2028"/>
      <c r="G64" s="2028"/>
      <c r="H64" s="2028"/>
      <c r="I64" s="2027" t="s">
        <v>1177</v>
      </c>
    </row>
    <row r="65" spans="1:10" x14ac:dyDescent="0.25">
      <c r="B65" s="2025" t="s">
        <v>1627</v>
      </c>
      <c r="C65" s="2026"/>
      <c r="D65" s="2026" t="b">
        <v>1</v>
      </c>
      <c r="E65" s="2026"/>
      <c r="F65" s="2026"/>
      <c r="G65" s="2026"/>
      <c r="H65" s="2026"/>
      <c r="I65" s="2027" t="s">
        <v>1177</v>
      </c>
    </row>
    <row r="66" spans="1:10" x14ac:dyDescent="0.25">
      <c r="B66" s="2025" t="s">
        <v>4674</v>
      </c>
      <c r="C66" s="2026"/>
      <c r="D66" s="2026" t="b">
        <v>1</v>
      </c>
      <c r="E66" s="2026"/>
      <c r="F66" s="2026"/>
      <c r="G66" s="2026"/>
      <c r="H66" s="2026"/>
      <c r="I66" s="2027" t="s">
        <v>1177</v>
      </c>
    </row>
    <row r="67" spans="1:10" x14ac:dyDescent="0.25">
      <c r="B67" s="2025" t="s">
        <v>4675</v>
      </c>
      <c r="C67" s="2026"/>
      <c r="D67" s="2026" t="b">
        <v>0</v>
      </c>
      <c r="E67" s="2026"/>
      <c r="F67" s="2026"/>
      <c r="G67" s="2026"/>
      <c r="H67" s="2026"/>
      <c r="I67" s="2027" t="s">
        <v>1177</v>
      </c>
    </row>
    <row r="68" spans="1:10" x14ac:dyDescent="0.25">
      <c r="B68" s="2025" t="s">
        <v>4676</v>
      </c>
      <c r="C68" s="2026"/>
      <c r="D68" s="2026" t="b">
        <v>0</v>
      </c>
      <c r="E68" s="2026"/>
      <c r="F68" s="2026"/>
      <c r="G68" s="2026"/>
      <c r="H68" s="2026"/>
      <c r="I68" s="2027" t="s">
        <v>1177</v>
      </c>
    </row>
    <row r="69" spans="1:10" x14ac:dyDescent="0.25">
      <c r="B69" s="2025" t="s">
        <v>4677</v>
      </c>
      <c r="C69" s="2026"/>
      <c r="D69" s="2026" t="b">
        <v>0</v>
      </c>
      <c r="E69" s="2026"/>
      <c r="F69" s="2026"/>
      <c r="G69" s="2026"/>
      <c r="H69" s="2026"/>
      <c r="I69" s="2027" t="s">
        <v>1177</v>
      </c>
    </row>
    <row r="70" spans="1:10" x14ac:dyDescent="0.25">
      <c r="B70" s="2025" t="s">
        <v>4678</v>
      </c>
      <c r="C70" s="2026"/>
      <c r="D70" s="2026" t="b">
        <v>0</v>
      </c>
      <c r="E70" s="2026"/>
      <c r="F70" s="2026"/>
      <c r="G70" s="2026"/>
      <c r="H70" s="2026"/>
      <c r="I70" s="2027" t="s">
        <v>1177</v>
      </c>
    </row>
    <row r="71" spans="1:10" x14ac:dyDescent="0.25">
      <c r="B71" s="2025" t="s">
        <v>3936</v>
      </c>
      <c r="C71" s="2026"/>
      <c r="D71" s="2026" t="b">
        <v>0</v>
      </c>
      <c r="E71" s="2026"/>
      <c r="F71" s="2026"/>
      <c r="G71" s="2026"/>
      <c r="H71" s="2026"/>
      <c r="I71" s="2027" t="s">
        <v>1177</v>
      </c>
    </row>
    <row r="72" spans="1:10" x14ac:dyDescent="0.25">
      <c r="B72" s="2025" t="s">
        <v>4679</v>
      </c>
      <c r="C72" s="2026"/>
      <c r="D72" s="2026" t="b">
        <v>0</v>
      </c>
      <c r="E72" s="2026"/>
      <c r="F72" s="2026"/>
      <c r="G72" s="2026"/>
      <c r="H72" s="2026"/>
      <c r="I72" s="2027" t="s">
        <v>1177</v>
      </c>
    </row>
    <row r="73" spans="1:10" x14ac:dyDescent="0.25">
      <c r="B73" s="2025" t="s">
        <v>3937</v>
      </c>
      <c r="C73" s="2026"/>
      <c r="D73" s="2026" t="b">
        <v>0</v>
      </c>
      <c r="E73" s="2026"/>
      <c r="F73" s="2026"/>
      <c r="G73" s="2026"/>
      <c r="H73" s="2026"/>
      <c r="I73" s="2027" t="s">
        <v>1177</v>
      </c>
    </row>
    <row r="74" spans="1:10" ht="15.75" thickBot="1" x14ac:dyDescent="0.3">
      <c r="B74" s="2029" t="s">
        <v>3939</v>
      </c>
      <c r="C74" s="2030"/>
      <c r="D74" s="2030" t="b">
        <v>0</v>
      </c>
      <c r="E74" s="2030"/>
      <c r="F74" s="2030"/>
      <c r="G74" s="2030"/>
      <c r="H74" s="2030"/>
      <c r="I74" s="2031" t="s">
        <v>1177</v>
      </c>
    </row>
    <row r="76" spans="1:10" s="3" customFormat="1" x14ac:dyDescent="0.25">
      <c r="B76" s="4"/>
      <c r="C76" s="4"/>
    </row>
    <row r="77" spans="1:10" s="2289" customFormat="1" ht="15.75" thickBot="1" x14ac:dyDescent="0.3">
      <c r="B77" s="2290"/>
      <c r="C77" s="2291" t="s">
        <v>4883</v>
      </c>
      <c r="D77" s="2290"/>
      <c r="E77" s="2292"/>
      <c r="F77" s="2292"/>
      <c r="G77" s="2292"/>
      <c r="H77" s="2292"/>
    </row>
    <row r="78" spans="1:10" s="2289" customFormat="1" ht="15.75" thickBot="1" x14ac:dyDescent="0.3">
      <c r="B78" s="2293" t="s">
        <v>0</v>
      </c>
      <c r="C78" s="2294" t="s">
        <v>1</v>
      </c>
      <c r="D78" s="2291" t="s">
        <v>842</v>
      </c>
      <c r="E78" s="2291" t="s">
        <v>473</v>
      </c>
      <c r="F78" s="2291" t="s">
        <v>474</v>
      </c>
      <c r="G78" s="2291" t="s">
        <v>2</v>
      </c>
      <c r="H78" s="2291" t="s">
        <v>302</v>
      </c>
      <c r="I78" s="2291" t="s">
        <v>116</v>
      </c>
      <c r="J78" s="2291" t="s">
        <v>117</v>
      </c>
    </row>
    <row r="79" spans="1:10" s="2295" customFormat="1" ht="18" x14ac:dyDescent="0.25">
      <c r="B79" s="1737" t="s">
        <v>4925</v>
      </c>
      <c r="C79" s="1737" t="s">
        <v>4884</v>
      </c>
      <c r="D79" s="1737">
        <v>200</v>
      </c>
      <c r="E79" s="1737">
        <v>0</v>
      </c>
      <c r="F79" s="1737" t="s">
        <v>3195</v>
      </c>
      <c r="G79" s="1737" t="s">
        <v>4885</v>
      </c>
      <c r="H79" s="1737">
        <v>0</v>
      </c>
      <c r="I79" s="553"/>
      <c r="J79" s="1737"/>
    </row>
    <row r="80" spans="1:10" s="2298" customFormat="1" ht="14.65" customHeight="1" x14ac:dyDescent="0.25">
      <c r="A80" s="2296"/>
      <c r="B80" s="553" t="s">
        <v>4926</v>
      </c>
      <c r="C80" s="553" t="s">
        <v>4886</v>
      </c>
      <c r="D80" s="2297">
        <v>120</v>
      </c>
      <c r="E80" s="1737">
        <v>0</v>
      </c>
      <c r="F80" s="1737" t="s">
        <v>3195</v>
      </c>
      <c r="G80" s="553" t="s">
        <v>4885</v>
      </c>
      <c r="H80" s="4"/>
    </row>
    <row r="81" spans="1:8" s="2298" customFormat="1" ht="14.65" customHeight="1" x14ac:dyDescent="0.25">
      <c r="A81" s="2296"/>
      <c r="B81" s="553" t="s">
        <v>4927</v>
      </c>
      <c r="C81" s="553" t="s">
        <v>4887</v>
      </c>
      <c r="D81" s="2297">
        <v>1000</v>
      </c>
      <c r="E81" s="1737">
        <v>0</v>
      </c>
      <c r="F81" s="1737" t="s">
        <v>3195</v>
      </c>
      <c r="G81" s="553" t="s">
        <v>4888</v>
      </c>
      <c r="H81" s="4"/>
    </row>
  </sheetData>
  <conditionalFormatting sqref="A76:XFD78 A79 C79:XFD79">
    <cfRule type="cellIs" dxfId="12" priority="13" stopIfTrue="1" operator="notEqual">
      <formula>INDIRECT("Dummy_for_Comparison3!"&amp;ADDRESS(ROW(),COLUMN()))</formula>
    </cfRule>
  </conditionalFormatting>
  <conditionalFormatting sqref="G78 G77:K77">
    <cfRule type="cellIs" dxfId="11" priority="12" stopIfTrue="1" operator="notEqual">
      <formula>INDIRECT("Dummy_for_Comparison3!"&amp;ADDRESS(ROW(),COLUMN()))</formula>
    </cfRule>
  </conditionalFormatting>
  <conditionalFormatting sqref="K79:XFD79 A79 C79:F79">
    <cfRule type="cellIs" dxfId="10" priority="11" stopIfTrue="1" operator="notEqual">
      <formula>INDIRECT("Dummy_for_Comparison3!"&amp;ADDRESS(ROW(),COLUMN()))</formula>
    </cfRule>
  </conditionalFormatting>
  <conditionalFormatting sqref="G79:H79 J79">
    <cfRule type="cellIs" dxfId="9" priority="10" stopIfTrue="1" operator="notEqual">
      <formula>INDIRECT("Dummy_for_Comparison3!"&amp;ADDRESS(ROW(),COLUMN()))</formula>
    </cfRule>
  </conditionalFormatting>
  <conditionalFormatting sqref="H78:J78">
    <cfRule type="cellIs" dxfId="8" priority="9" stopIfTrue="1" operator="notEqual">
      <formula>INDIRECT("Dummy_for_Comparison3!"&amp;ADDRESS(ROW(),COLUMN()))</formula>
    </cfRule>
  </conditionalFormatting>
  <conditionalFormatting sqref="I80:XFD81 A80:A81 G80:G81 C80:D81">
    <cfRule type="cellIs" dxfId="7" priority="8" stopIfTrue="1" operator="notEqual">
      <formula>INDIRECT("Dummy_for_Comparison5!"&amp;ADDRESS(ROW(),COLUMN()))</formula>
    </cfRule>
  </conditionalFormatting>
  <conditionalFormatting sqref="E80:F80">
    <cfRule type="cellIs" dxfId="6" priority="7" stopIfTrue="1" operator="notEqual">
      <formula>INDIRECT("Dummy_for_Comparison3!"&amp;ADDRESS(ROW(),COLUMN()))</formula>
    </cfRule>
  </conditionalFormatting>
  <conditionalFormatting sqref="E80:F80">
    <cfRule type="cellIs" dxfId="5" priority="6" stopIfTrue="1" operator="notEqual">
      <formula>INDIRECT("Dummy_for_Comparison3!"&amp;ADDRESS(ROW(),COLUMN()))</formula>
    </cfRule>
  </conditionalFormatting>
  <conditionalFormatting sqref="E81:F81">
    <cfRule type="cellIs" dxfId="4" priority="5" stopIfTrue="1" operator="notEqual">
      <formula>INDIRECT("Dummy_for_Comparison3!"&amp;ADDRESS(ROW(),COLUMN()))</formula>
    </cfRule>
  </conditionalFormatting>
  <conditionalFormatting sqref="E81:F81">
    <cfRule type="cellIs" dxfId="3" priority="4" stopIfTrue="1" operator="notEqual">
      <formula>INDIRECT("Dummy_for_Comparison3!"&amp;ADDRESS(ROW(),COLUMN()))</formula>
    </cfRule>
  </conditionalFormatting>
  <conditionalFormatting sqref="B79">
    <cfRule type="cellIs" dxfId="2" priority="3" stopIfTrue="1" operator="notEqual">
      <formula>INDIRECT("Dummy_for_Comparison3!"&amp;ADDRESS(ROW(),COLUMN()))</formula>
    </cfRule>
  </conditionalFormatting>
  <conditionalFormatting sqref="B79">
    <cfRule type="cellIs" dxfId="1" priority="2" stopIfTrue="1" operator="notEqual">
      <formula>INDIRECT("Dummy_for_Comparison3!"&amp;ADDRESS(ROW(),COLUMN()))</formula>
    </cfRule>
  </conditionalFormatting>
  <conditionalFormatting sqref="B80:B81">
    <cfRule type="cellIs" dxfId="0" priority="1" stopIfTrue="1" operator="notEqual">
      <formula>INDIRECT("Dummy_for_Comparison5!"&amp;ADDRESS(ROW(),COLUMN()))</formula>
    </cfRule>
  </conditionalFormatting>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Feuilles de calcul</vt:lpstr>
      </vt:variant>
      <vt:variant>
        <vt:i4>17</vt:i4>
      </vt:variant>
      <vt:variant>
        <vt:lpstr>Plages nommées</vt:lpstr>
      </vt:variant>
      <vt:variant>
        <vt:i4>11356</vt:i4>
      </vt:variant>
    </vt:vector>
  </HeadingPairs>
  <TitlesOfParts>
    <vt:vector size="11373" baseType="lpstr">
      <vt:lpstr>Help</vt:lpstr>
      <vt:lpstr>Concepts</vt:lpstr>
      <vt:lpstr>Parameters</vt:lpstr>
      <vt:lpstr>PU parameters</vt:lpstr>
      <vt:lpstr>Model</vt:lpstr>
      <vt:lpstr>pH</vt:lpstr>
      <vt:lpstr>Species</vt:lpstr>
      <vt:lpstr>Tableau</vt:lpstr>
      <vt:lpstr>Components</vt:lpstr>
      <vt:lpstr>Algebraic model</vt:lpstr>
      <vt:lpstr>Expert knowledge</vt:lpstr>
      <vt:lpstr>Calculated variables</vt:lpstr>
      <vt:lpstr>Functions</vt:lpstr>
      <vt:lpstr>Code</vt:lpstr>
      <vt:lpstr>systemcode_functions</vt:lpstr>
      <vt:lpstr>systemcode_constants</vt:lpstr>
      <vt:lpstr>other parameters</vt:lpstr>
      <vt:lpstr>µ_AHO</vt:lpstr>
      <vt:lpstr>µ_AHO_T</vt:lpstr>
      <vt:lpstr>µ_ALGAE</vt:lpstr>
      <vt:lpstr>µ_ALGAE_T</vt:lpstr>
      <vt:lpstr>µ_AMETO</vt:lpstr>
      <vt:lpstr>µ_AMETO_T</vt:lpstr>
      <vt:lpstr>µ_AMX</vt:lpstr>
      <vt:lpstr>µ_AMX_T</vt:lpstr>
      <vt:lpstr>µ_AOB</vt:lpstr>
      <vt:lpstr>µ_AOB_T</vt:lpstr>
      <vt:lpstr>µ_CASTO</vt:lpstr>
      <vt:lpstr>µ_CASTO_T</vt:lpstr>
      <vt:lpstr>µ_FERM_OHO</vt:lpstr>
      <vt:lpstr>µ_FERM_OHO_T</vt:lpstr>
      <vt:lpstr>µ_FERM_PAO</vt:lpstr>
      <vt:lpstr>µ_FERM_PAO_T</vt:lpstr>
      <vt:lpstr>µ_HMETO</vt:lpstr>
      <vt:lpstr>µ_HMETO_T</vt:lpstr>
      <vt:lpstr>µ_MEOLO</vt:lpstr>
      <vt:lpstr>µ_MEOLO_T</vt:lpstr>
      <vt:lpstr>µ_NOB</vt:lpstr>
      <vt:lpstr>µ_NOB_T</vt:lpstr>
      <vt:lpstr>µ_OHO</vt:lpstr>
      <vt:lpstr>µ_OHO_T</vt:lpstr>
      <vt:lpstr>µ_PAO_lim</vt:lpstr>
      <vt:lpstr>µ_PAO_lim_T</vt:lpstr>
      <vt:lpstr>A_AR</vt:lpstr>
      <vt:lpstr>A_Davies</vt:lpstr>
      <vt:lpstr>A_H2O</vt:lpstr>
      <vt:lpstr>A_MAc</vt:lpstr>
      <vt:lpstr>A_MAg</vt:lpstr>
      <vt:lpstr>A_MAl</vt:lpstr>
      <vt:lpstr>A_MAm</vt:lpstr>
      <vt:lpstr>A_MAr</vt:lpstr>
      <vt:lpstr>A_MAs</vt:lpstr>
      <vt:lpstr>A_MAt</vt:lpstr>
      <vt:lpstr>A_MAu</vt:lpstr>
      <vt:lpstr>A_MB</vt:lpstr>
      <vt:lpstr>A_MBa</vt:lpstr>
      <vt:lpstr>A_MBe</vt:lpstr>
      <vt:lpstr>A_MBh</vt:lpstr>
      <vt:lpstr>A_MBi</vt:lpstr>
      <vt:lpstr>A_MBk</vt:lpstr>
      <vt:lpstr>A_MBr</vt:lpstr>
      <vt:lpstr>A_MC</vt:lpstr>
      <vt:lpstr>A_MCa</vt:lpstr>
      <vt:lpstr>A_MCd</vt:lpstr>
      <vt:lpstr>A_MCe</vt:lpstr>
      <vt:lpstr>A_MCf</vt:lpstr>
      <vt:lpstr>A_MCl</vt:lpstr>
      <vt:lpstr>A_MCm</vt:lpstr>
      <vt:lpstr>A_MCn</vt:lpstr>
      <vt:lpstr>A_MCo</vt:lpstr>
      <vt:lpstr>A_MCr</vt:lpstr>
      <vt:lpstr>A_MCs</vt:lpstr>
      <vt:lpstr>A_MCu</vt:lpstr>
      <vt:lpstr>A_MDb</vt:lpstr>
      <vt:lpstr>A_MDs</vt:lpstr>
      <vt:lpstr>A_MDy</vt:lpstr>
      <vt:lpstr>A_MEr</vt:lpstr>
      <vt:lpstr>A_MEs</vt:lpstr>
      <vt:lpstr>A_MEu</vt:lpstr>
      <vt:lpstr>A_MF</vt:lpstr>
      <vt:lpstr>A_MFe</vt:lpstr>
      <vt:lpstr>A_MFl</vt:lpstr>
      <vt:lpstr>A_MFm</vt:lpstr>
      <vt:lpstr>A_MFr</vt:lpstr>
      <vt:lpstr>A_MGa</vt:lpstr>
      <vt:lpstr>A_MGd</vt:lpstr>
      <vt:lpstr>A_MGe</vt:lpstr>
      <vt:lpstr>A_MH</vt:lpstr>
      <vt:lpstr>A_MHe</vt:lpstr>
      <vt:lpstr>A_MHf</vt:lpstr>
      <vt:lpstr>A_MHg</vt:lpstr>
      <vt:lpstr>A_MHo</vt:lpstr>
      <vt:lpstr>A_MHs</vt:lpstr>
      <vt:lpstr>A_MI</vt:lpstr>
      <vt:lpstr>A_MIn</vt:lpstr>
      <vt:lpstr>A_MIr</vt:lpstr>
      <vt:lpstr>A_MK</vt:lpstr>
      <vt:lpstr>A_MKr</vt:lpstr>
      <vt:lpstr>A_MLa</vt:lpstr>
      <vt:lpstr>A_MLi</vt:lpstr>
      <vt:lpstr>A_MLr</vt:lpstr>
      <vt:lpstr>A_MLu</vt:lpstr>
      <vt:lpstr>A_MLv</vt:lpstr>
      <vt:lpstr>A_MMd</vt:lpstr>
      <vt:lpstr>A_MMg</vt:lpstr>
      <vt:lpstr>A_MMn</vt:lpstr>
      <vt:lpstr>A_MMo</vt:lpstr>
      <vt:lpstr>A_MMt</vt:lpstr>
      <vt:lpstr>A_MN</vt:lpstr>
      <vt:lpstr>A_MNa</vt:lpstr>
      <vt:lpstr>A_MNb</vt:lpstr>
      <vt:lpstr>A_MNd</vt:lpstr>
      <vt:lpstr>A_MNe</vt:lpstr>
      <vt:lpstr>A_MNi</vt:lpstr>
      <vt:lpstr>A_MNo</vt:lpstr>
      <vt:lpstr>A_MNp</vt:lpstr>
      <vt:lpstr>A_MO</vt:lpstr>
      <vt:lpstr>A_MOs</vt:lpstr>
      <vt:lpstr>A_MP</vt:lpstr>
      <vt:lpstr>A_MPa</vt:lpstr>
      <vt:lpstr>A_MPb</vt:lpstr>
      <vt:lpstr>A_MPd</vt:lpstr>
      <vt:lpstr>A_MPm</vt:lpstr>
      <vt:lpstr>A_MPo</vt:lpstr>
      <vt:lpstr>A_MPr</vt:lpstr>
      <vt:lpstr>A_MPt</vt:lpstr>
      <vt:lpstr>A_MPu</vt:lpstr>
      <vt:lpstr>A_MRa</vt:lpstr>
      <vt:lpstr>A_MRb</vt:lpstr>
      <vt:lpstr>A_MRe</vt:lpstr>
      <vt:lpstr>A_MRf</vt:lpstr>
      <vt:lpstr>A_MRg</vt:lpstr>
      <vt:lpstr>A_MRh</vt:lpstr>
      <vt:lpstr>A_MRn</vt:lpstr>
      <vt:lpstr>A_MRu</vt:lpstr>
      <vt:lpstr>A_MS</vt:lpstr>
      <vt:lpstr>A_MSb</vt:lpstr>
      <vt:lpstr>A_MSc</vt:lpstr>
      <vt:lpstr>A_MSe</vt:lpstr>
      <vt:lpstr>A_MSg</vt:lpstr>
      <vt:lpstr>A_MSi</vt:lpstr>
      <vt:lpstr>A_MSm</vt:lpstr>
      <vt:lpstr>A_MSn</vt:lpstr>
      <vt:lpstr>A_MSr</vt:lpstr>
      <vt:lpstr>A_MTa</vt:lpstr>
      <vt:lpstr>A_MTb</vt:lpstr>
      <vt:lpstr>A_MTc</vt:lpstr>
      <vt:lpstr>A_MTe</vt:lpstr>
      <vt:lpstr>A_MTh</vt:lpstr>
      <vt:lpstr>A_MTi</vt:lpstr>
      <vt:lpstr>A_MTl</vt:lpstr>
      <vt:lpstr>A_MTm</vt:lpstr>
      <vt:lpstr>A_MU</vt:lpstr>
      <vt:lpstr>A_MUuo</vt:lpstr>
      <vt:lpstr>A_MUup</vt:lpstr>
      <vt:lpstr>A_MUus</vt:lpstr>
      <vt:lpstr>A_MUut</vt:lpstr>
      <vt:lpstr>A_MV</vt:lpstr>
      <vt:lpstr>A_MW</vt:lpstr>
      <vt:lpstr>A_MXe</vt:lpstr>
      <vt:lpstr>A_MY</vt:lpstr>
      <vt:lpstr>A_MYb</vt:lpstr>
      <vt:lpstr>A_MZn</vt:lpstr>
      <vt:lpstr>A_MZr</vt:lpstr>
      <vt:lpstr>A_SFHAO_H</vt:lpstr>
      <vt:lpstr>A_SFHAO_L</vt:lpstr>
      <vt:lpstr>A_SFHFO_H</vt:lpstr>
      <vt:lpstr>A_SFHFO_L</vt:lpstr>
      <vt:lpstr>A_UR</vt:lpstr>
      <vt:lpstr>actferm_PAO_ORP</vt:lpstr>
      <vt:lpstr>actGAO</vt:lpstr>
      <vt:lpstr>actPAO</vt:lpstr>
      <vt:lpstr>actsto_GAO_ORP</vt:lpstr>
      <vt:lpstr>actsto_PAO_ORP</vt:lpstr>
      <vt:lpstr>b_AHO</vt:lpstr>
      <vt:lpstr>b_AHO_T</vt:lpstr>
      <vt:lpstr>b_ALGAE</vt:lpstr>
      <vt:lpstr>b_ALGAE_T</vt:lpstr>
      <vt:lpstr>b_AMETO</vt:lpstr>
      <vt:lpstr>b_AMETO_T</vt:lpstr>
      <vt:lpstr>b_AMX</vt:lpstr>
      <vt:lpstr>b_AMX_T</vt:lpstr>
      <vt:lpstr>b_AOB</vt:lpstr>
      <vt:lpstr>b_AOB_T</vt:lpstr>
      <vt:lpstr>b_CASTO</vt:lpstr>
      <vt:lpstr>b_CASTO_T</vt:lpstr>
      <vt:lpstr>B_ellinhpH</vt:lpstr>
      <vt:lpstr>B_ellinhpH_AMETO</vt:lpstr>
      <vt:lpstr>B_ellinhpH_AOB</vt:lpstr>
      <vt:lpstr>B_ellinhpH_FLOC_HAO</vt:lpstr>
      <vt:lpstr>B_ellinhpH_FLOC_HFO</vt:lpstr>
      <vt:lpstr>B_ellinhpH_HMETO</vt:lpstr>
      <vt:lpstr>B_ellinhpH_NOB</vt:lpstr>
      <vt:lpstr>B_H2O</vt:lpstr>
      <vt:lpstr>b_HMETO</vt:lpstr>
      <vt:lpstr>b_HMETO_T</vt:lpstr>
      <vt:lpstr>b_MEOLO</vt:lpstr>
      <vt:lpstr>b_MEOLO_T</vt:lpstr>
      <vt:lpstr>b_NOB</vt:lpstr>
      <vt:lpstr>b_NOB_T</vt:lpstr>
      <vt:lpstr>b_OHO</vt:lpstr>
      <vt:lpstr>b_OHO_T</vt:lpstr>
      <vt:lpstr>b_PP_ana</vt:lpstr>
      <vt:lpstr>b_PP_ana_T</vt:lpstr>
      <vt:lpstr>b_STC</vt:lpstr>
      <vt:lpstr>b_STC_T</vt:lpstr>
      <vt:lpstr>C_B</vt:lpstr>
      <vt:lpstr>c_cm_m</vt:lpstr>
      <vt:lpstr>c_cm2_m2</vt:lpstr>
      <vt:lpstr>c_cm3_m3</vt:lpstr>
      <vt:lpstr>c_d_mon</vt:lpstr>
      <vt:lpstr>c_d_w</vt:lpstr>
      <vt:lpstr>c_d_y</vt:lpstr>
      <vt:lpstr>c_ft_m</vt:lpstr>
      <vt:lpstr>c_ft2_m2</vt:lpstr>
      <vt:lpstr>c_ft3_m3</vt:lpstr>
      <vt:lpstr>c_g_kg</vt:lpstr>
      <vt:lpstr>c_G_m3</vt:lpstr>
      <vt:lpstr>c_g_ton</vt:lpstr>
      <vt:lpstr>c_h_d</vt:lpstr>
      <vt:lpstr>C_H2O</vt:lpstr>
      <vt:lpstr>c_hargebalance</vt:lpstr>
      <vt:lpstr>c_hargebalanceerror</vt:lpstr>
      <vt:lpstr>c_kJ_MJ</vt:lpstr>
      <vt:lpstr>c_L_m3</vt:lpstr>
      <vt:lpstr>c_lbs_g</vt:lpstr>
      <vt:lpstr>c_mg_g</vt:lpstr>
      <vt:lpstr>c_MG_m3</vt:lpstr>
      <vt:lpstr>c_micron_m</vt:lpstr>
      <vt:lpstr>c_min_d</vt:lpstr>
      <vt:lpstr>c_min_h</vt:lpstr>
      <vt:lpstr>c_mm_m</vt:lpstr>
      <vt:lpstr>c_mmol_mol</vt:lpstr>
      <vt:lpstr>c_ms_d</vt:lpstr>
      <vt:lpstr>c_ms_h</vt:lpstr>
      <vt:lpstr>c_ms_min</vt:lpstr>
      <vt:lpstr>c_ms_s</vt:lpstr>
      <vt:lpstr>c_oeffdamp_ALPHA</vt:lpstr>
      <vt:lpstr>c_oefflead_TSS_α_mech</vt:lpstr>
      <vt:lpstr>c_oefflin_TSS_α_mech</vt:lpstr>
      <vt:lpstr>c_onstTSS_α_mech</vt:lpstr>
      <vt:lpstr>c_orrh_diff_α</vt:lpstr>
      <vt:lpstr>c_orrTSS_α</vt:lpstr>
      <vt:lpstr>C_OUR</vt:lpstr>
      <vt:lpstr>c_p_water</vt:lpstr>
      <vt:lpstr>c_Pa_bar</vt:lpstr>
      <vt:lpstr>c_Pa_Hgmm</vt:lpstr>
      <vt:lpstr>c_Pa_mbar</vt:lpstr>
      <vt:lpstr>c_Pa_MPa</vt:lpstr>
      <vt:lpstr>c_percent_fraction</vt:lpstr>
      <vt:lpstr>c_percent_Vconc</vt:lpstr>
      <vt:lpstr>c_ppm_Vconc</vt:lpstr>
      <vt:lpstr>c_s_d</vt:lpstr>
      <vt:lpstr>c_s_h</vt:lpstr>
      <vt:lpstr>c_s_min</vt:lpstr>
      <vt:lpstr>C_U</vt:lpstr>
      <vt:lpstr>c_W_kW</vt:lpstr>
      <vt:lpstr>conc_Acm_I</vt:lpstr>
      <vt:lpstr>conc_Acm_Ieq</vt:lpstr>
      <vt:lpstr>conc_ANm_I</vt:lpstr>
      <vt:lpstr>conc_Ca2p_I</vt:lpstr>
      <vt:lpstr>conc_CATp_I</vt:lpstr>
      <vt:lpstr>conc_CO32m_I</vt:lpstr>
      <vt:lpstr>conc_Fe2p_I</vt:lpstr>
      <vt:lpstr>conc_H2CO3_I</vt:lpstr>
      <vt:lpstr>conc_H2PO4m_I</vt:lpstr>
      <vt:lpstr>conc_H2PO4m_Ieq</vt:lpstr>
      <vt:lpstr>conc_H3PO4_I</vt:lpstr>
      <vt:lpstr>conc_HAc_I</vt:lpstr>
      <vt:lpstr>conc_HCO3m_I</vt:lpstr>
      <vt:lpstr>conc_HNO2_I</vt:lpstr>
      <vt:lpstr>conc_Hp_I</vt:lpstr>
      <vt:lpstr>conc_Hp_Ieq</vt:lpstr>
      <vt:lpstr>conc_HPO42m_I</vt:lpstr>
      <vt:lpstr>conc_HPO42m_Ieq</vt:lpstr>
      <vt:lpstr>conc_Kp_I</vt:lpstr>
      <vt:lpstr>conc_Mg2p_I</vt:lpstr>
      <vt:lpstr>conc_NH3_I</vt:lpstr>
      <vt:lpstr>conc_NH4p_I</vt:lpstr>
      <vt:lpstr>conc_NO2m_I</vt:lpstr>
      <vt:lpstr>conc_NO2m_Ieq</vt:lpstr>
      <vt:lpstr>conc_NO3m_I</vt:lpstr>
      <vt:lpstr>conc_OHm_I</vt:lpstr>
      <vt:lpstr>conc_PO43m_I</vt:lpstr>
      <vt:lpstr>d_ampALPHA</vt:lpstr>
      <vt:lpstr>D_CB</vt:lpstr>
      <vt:lpstr>D_CU</vt:lpstr>
      <vt:lpstr>D_GCH4_25</vt:lpstr>
      <vt:lpstr>D_GCO2_25</vt:lpstr>
      <vt:lpstr>D_GH2_25</vt:lpstr>
      <vt:lpstr>D_GH2S_25</vt:lpstr>
      <vt:lpstr>D_GN2_25</vt:lpstr>
      <vt:lpstr>D_GN2O_25</vt:lpstr>
      <vt:lpstr>D_GNH3_25</vt:lpstr>
      <vt:lpstr>D_GNO_25</vt:lpstr>
      <vt:lpstr>D_GO2_25</vt:lpstr>
      <vt:lpstr>d_HCaCO3</vt:lpstr>
      <vt:lpstr>d_HCaH2PO4p</vt:lpstr>
      <vt:lpstr>d_HCaHCO3p</vt:lpstr>
      <vt:lpstr>d_HCaHPO4</vt:lpstr>
      <vt:lpstr>d_HCaOHp</vt:lpstr>
      <vt:lpstr>d_HCaPO4m</vt:lpstr>
      <vt:lpstr>d_Hdiss_But</vt:lpstr>
      <vt:lpstr>d_Hdiss_CO2_1</vt:lpstr>
      <vt:lpstr>d_Hdiss_CO2_2</vt:lpstr>
      <vt:lpstr>d_Hdiss_H2O</vt:lpstr>
      <vt:lpstr>d_Hdiss_NO2</vt:lpstr>
      <vt:lpstr>d_Hdiss_PO4_1</vt:lpstr>
      <vt:lpstr>d_Hdiss_PO4_2</vt:lpstr>
      <vt:lpstr>d_Hdiss_PO4_3</vt:lpstr>
      <vt:lpstr>d_Hdiss_Prop</vt:lpstr>
      <vt:lpstr>d_Hdiss_S_1</vt:lpstr>
      <vt:lpstr>d_Hdiss_S_2</vt:lpstr>
      <vt:lpstr>d_Hdiss_SO4_1</vt:lpstr>
      <vt:lpstr>d_Hdiss_SO4_2</vt:lpstr>
      <vt:lpstr>d_Hdiss_Val</vt:lpstr>
      <vt:lpstr>d_Hdiss_VFA</vt:lpstr>
      <vt:lpstr>d_Hion_amm</vt:lpstr>
      <vt:lpstr>d_HMgCO3</vt:lpstr>
      <vt:lpstr>d_HMgH2PO4p</vt:lpstr>
      <vt:lpstr>d_HMgHCO3p</vt:lpstr>
      <vt:lpstr>d_HMgHPO4</vt:lpstr>
      <vt:lpstr>d_HMgOHp</vt:lpstr>
      <vt:lpstr>d_HMgPO4m</vt:lpstr>
      <vt:lpstr>d_HNaHPO4m</vt:lpstr>
      <vt:lpstr>D_NBS</vt:lpstr>
      <vt:lpstr>D_NH3</vt:lpstr>
      <vt:lpstr>D_NO3</vt:lpstr>
      <vt:lpstr>D_NUS</vt:lpstr>
      <vt:lpstr>D_PO4</vt:lpstr>
      <vt:lpstr>D_SA</vt:lpstr>
      <vt:lpstr>D_SALK</vt:lpstr>
      <vt:lpstr>D_SALPHA</vt:lpstr>
      <vt:lpstr>D_SAN</vt:lpstr>
      <vt:lpstr>D_SB</vt:lpstr>
      <vt:lpstr>D_SB_mono</vt:lpstr>
      <vt:lpstr>D_SB_poly</vt:lpstr>
      <vt:lpstr>D_SBSA</vt:lpstr>
      <vt:lpstr>D_SBSC</vt:lpstr>
      <vt:lpstr>D_SCa</vt:lpstr>
      <vt:lpstr>D_SCAT</vt:lpstr>
      <vt:lpstr>D_SCH4</vt:lpstr>
      <vt:lpstr>D_SCO2</vt:lpstr>
      <vt:lpstr>D_SF</vt:lpstr>
      <vt:lpstr>D_SFe2</vt:lpstr>
      <vt:lpstr>D_SH2</vt:lpstr>
      <vt:lpstr>D_SH2S</vt:lpstr>
      <vt:lpstr>D_SHCO</vt:lpstr>
      <vt:lpstr>D_SI</vt:lpstr>
      <vt:lpstr>D_SK</vt:lpstr>
      <vt:lpstr>D_SMEOL</vt:lpstr>
      <vt:lpstr>D_SMg</vt:lpstr>
      <vt:lpstr>D_SMM_index</vt:lpstr>
      <vt:lpstr>D_SN_B</vt:lpstr>
      <vt:lpstr>D_SN2</vt:lpstr>
      <vt:lpstr>D_SN2O</vt:lpstr>
      <vt:lpstr>D_SND</vt:lpstr>
      <vt:lpstr>D_SNH</vt:lpstr>
      <vt:lpstr>D_SNH2OH</vt:lpstr>
      <vt:lpstr>D_SNH4</vt:lpstr>
      <vt:lpstr>D_SNHx</vt:lpstr>
      <vt:lpstr>D_SNO</vt:lpstr>
      <vt:lpstr>D_SNO2</vt:lpstr>
      <vt:lpstr>D_SNO3</vt:lpstr>
      <vt:lpstr>D_SNOx</vt:lpstr>
      <vt:lpstr>D_SO</vt:lpstr>
      <vt:lpstr>D_SO2</vt:lpstr>
      <vt:lpstr>D_SP_B</vt:lpstr>
      <vt:lpstr>D_SPO</vt:lpstr>
      <vt:lpstr>D_SPO4</vt:lpstr>
      <vt:lpstr>D_SS</vt:lpstr>
      <vt:lpstr>D_SSO4</vt:lpstr>
      <vt:lpstr>D_SU</vt:lpstr>
      <vt:lpstr>D_SUS</vt:lpstr>
      <vt:lpstr>D_SVFA</vt:lpstr>
      <vt:lpstr>E_EQFe2</vt:lpstr>
      <vt:lpstr>E_EQH2S</vt:lpstr>
      <vt:lpstr>E_EQN2</vt:lpstr>
      <vt:lpstr>E_EQN2_N2O</vt:lpstr>
      <vt:lpstr>E_EQN2_NO2</vt:lpstr>
      <vt:lpstr>E_EQN2_NO3</vt:lpstr>
      <vt:lpstr>E_EQN2O</vt:lpstr>
      <vt:lpstr>E_EQN2O_NO</vt:lpstr>
      <vt:lpstr>E_EQNH2OH</vt:lpstr>
      <vt:lpstr>E_EQNH2OH_NO</vt:lpstr>
      <vt:lpstr>E_EQNO</vt:lpstr>
      <vt:lpstr>E_EQNO_NO2</vt:lpstr>
      <vt:lpstr>E_EQNO2</vt:lpstr>
      <vt:lpstr>E_EQNO2_NO3</vt:lpstr>
      <vt:lpstr>E_EQNO3</vt:lpstr>
      <vt:lpstr>E_EQS</vt:lpstr>
      <vt:lpstr>e_rrorNHx_NOx</vt:lpstr>
      <vt:lpstr>F__</vt:lpstr>
      <vt:lpstr>f_Ar_air</vt:lpstr>
      <vt:lpstr>f_bw_floc</vt:lpstr>
      <vt:lpstr>f_C</vt:lpstr>
      <vt:lpstr>f_C_BOD5_BODult</vt:lpstr>
      <vt:lpstr>f_CO2_air</vt:lpstr>
      <vt:lpstr>f_di</vt:lpstr>
      <vt:lpstr>f_di_IS_an</vt:lpstr>
      <vt:lpstr>f_di_IS_cat</vt:lpstr>
      <vt:lpstr>f_di_ISlim</vt:lpstr>
      <vt:lpstr>f_E</vt:lpstr>
      <vt:lpstr>f_EPS_VSS</vt:lpstr>
      <vt:lpstr>f_H2O_HAO_TSS</vt:lpstr>
      <vt:lpstr>f_H2O_HAO_VSS</vt:lpstr>
      <vt:lpstr>f_H2O_HFO_TSS</vt:lpstr>
      <vt:lpstr>f_H2O_HFO_VSS</vt:lpstr>
      <vt:lpstr>f_kL_GCH4</vt:lpstr>
      <vt:lpstr>f_kL_GCO2</vt:lpstr>
      <vt:lpstr>f_kL_GH2</vt:lpstr>
      <vt:lpstr>f_kL_GN2</vt:lpstr>
      <vt:lpstr>f_kL_GNH3</vt:lpstr>
      <vt:lpstr>f_KS</vt:lpstr>
      <vt:lpstr>f_KS_biofilm</vt:lpstr>
      <vt:lpstr>f_mono</vt:lpstr>
      <vt:lpstr>f_mono_IS_an</vt:lpstr>
      <vt:lpstr>f_mono_IS_cat</vt:lpstr>
      <vt:lpstr>f_mono_ISlim</vt:lpstr>
      <vt:lpstr>f_N2_air</vt:lpstr>
      <vt:lpstr>f_Na</vt:lpstr>
      <vt:lpstr>f_O2_air</vt:lpstr>
      <vt:lpstr>f_O2_max_ALPHA</vt:lpstr>
      <vt:lpstr>f_P_VFA</vt:lpstr>
      <vt:lpstr>f_S_BOD5_BODult</vt:lpstr>
      <vt:lpstr>f_TOC_1</vt:lpstr>
      <vt:lpstr>f_TOC_2</vt:lpstr>
      <vt:lpstr>f_tri</vt:lpstr>
      <vt:lpstr>f_tri_IS_an</vt:lpstr>
      <vt:lpstr>f_tri_IS_cat</vt:lpstr>
      <vt:lpstr>f_tri_ISlim</vt:lpstr>
      <vt:lpstr>f_VFA_DM</vt:lpstr>
      <vt:lpstr>f_X_BOD5_BODult</vt:lpstr>
      <vt:lpstr>G_CH4</vt:lpstr>
      <vt:lpstr>G_CH4_atm</vt:lpstr>
      <vt:lpstr>G_CO2</vt:lpstr>
      <vt:lpstr>G_CO2_atm</vt:lpstr>
      <vt:lpstr>g_grav</vt:lpstr>
      <vt:lpstr>G_H2</vt:lpstr>
      <vt:lpstr>G_H2_atm</vt:lpstr>
      <vt:lpstr>G_N2</vt:lpstr>
      <vt:lpstr>G_N2_atm</vt:lpstr>
      <vt:lpstr>G_NH3</vt:lpstr>
      <vt:lpstr>G_NH3_atm</vt:lpstr>
      <vt:lpstr>G_O2</vt:lpstr>
      <vt:lpstr>G_O2_atm</vt:lpstr>
      <vt:lpstr>H_Acm</vt:lpstr>
      <vt:lpstr>H_Ca2p</vt:lpstr>
      <vt:lpstr>H_CO32m</vt:lpstr>
      <vt:lpstr>h_diff</vt:lpstr>
      <vt:lpstr>H_enryGCH4_25</vt:lpstr>
      <vt:lpstr>H_enryGCH4_dt</vt:lpstr>
      <vt:lpstr>H_enryGCO2_25</vt:lpstr>
      <vt:lpstr>H_enryGCO2_dt</vt:lpstr>
      <vt:lpstr>H_enryGH2_25</vt:lpstr>
      <vt:lpstr>H_enryGH2_dt</vt:lpstr>
      <vt:lpstr>H_enryGH2S_25</vt:lpstr>
      <vt:lpstr>H_enryGH2S_dt</vt:lpstr>
      <vt:lpstr>H_enryGN2_25</vt:lpstr>
      <vt:lpstr>H_enryGN2_dt</vt:lpstr>
      <vt:lpstr>H_enryGN2O_25</vt:lpstr>
      <vt:lpstr>H_enryGN2O_dt</vt:lpstr>
      <vt:lpstr>H_enryGNH3_25</vt:lpstr>
      <vt:lpstr>H_enryGNH3_dt</vt:lpstr>
      <vt:lpstr>H_enryGNO_25</vt:lpstr>
      <vt:lpstr>H_enryGNO_dt</vt:lpstr>
      <vt:lpstr>H_enryGO2_25</vt:lpstr>
      <vt:lpstr>H_enryGO2_dt</vt:lpstr>
      <vt:lpstr>H_H2CO3</vt:lpstr>
      <vt:lpstr>H_H2O</vt:lpstr>
      <vt:lpstr>H_H2PO4m</vt:lpstr>
      <vt:lpstr>H_H2S</vt:lpstr>
      <vt:lpstr>H_H2SO4</vt:lpstr>
      <vt:lpstr>H_H3Op</vt:lpstr>
      <vt:lpstr>H_H3PO4</vt:lpstr>
      <vt:lpstr>H_HAc</vt:lpstr>
      <vt:lpstr>H_HCO3m</vt:lpstr>
      <vt:lpstr>H_HNO2</vt:lpstr>
      <vt:lpstr>H_Hp</vt:lpstr>
      <vt:lpstr>H_HPO42m</vt:lpstr>
      <vt:lpstr>H_HSm</vt:lpstr>
      <vt:lpstr>H_HSO4m</vt:lpstr>
      <vt:lpstr>H_Mg2p</vt:lpstr>
      <vt:lpstr>H_Nap</vt:lpstr>
      <vt:lpstr>H_NH3</vt:lpstr>
      <vt:lpstr>H_NH4p</vt:lpstr>
      <vt:lpstr>H_NO2m</vt:lpstr>
      <vt:lpstr>H_NO3m</vt:lpstr>
      <vt:lpstr>H_OHm</vt:lpstr>
      <vt:lpstr>H_PO43m</vt:lpstr>
      <vt:lpstr>H_S2m</vt:lpstr>
      <vt:lpstr>H_satSVFA_AMETO</vt:lpstr>
      <vt:lpstr>H_SO42m</vt:lpstr>
      <vt:lpstr>H_STP</vt:lpstr>
      <vt:lpstr>i_Ca_INORG</vt:lpstr>
      <vt:lpstr>i_Ca_PP</vt:lpstr>
      <vt:lpstr>i_CIT_ALGAE</vt:lpstr>
      <vt:lpstr>i_CIT_BIO</vt:lpstr>
      <vt:lpstr>i_CIT_CH4</vt:lpstr>
      <vt:lpstr>i_CIT_MEOL</vt:lpstr>
      <vt:lpstr>i_CIT_PHA</vt:lpstr>
      <vt:lpstr>i_CIT_SB_mono</vt:lpstr>
      <vt:lpstr>i_CIT_SB_poly</vt:lpstr>
      <vt:lpstr>i_CIT_STC</vt:lpstr>
      <vt:lpstr>i_CIT_VFA</vt:lpstr>
      <vt:lpstr>i_CIT_XBe</vt:lpstr>
      <vt:lpstr>i_CV_BIO</vt:lpstr>
      <vt:lpstr>i_CV_CB</vt:lpstr>
      <vt:lpstr>i_CV_CU</vt:lpstr>
      <vt:lpstr>i_CV_PHA</vt:lpstr>
      <vt:lpstr>i_CV_SB</vt:lpstr>
      <vt:lpstr>i_CV_SU</vt:lpstr>
      <vt:lpstr>i_CV_VFA</vt:lpstr>
      <vt:lpstr>i_CV_XB</vt:lpstr>
      <vt:lpstr>i_CV_XBe</vt:lpstr>
      <vt:lpstr>i_CV_XE</vt:lpstr>
      <vt:lpstr>i_CV_XU</vt:lpstr>
      <vt:lpstr>i_EPS_XBIO</vt:lpstr>
      <vt:lpstr>i_EPS_XE</vt:lpstr>
      <vt:lpstr>i_INORG</vt:lpstr>
      <vt:lpstr>i_iw_BIO</vt:lpstr>
      <vt:lpstr>i_K_PP</vt:lpstr>
      <vt:lpstr>i_Mg_INORG</vt:lpstr>
      <vt:lpstr>i_Mg_PP</vt:lpstr>
      <vt:lpstr>i_N_AHO</vt:lpstr>
      <vt:lpstr>i_N_ALGAE</vt:lpstr>
      <vt:lpstr>i_N_BIO</vt:lpstr>
      <vt:lpstr>i_N_CB</vt:lpstr>
      <vt:lpstr>i_N_CU</vt:lpstr>
      <vt:lpstr>i_N_SU</vt:lpstr>
      <vt:lpstr>i_N_XE</vt:lpstr>
      <vt:lpstr>i_N_XSTR</vt:lpstr>
      <vt:lpstr>i_P_AHO</vt:lpstr>
      <vt:lpstr>i_P_ALGAE</vt:lpstr>
      <vt:lpstr>i_P_BIO</vt:lpstr>
      <vt:lpstr>i_P_CB</vt:lpstr>
      <vt:lpstr>i_P_CU</vt:lpstr>
      <vt:lpstr>i_P_SU</vt:lpstr>
      <vt:lpstr>i_P_XACP</vt:lpstr>
      <vt:lpstr>i_P_XBSH</vt:lpstr>
      <vt:lpstr>i_P_XSTR</vt:lpstr>
      <vt:lpstr>i_P_XVivi</vt:lpstr>
      <vt:lpstr>I_S</vt:lpstr>
      <vt:lpstr>I_Scalc</vt:lpstr>
      <vt:lpstr>I_Serror</vt:lpstr>
      <vt:lpstr>I_Sinput_AS</vt:lpstr>
      <vt:lpstr>I_Sinput_DIG</vt:lpstr>
      <vt:lpstr>I_Sinput_sidestream</vt:lpstr>
      <vt:lpstr>I_Slim</vt:lpstr>
      <vt:lpstr>i_TSS_PP</vt:lpstr>
      <vt:lpstr>i_vw_BIO</vt:lpstr>
      <vt:lpstr>i_vw_CB</vt:lpstr>
      <vt:lpstr>i_vw_CU</vt:lpstr>
      <vt:lpstr>i_vw_EPS</vt:lpstr>
      <vt:lpstr>i_vw_PHA</vt:lpstr>
      <vt:lpstr>i_vw_XB</vt:lpstr>
      <vt:lpstr>i_vw_XBe</vt:lpstr>
      <vt:lpstr>i_vw_XE</vt:lpstr>
      <vt:lpstr>i_vw_XU</vt:lpstr>
      <vt:lpstr>i_wh_BIO</vt:lpstr>
      <vt:lpstr>i_wh_EPS</vt:lpstr>
      <vt:lpstr>i_wh_PHA</vt:lpstr>
      <vt:lpstr>i_wh_XB</vt:lpstr>
      <vt:lpstr>i_wh_XBe</vt:lpstr>
      <vt:lpstr>i_wh_XE</vt:lpstr>
      <vt:lpstr>i_wh_XU</vt:lpstr>
      <vt:lpstr>J_photosynt_solar</vt:lpstr>
      <vt:lpstr>J_photosynt_solar_opt</vt:lpstr>
      <vt:lpstr>K_Ac</vt:lpstr>
      <vt:lpstr>K_Ac_param</vt:lpstr>
      <vt:lpstr>K_Ac_T</vt:lpstr>
      <vt:lpstr>K_ACP_DISS</vt:lpstr>
      <vt:lpstr>K_AN</vt:lpstr>
      <vt:lpstr>K_AN_AS</vt:lpstr>
      <vt:lpstr>K_BSH_DISS</vt:lpstr>
      <vt:lpstr>K_But_param</vt:lpstr>
      <vt:lpstr>K_C1</vt:lpstr>
      <vt:lpstr>K_C1_param</vt:lpstr>
      <vt:lpstr>K_C1_T</vt:lpstr>
      <vt:lpstr>K_C2</vt:lpstr>
      <vt:lpstr>K_C2_param</vt:lpstr>
      <vt:lpstr>K_C2_T</vt:lpstr>
      <vt:lpstr>K_Ca_BIO</vt:lpstr>
      <vt:lpstr>K_Ca_BIO_AS</vt:lpstr>
      <vt:lpstr>K_Ca_PAO</vt:lpstr>
      <vt:lpstr>K_Ca_PAO_AS</vt:lpstr>
      <vt:lpstr>K_CaCO3_DISS</vt:lpstr>
      <vt:lpstr>K_CAT</vt:lpstr>
      <vt:lpstr>K_CAT_AS</vt:lpstr>
      <vt:lpstr>K_CB_FLOC</vt:lpstr>
      <vt:lpstr>K_CB_FLOC_HAO</vt:lpstr>
      <vt:lpstr>K_CB_FLOC_HFO</vt:lpstr>
      <vt:lpstr>K_CO2_ALGAE</vt:lpstr>
      <vt:lpstr>K_CO2_AMX_pH</vt:lpstr>
      <vt:lpstr>K_CO2_AMX_pH_AS</vt:lpstr>
      <vt:lpstr>K_CO2_AOB_pH</vt:lpstr>
      <vt:lpstr>K_CO2_AOB_pH_AS</vt:lpstr>
      <vt:lpstr>K_CO2_AOB_pH_sidestream</vt:lpstr>
      <vt:lpstr>K_CO2_BIO</vt:lpstr>
      <vt:lpstr>K_CO2_BIO_AS</vt:lpstr>
      <vt:lpstr>K_CO2_NOB_pH</vt:lpstr>
      <vt:lpstr>K_CO2_NOB_pH_AS</vt:lpstr>
      <vt:lpstr>K_CU_FLOC</vt:lpstr>
      <vt:lpstr>K_CU_FLOC_HAO</vt:lpstr>
      <vt:lpstr>K_CU_FLOC_HFO</vt:lpstr>
      <vt:lpstr>K_H2_HMETO</vt:lpstr>
      <vt:lpstr>K_H2_HMETO_AS</vt:lpstr>
      <vt:lpstr>K_H2S_param</vt:lpstr>
      <vt:lpstr>K_HYD</vt:lpstr>
      <vt:lpstr>K_HYD_AS</vt:lpstr>
      <vt:lpstr>K_iHNO2_AMX_pH</vt:lpstr>
      <vt:lpstr>K_iHNO2_AMX_pH_AS</vt:lpstr>
      <vt:lpstr>K_iHNO2_AOB_pH</vt:lpstr>
      <vt:lpstr>K_iHNO2_AOB_pH_AS</vt:lpstr>
      <vt:lpstr>K_iNH3_AMETO_pH</vt:lpstr>
      <vt:lpstr>K_iNH3_AMETO_pH_AS</vt:lpstr>
      <vt:lpstr>K_iNH3_NOB_pH</vt:lpstr>
      <vt:lpstr>K_iNH3_NOB_pH_AS</vt:lpstr>
      <vt:lpstr>K_iNHx_ALGAE</vt:lpstr>
      <vt:lpstr>K_iNHx_ASSIM</vt:lpstr>
      <vt:lpstr>K_iNHx_ASSIM_AS</vt:lpstr>
      <vt:lpstr>K_iO2_AHO</vt:lpstr>
      <vt:lpstr>K_iO2_AHO_AS</vt:lpstr>
      <vt:lpstr>K_iO2_AMETO</vt:lpstr>
      <vt:lpstr>K_iO2_AMETO_AS</vt:lpstr>
      <vt:lpstr>K_iO2_AMX</vt:lpstr>
      <vt:lpstr>K_iO2_AMX_AS</vt:lpstr>
      <vt:lpstr>K_iO2_EPS</vt:lpstr>
      <vt:lpstr>K_iO2_HMETO</vt:lpstr>
      <vt:lpstr>K_iO2_HMETO_AS</vt:lpstr>
      <vt:lpstr>K_iO2_MEOLO</vt:lpstr>
      <vt:lpstr>K_iO2_MEOLO_AS</vt:lpstr>
      <vt:lpstr>K_iP_HAO_DESORP</vt:lpstr>
      <vt:lpstr>K_iP_HAO_DISS</vt:lpstr>
      <vt:lpstr>K_iP_HFO_DESORP</vt:lpstr>
      <vt:lpstr>K_iP_HFO_DISS</vt:lpstr>
      <vt:lpstr>K_iPHA_GAO_max</vt:lpstr>
      <vt:lpstr>K_iPHA_PAO_max</vt:lpstr>
      <vt:lpstr>K_iPO4_lim</vt:lpstr>
      <vt:lpstr>K_iPO4_lim_AS</vt:lpstr>
      <vt:lpstr>K_iPP_PAO_max</vt:lpstr>
      <vt:lpstr>K_iSTO_AHO_max</vt:lpstr>
      <vt:lpstr>K_iVFA_AMETO</vt:lpstr>
      <vt:lpstr>K_iVFA_AMETO_AS</vt:lpstr>
      <vt:lpstr>K_K_PAO</vt:lpstr>
      <vt:lpstr>K_K_PAO_AS</vt:lpstr>
      <vt:lpstr>k_L_GCH4_bub</vt:lpstr>
      <vt:lpstr>k_L_GCH4_sur</vt:lpstr>
      <vt:lpstr>k_L_GCO2_bub</vt:lpstr>
      <vt:lpstr>k_L_GCO2_sur</vt:lpstr>
      <vt:lpstr>k_L_GH2_bub</vt:lpstr>
      <vt:lpstr>k_L_GH2_sur</vt:lpstr>
      <vt:lpstr>k_L_GN2_bub</vt:lpstr>
      <vt:lpstr>k_L_GN2_sur</vt:lpstr>
      <vt:lpstr>k_L_GNH3_bub</vt:lpstr>
      <vt:lpstr>k_L_GNH3_sur</vt:lpstr>
      <vt:lpstr>k_L_GO2_bub</vt:lpstr>
      <vt:lpstr>k_L_GO2_PondSurface</vt:lpstr>
      <vt:lpstr>k_L_GO2_sur</vt:lpstr>
      <vt:lpstr>k_LaGCH4_bub</vt:lpstr>
      <vt:lpstr>k_LaGCH4_sur</vt:lpstr>
      <vt:lpstr>k_LaGCO2_bub</vt:lpstr>
      <vt:lpstr>k_LaGCO2_sur</vt:lpstr>
      <vt:lpstr>k_LaGH2_bub</vt:lpstr>
      <vt:lpstr>k_LaGH2_sur</vt:lpstr>
      <vt:lpstr>k_LaGH2S_bub</vt:lpstr>
      <vt:lpstr>k_LaGH2S_sur</vt:lpstr>
      <vt:lpstr>k_LaGN2_bub</vt:lpstr>
      <vt:lpstr>k_LaGN2_sur</vt:lpstr>
      <vt:lpstr>k_LaGNH3_bub</vt:lpstr>
      <vt:lpstr>k_LaGNH3_sur</vt:lpstr>
      <vt:lpstr>k_LaGO2_bub</vt:lpstr>
      <vt:lpstr>k_LaGO2_sur</vt:lpstr>
      <vt:lpstr>K_MEOL</vt:lpstr>
      <vt:lpstr>K_MEOL_AS</vt:lpstr>
      <vt:lpstr>K_MEOL_OHO</vt:lpstr>
      <vt:lpstr>K_MEOL_OHO_AS</vt:lpstr>
      <vt:lpstr>K_MEOL_SNO2</vt:lpstr>
      <vt:lpstr>K_MEOL_SNO2_AS</vt:lpstr>
      <vt:lpstr>K_Mg_BIO</vt:lpstr>
      <vt:lpstr>K_Mg_BIO_AS</vt:lpstr>
      <vt:lpstr>K_Mg_PAO</vt:lpstr>
      <vt:lpstr>K_Mg_PAO_AS</vt:lpstr>
      <vt:lpstr>K_NH3</vt:lpstr>
      <vt:lpstr>K_NH3_param</vt:lpstr>
      <vt:lpstr>K_NH3_T</vt:lpstr>
      <vt:lpstr>K_NHx_ALGAE</vt:lpstr>
      <vt:lpstr>K_NHx_AMX</vt:lpstr>
      <vt:lpstr>K_NHx_AMX_AS</vt:lpstr>
      <vt:lpstr>K_NHx_AOB</vt:lpstr>
      <vt:lpstr>K_NHx_AOB_AS</vt:lpstr>
      <vt:lpstr>K_NHx_BIO</vt:lpstr>
      <vt:lpstr>K_NHx_BIO_AS</vt:lpstr>
      <vt:lpstr>K_NO2</vt:lpstr>
      <vt:lpstr>K_NO2_AHO</vt:lpstr>
      <vt:lpstr>K_NO2_AHO_AS</vt:lpstr>
      <vt:lpstr>K_NO2_AMX</vt:lpstr>
      <vt:lpstr>K_NO2_AMX_AS</vt:lpstr>
      <vt:lpstr>K_NO2_ASSIM</vt:lpstr>
      <vt:lpstr>K_NO2_ASSIM_AS</vt:lpstr>
      <vt:lpstr>K_NO2_CASTO</vt:lpstr>
      <vt:lpstr>K_NO2_CASTO_AS</vt:lpstr>
      <vt:lpstr>K_NO2_EPS</vt:lpstr>
      <vt:lpstr>K_NO2_MEOLO</vt:lpstr>
      <vt:lpstr>K_NO2_MEOLO_AS</vt:lpstr>
      <vt:lpstr>K_NO2_NOB</vt:lpstr>
      <vt:lpstr>K_NO2_NOB_AS</vt:lpstr>
      <vt:lpstr>K_NO2_OHO</vt:lpstr>
      <vt:lpstr>K_NO2_OHO_AS</vt:lpstr>
      <vt:lpstr>K_NO2_param</vt:lpstr>
      <vt:lpstr>K_NO2_T</vt:lpstr>
      <vt:lpstr>K_NO3_AHO</vt:lpstr>
      <vt:lpstr>K_NO3_AHO_AS</vt:lpstr>
      <vt:lpstr>K_NO3_ASSIM</vt:lpstr>
      <vt:lpstr>K_NO3_ASSIM_AS</vt:lpstr>
      <vt:lpstr>K_NO3_CASTO</vt:lpstr>
      <vt:lpstr>K_NO3_CASTO_AS</vt:lpstr>
      <vt:lpstr>K_NO3_EPS</vt:lpstr>
      <vt:lpstr>K_NO3_MEOLO</vt:lpstr>
      <vt:lpstr>K_NO3_MEOLO_AS</vt:lpstr>
      <vt:lpstr>K_NO3_OHO</vt:lpstr>
      <vt:lpstr>K_NO3_OHO_AS</vt:lpstr>
      <vt:lpstr>K_NOx_ALGAE</vt:lpstr>
      <vt:lpstr>K_NOx_AMETO</vt:lpstr>
      <vt:lpstr>K_NOx_AMETO_AS</vt:lpstr>
      <vt:lpstr>K_NOx_AMX</vt:lpstr>
      <vt:lpstr>K_NOx_AMX_AS</vt:lpstr>
      <vt:lpstr>K_NOx_AOB</vt:lpstr>
      <vt:lpstr>K_NOx_AOB_AS</vt:lpstr>
      <vt:lpstr>K_NOx_HMETO</vt:lpstr>
      <vt:lpstr>K_NOx_HMETO_AS</vt:lpstr>
      <vt:lpstr>K_NOx_NOB</vt:lpstr>
      <vt:lpstr>K_NOx_NOB_AS</vt:lpstr>
      <vt:lpstr>K_O2_AHO</vt:lpstr>
      <vt:lpstr>K_O2_AHO_AS</vt:lpstr>
      <vt:lpstr>K_O2_ALGAE</vt:lpstr>
      <vt:lpstr>K_O2_ALPHA</vt:lpstr>
      <vt:lpstr>K_O2_AOB</vt:lpstr>
      <vt:lpstr>K_O2_AOB_AS</vt:lpstr>
      <vt:lpstr>K_O2_AOB_sidestream</vt:lpstr>
      <vt:lpstr>K_O2_CASTO</vt:lpstr>
      <vt:lpstr>K_O2_CASTO_AS</vt:lpstr>
      <vt:lpstr>K_O2_EPS</vt:lpstr>
      <vt:lpstr>K_O2_NOB</vt:lpstr>
      <vt:lpstr>K_O2_NOB_AS</vt:lpstr>
      <vt:lpstr>K_O2_NOB_sidestream</vt:lpstr>
      <vt:lpstr>K_O2_OHO</vt:lpstr>
      <vt:lpstr>K_O2_OHO_AS</vt:lpstr>
      <vt:lpstr>K_OC_PFOA_EQ</vt:lpstr>
      <vt:lpstr>K_OC_PFOS_EQ</vt:lpstr>
      <vt:lpstr>K_ORP_ana</vt:lpstr>
      <vt:lpstr>K_ORP_SNOx</vt:lpstr>
      <vt:lpstr>K_ORP_SO2</vt:lpstr>
      <vt:lpstr>k_ORPswitch</vt:lpstr>
      <vt:lpstr>K_P_HAO_BIND</vt:lpstr>
      <vt:lpstr>K_P_HFO_BIND</vt:lpstr>
      <vt:lpstr>K_P1</vt:lpstr>
      <vt:lpstr>K_P1_param</vt:lpstr>
      <vt:lpstr>K_P1_T</vt:lpstr>
      <vt:lpstr>K_P2</vt:lpstr>
      <vt:lpstr>K_P2_param</vt:lpstr>
      <vt:lpstr>K_P2_T</vt:lpstr>
      <vt:lpstr>K_P3</vt:lpstr>
      <vt:lpstr>K_P3_param</vt:lpstr>
      <vt:lpstr>K_P3_T</vt:lpstr>
      <vt:lpstr>K_PHA</vt:lpstr>
      <vt:lpstr>K_PHA_cle</vt:lpstr>
      <vt:lpstr>K_PHA_GAO</vt:lpstr>
      <vt:lpstr>K_PO4_BIO</vt:lpstr>
      <vt:lpstr>K_PO4_BIO_AS</vt:lpstr>
      <vt:lpstr>K_PO4_PAO</vt:lpstr>
      <vt:lpstr>K_PO4_PAO_AS</vt:lpstr>
      <vt:lpstr>K_PP</vt:lpstr>
      <vt:lpstr>K_PP_lim</vt:lpstr>
      <vt:lpstr>K_Prop_param</vt:lpstr>
      <vt:lpstr>K_S1_param</vt:lpstr>
      <vt:lpstr>K_S2_param</vt:lpstr>
      <vt:lpstr>K_SB_mono</vt:lpstr>
      <vt:lpstr>K_SB_mono_AS</vt:lpstr>
      <vt:lpstr>K_SB_poly</vt:lpstr>
      <vt:lpstr>K_SB_poly_ana</vt:lpstr>
      <vt:lpstr>K_SB_poly_ana_AS</vt:lpstr>
      <vt:lpstr>K_SB_poly_ana_DIG</vt:lpstr>
      <vt:lpstr>K_SB_poly_AS</vt:lpstr>
      <vt:lpstr>K_SO41_param</vt:lpstr>
      <vt:lpstr>K_SO42_param</vt:lpstr>
      <vt:lpstr>K_sp_ACP</vt:lpstr>
      <vt:lpstr>K_sp_ACP_param</vt:lpstr>
      <vt:lpstr>K_sp_BSH</vt:lpstr>
      <vt:lpstr>K_sp_BSH_param</vt:lpstr>
      <vt:lpstr>K_sp_CaCO3</vt:lpstr>
      <vt:lpstr>K_sp_CaCO3_param</vt:lpstr>
      <vt:lpstr>K_sp_FeS_param</vt:lpstr>
      <vt:lpstr>K_sp_HDP_param</vt:lpstr>
      <vt:lpstr>K_sp_MKP_param</vt:lpstr>
      <vt:lpstr>K_sp_STR</vt:lpstr>
      <vt:lpstr>K_sp_STR_param</vt:lpstr>
      <vt:lpstr>K_sp_Vivi</vt:lpstr>
      <vt:lpstr>K_sp_Vivi_param</vt:lpstr>
      <vt:lpstr>K_STC</vt:lpstr>
      <vt:lpstr>K_STO</vt:lpstr>
      <vt:lpstr>K_STR_DISS</vt:lpstr>
      <vt:lpstr>k_transfer_GCO2_bub</vt:lpstr>
      <vt:lpstr>k_transfer_GCO2_sur</vt:lpstr>
      <vt:lpstr>k_transfer_GNH3_bub</vt:lpstr>
      <vt:lpstr>k_transfer_GNH3_sur</vt:lpstr>
      <vt:lpstr>K_Val_param</vt:lpstr>
      <vt:lpstr>K_VFA</vt:lpstr>
      <vt:lpstr>K_VFA_AMETO</vt:lpstr>
      <vt:lpstr>K_VFA_AMETO_AS</vt:lpstr>
      <vt:lpstr>K_VFA_AS</vt:lpstr>
      <vt:lpstr>K_VFA_CASTO</vt:lpstr>
      <vt:lpstr>K_VFA_CASTO_AS</vt:lpstr>
      <vt:lpstr>K_VFA_FERM</vt:lpstr>
      <vt:lpstr>K_VFA_FERM_AS</vt:lpstr>
      <vt:lpstr>K_VFA_OHO_SNO2</vt:lpstr>
      <vt:lpstr>K_VFA_OHO_SNO2_AS</vt:lpstr>
      <vt:lpstr>K_Vivi_DISS</vt:lpstr>
      <vt:lpstr>K_W</vt:lpstr>
      <vt:lpstr>K_W_param</vt:lpstr>
      <vt:lpstr>K_W_T</vt:lpstr>
      <vt:lpstr>K_XB_HYD</vt:lpstr>
      <vt:lpstr>K_XBe_HYD</vt:lpstr>
      <vt:lpstr>K_XEana_HYD</vt:lpstr>
      <vt:lpstr>K_XTSS_lightextinction</vt:lpstr>
      <vt:lpstr>K_XU</vt:lpstr>
      <vt:lpstr>L_ightSwitch</vt:lpstr>
      <vt:lpstr>L_oginhORP_HFO</vt:lpstr>
      <vt:lpstr>L_oginhORP_PAO</vt:lpstr>
      <vt:lpstr>L_oginhpHNH3_AMETO</vt:lpstr>
      <vt:lpstr>L_oginhSMEOL_KMEOL_SNO2</vt:lpstr>
      <vt:lpstr>L_oginhSNO3_KNO3_MEOLO</vt:lpstr>
      <vt:lpstr>L_oginhSNO3_KNO3_OHO</vt:lpstr>
      <vt:lpstr>L_oginhSPO4_KiP_HAO_DISS</vt:lpstr>
      <vt:lpstr>L_oginhSPO4_KiP_HFO_DISS</vt:lpstr>
      <vt:lpstr>L_oginhSVFA_KVFA_FERM</vt:lpstr>
      <vt:lpstr>L_oginhSVFA_KVFA_OHO_SNO2</vt:lpstr>
      <vt:lpstr>L_oginhXHET_HYD_lim</vt:lpstr>
      <vt:lpstr>L_oginhXPHA_XGAO_max</vt:lpstr>
      <vt:lpstr>L_oginhXPHA_XPAO_max</vt:lpstr>
      <vt:lpstr>L_oginhXPP_XPAO_max</vt:lpstr>
      <vt:lpstr>L_oginhXSTO_XAHO_max</vt:lpstr>
      <vt:lpstr>L_ograngeCO2_AMX_pH_AS</vt:lpstr>
      <vt:lpstr>L_ograngeCO2_AOB_pH_AS</vt:lpstr>
      <vt:lpstr>L_ograngeCO2_AOB_pH_sidestream</vt:lpstr>
      <vt:lpstr>L_ograngeCO2_NOB_pH_AS</vt:lpstr>
      <vt:lpstr>L_ograngeKMEOL_SNO2</vt:lpstr>
      <vt:lpstr>L_ograngeKSNO3</vt:lpstr>
      <vt:lpstr>L_ograngeKVFA_SNO2</vt:lpstr>
      <vt:lpstr>L_ograngeNH3_AMETO</vt:lpstr>
      <vt:lpstr>L_ograngeP_HAO_DISS</vt:lpstr>
      <vt:lpstr>L_ograngeP_HFO_DISS</vt:lpstr>
      <vt:lpstr>L_ograngePHA_GAO_inh</vt:lpstr>
      <vt:lpstr>L_ograngePHA_PAO_inh</vt:lpstr>
      <vt:lpstr>L_ograngePO4_PAO_AS_sat</vt:lpstr>
      <vt:lpstr>L_ograngePP_PAO_AS_sat</vt:lpstr>
      <vt:lpstr>L_ograngePP_PAO_inh</vt:lpstr>
      <vt:lpstr>L_ograngeSNO3</vt:lpstr>
      <vt:lpstr>L_ograngeSTO_AHO_inh</vt:lpstr>
      <vt:lpstr>L_ograngeVFA_FERM_AS</vt:lpstr>
      <vt:lpstr>L_ograngeXHET_HYD_lim</vt:lpstr>
      <vt:lpstr>L_ogsatORP_GAO_Half_15</vt:lpstr>
      <vt:lpstr>L_ogsatORP_GAO_Half_25</vt:lpstr>
      <vt:lpstr>L_ogsatORP_GAO_Half_T</vt:lpstr>
      <vt:lpstr>L_ogsatORP_GAO_Slope</vt:lpstr>
      <vt:lpstr>L_ogsatORP_GAO_T</vt:lpstr>
      <vt:lpstr>L_ogsatORP_HFO_Half</vt:lpstr>
      <vt:lpstr>L_ogsatORP_HFO_Slope</vt:lpstr>
      <vt:lpstr>L_ogsatORP_PAO_Half</vt:lpstr>
      <vt:lpstr>L_ogsatORP_PAO_Slope</vt:lpstr>
      <vt:lpstr>L_ogsatpHCO2_AMX</vt:lpstr>
      <vt:lpstr>L_ogsatpHCO2_AOB</vt:lpstr>
      <vt:lpstr>L_ogsatpHCO2_NOB</vt:lpstr>
      <vt:lpstr>L_ogsatSMEOL_KMEOL_SNO2</vt:lpstr>
      <vt:lpstr>L_ogsatSNO3_KNO3_MEOLO</vt:lpstr>
      <vt:lpstr>L_ogsatSNO3_KNO3_OHO</vt:lpstr>
      <vt:lpstr>L_ogsatSPO4_KPO4_PAO</vt:lpstr>
      <vt:lpstr>L_ogsatSVFA_KVFA_FERM</vt:lpstr>
      <vt:lpstr>L_ogsatSVFA_KVFA_OHO_SNO2</vt:lpstr>
      <vt:lpstr>L_ogsatXHET_HYD_lim</vt:lpstr>
      <vt:lpstr>L_ogsatXPP_KPO4_PAO</vt:lpstr>
      <vt:lpstr>L_ogslopeCO2_AMX_pH</vt:lpstr>
      <vt:lpstr>L_ogslopeCO2_AOB_pH</vt:lpstr>
      <vt:lpstr>L_ogslopeCO2_NOB_pH</vt:lpstr>
      <vt:lpstr>L_ogslopeKMEOL_SNO2</vt:lpstr>
      <vt:lpstr>L_ogslopeKSNO3</vt:lpstr>
      <vt:lpstr>L_ogslopeKSNO3_MEOLO</vt:lpstr>
      <vt:lpstr>L_ogslopeKVFA_SNO2</vt:lpstr>
      <vt:lpstr>L_ogslopeNH3_AMETO_pH</vt:lpstr>
      <vt:lpstr>L_ogslopeP_HAO_DISS</vt:lpstr>
      <vt:lpstr>L_ogslopeP_HFO_DISS</vt:lpstr>
      <vt:lpstr>L_ogslopePHA_GAO_inh</vt:lpstr>
      <vt:lpstr>L_ogslopePHA_PAO_inh</vt:lpstr>
      <vt:lpstr>L_ogslopePO4_PAO_sat</vt:lpstr>
      <vt:lpstr>L_ogslopePP_PAO_inh</vt:lpstr>
      <vt:lpstr>L_ogslopePP_PAO_sat</vt:lpstr>
      <vt:lpstr>L_ogslopeSNO3</vt:lpstr>
      <vt:lpstr>L_ogslopeSTO_AHO_inh</vt:lpstr>
      <vt:lpstr>L_ogslopeVFA_FERM</vt:lpstr>
      <vt:lpstr>L_ogslopeXHET_HYD_lim</vt:lpstr>
      <vt:lpstr>M_EPS</vt:lpstr>
      <vt:lpstr>M_inhpHHNO2_AMX</vt:lpstr>
      <vt:lpstr>M_inhpHHNO2_AOB</vt:lpstr>
      <vt:lpstr>M_inhpHNH3_NOB</vt:lpstr>
      <vt:lpstr>M_inhSNHx_KiNHx_ALGAE</vt:lpstr>
      <vt:lpstr>M_inhSNHx_KiNHx_ASSIM</vt:lpstr>
      <vt:lpstr>M_inhSNO2_KNO2_AHO</vt:lpstr>
      <vt:lpstr>M_inhSNO2_KNO2_ASSIM</vt:lpstr>
      <vt:lpstr>M_inhSNO2_KNO2_CASTO</vt:lpstr>
      <vt:lpstr>M_inhSNO2_KNO2_EPS</vt:lpstr>
      <vt:lpstr>M_inhSNO2_KNO2_MEOLO</vt:lpstr>
      <vt:lpstr>M_inhSNO2_KNO2_OHO</vt:lpstr>
      <vt:lpstr>M_inhSNO3_KNO3_AHO</vt:lpstr>
      <vt:lpstr>M_inhSNO3_KNO3_CASTO</vt:lpstr>
      <vt:lpstr>M_inhSNO3_KNO3_EPS</vt:lpstr>
      <vt:lpstr>M_inhSNO3_KNO3_MEOLO</vt:lpstr>
      <vt:lpstr>M_inhSNO3_KNO3_OHO</vt:lpstr>
      <vt:lpstr>M_inhSNOx_KNO3_AMETO</vt:lpstr>
      <vt:lpstr>M_inhSNOx_KNO3_HMETO</vt:lpstr>
      <vt:lpstr>M_inhSNOx_KNOx_AMX</vt:lpstr>
      <vt:lpstr>M_inhSNOx_KNOx_AOB</vt:lpstr>
      <vt:lpstr>M_inhSNOx_KNOx_NOB</vt:lpstr>
      <vt:lpstr>M_inhSO2_KiO2_AHO</vt:lpstr>
      <vt:lpstr>M_inhSO2_KiO2_AMETO</vt:lpstr>
      <vt:lpstr>M_inhSO2_KiO2_AMX</vt:lpstr>
      <vt:lpstr>M_inhSO2_KiO2_EPS</vt:lpstr>
      <vt:lpstr>M_inhSO2_KiO2_HMETO</vt:lpstr>
      <vt:lpstr>M_inhSO2_KiO2_MEOLO</vt:lpstr>
      <vt:lpstr>M_inhSO2_KO2_AHO</vt:lpstr>
      <vt:lpstr>M_inhSO2_KO2_ALGAE</vt:lpstr>
      <vt:lpstr>M_inhSO2_KO2_AOB</vt:lpstr>
      <vt:lpstr>M_inhSO2_KO2_CASTO</vt:lpstr>
      <vt:lpstr>M_inhSO2_KO2_EPS</vt:lpstr>
      <vt:lpstr>M_inhSO2_KO2_NOB</vt:lpstr>
      <vt:lpstr>M_inhSO2_KO2_OHO</vt:lpstr>
      <vt:lpstr>M_inhSPO4_KiP_HAO_DESORP</vt:lpstr>
      <vt:lpstr>M_inhSPO4_KiP_HFO_DESORP</vt:lpstr>
      <vt:lpstr>M_inhSPO4_KiPO4_lim</vt:lpstr>
      <vt:lpstr>M_inhSVFA_KVFA</vt:lpstr>
      <vt:lpstr>M_MACP</vt:lpstr>
      <vt:lpstr>M_Mair</vt:lpstr>
      <vt:lpstr>M_MAl2SO43</vt:lpstr>
      <vt:lpstr>M_MAlCl3</vt:lpstr>
      <vt:lpstr>M_MAlOH3</vt:lpstr>
      <vt:lpstr>M_MAlPO4</vt:lpstr>
      <vt:lpstr>M_MBSH</vt:lpstr>
      <vt:lpstr>M_MCaCl2</vt:lpstr>
      <vt:lpstr>M_MCaCO3</vt:lpstr>
      <vt:lpstr>M_MCaH2PO4</vt:lpstr>
      <vt:lpstr>M_MCaHCO3</vt:lpstr>
      <vt:lpstr>M_MCaHPO4</vt:lpstr>
      <vt:lpstr>M_MCaOH</vt:lpstr>
      <vt:lpstr>M_MCaOH2</vt:lpstr>
      <vt:lpstr>M_MCaPO4</vt:lpstr>
      <vt:lpstr>M_MCH3COOH</vt:lpstr>
      <vt:lpstr>M_MCH3OH</vt:lpstr>
      <vt:lpstr>M_MCO2</vt:lpstr>
      <vt:lpstr>M_MCO3</vt:lpstr>
      <vt:lpstr>M_MEQ_GCH4</vt:lpstr>
      <vt:lpstr>M_MEQ_GCO2</vt:lpstr>
      <vt:lpstr>M_MEQ_GH2</vt:lpstr>
      <vt:lpstr>M_MEQ_GH2S</vt:lpstr>
      <vt:lpstr>M_MEQ_GN2</vt:lpstr>
      <vt:lpstr>M_MEQ_GN2O</vt:lpstr>
      <vt:lpstr>M_MEQ_GNH3</vt:lpstr>
      <vt:lpstr>M_MEQ_GNO</vt:lpstr>
      <vt:lpstr>M_MEQ_GO2</vt:lpstr>
      <vt:lpstr>M_MFe2O3</vt:lpstr>
      <vt:lpstr>M_MFe2SO43</vt:lpstr>
      <vt:lpstr>M_MFeCl2</vt:lpstr>
      <vt:lpstr>M_MFeCl3</vt:lpstr>
      <vt:lpstr>M_MFeOH3</vt:lpstr>
      <vt:lpstr>M_MFeS</vt:lpstr>
      <vt:lpstr>M_MFeSO4</vt:lpstr>
      <vt:lpstr>M_MGCH4</vt:lpstr>
      <vt:lpstr>M_MGCO2</vt:lpstr>
      <vt:lpstr>M_MGH2</vt:lpstr>
      <vt:lpstr>M_MGH2S</vt:lpstr>
      <vt:lpstr>M_MGN2</vt:lpstr>
      <vt:lpstr>M_MGN2O</vt:lpstr>
      <vt:lpstr>M_MGNH3</vt:lpstr>
      <vt:lpstr>M_MGNO</vt:lpstr>
      <vt:lpstr>M_MGO2</vt:lpstr>
      <vt:lpstr>M_MH2CO3</vt:lpstr>
      <vt:lpstr>M_MH2O</vt:lpstr>
      <vt:lpstr>M_MH2S</vt:lpstr>
      <vt:lpstr>M_MH2SO4</vt:lpstr>
      <vt:lpstr>M_MH3PO4</vt:lpstr>
      <vt:lpstr>M_MHAP</vt:lpstr>
      <vt:lpstr>M_MHCl</vt:lpstr>
      <vt:lpstr>M_MHCO3</vt:lpstr>
      <vt:lpstr>M_MHDP</vt:lpstr>
      <vt:lpstr>M_MHNO3</vt:lpstr>
      <vt:lpstr>M_MHSO4</vt:lpstr>
      <vt:lpstr>M_MKNO2</vt:lpstr>
      <vt:lpstr>M_MKNO3</vt:lpstr>
      <vt:lpstr>M_MMgCO3</vt:lpstr>
      <vt:lpstr>M_MMgH2PO4</vt:lpstr>
      <vt:lpstr>M_MMgHCO3</vt:lpstr>
      <vt:lpstr>M_MMgHPO4</vt:lpstr>
      <vt:lpstr>M_MMgOH</vt:lpstr>
      <vt:lpstr>M_MMgOH2</vt:lpstr>
      <vt:lpstr>M_MMgPO4</vt:lpstr>
      <vt:lpstr>M_MMKP</vt:lpstr>
      <vt:lpstr>M_MMMC</vt:lpstr>
      <vt:lpstr>M_MN2</vt:lpstr>
      <vt:lpstr>M_MN2O</vt:lpstr>
      <vt:lpstr>M_MNa2CO3</vt:lpstr>
      <vt:lpstr>M_MNaCl</vt:lpstr>
      <vt:lpstr>M_MNaHCO3</vt:lpstr>
      <vt:lpstr>M_MNaHPO4</vt:lpstr>
      <vt:lpstr>M_MNaOH</vt:lpstr>
      <vt:lpstr>M_MNH3</vt:lpstr>
      <vt:lpstr>M_MNH4</vt:lpstr>
      <vt:lpstr>M_MNH4HCO3</vt:lpstr>
      <vt:lpstr>M_MNO</vt:lpstr>
      <vt:lpstr>M_MNO2</vt:lpstr>
      <vt:lpstr>M_MNO3</vt:lpstr>
      <vt:lpstr>M_MO2</vt:lpstr>
      <vt:lpstr>M_MPO4</vt:lpstr>
      <vt:lpstr>M_MSiO2</vt:lpstr>
      <vt:lpstr>M_MSO4</vt:lpstr>
      <vt:lpstr>M_MSTR</vt:lpstr>
      <vt:lpstr>M_MVivi</vt:lpstr>
      <vt:lpstr>M_RinhXPHA_XGAO_KPHA</vt:lpstr>
      <vt:lpstr>M_RinhXPHA_XPAO_KPHA_cle</vt:lpstr>
      <vt:lpstr>M_RinhXPP_XPAO_KPP</vt:lpstr>
      <vt:lpstr>M_RinhXSTC_XCASTO_KSTC</vt:lpstr>
      <vt:lpstr>M_RsatXB_XHET_KHYD</vt:lpstr>
      <vt:lpstr>M_RsatXBe_XHET_KHYD</vt:lpstr>
      <vt:lpstr>M_RsatXEana_XHET_KHYD</vt:lpstr>
      <vt:lpstr>M_RsatXPHA_XGAO_KPHA</vt:lpstr>
      <vt:lpstr>M_RsatXPHA_XPAO_KPHA</vt:lpstr>
      <vt:lpstr>M_RsatXPP_XPAO_KPP</vt:lpstr>
      <vt:lpstr>M_RsatXSTC_XCASTO_KSTC</vt:lpstr>
      <vt:lpstr>M_RsatXSTO_XAHO_KSTO</vt:lpstr>
      <vt:lpstr>M_satCB_KCB_FLOC</vt:lpstr>
      <vt:lpstr>M_satCB_KCB_FLOC_HAO</vt:lpstr>
      <vt:lpstr>M_satCB_KCB_FLOC_HFO</vt:lpstr>
      <vt:lpstr>M_satCU_KCU_FLOC</vt:lpstr>
      <vt:lpstr>M_satCU_KCU_FLOC_HAO</vt:lpstr>
      <vt:lpstr>M_satCU_KCU_FLOC_HFO</vt:lpstr>
      <vt:lpstr>M_satSAN_KAN</vt:lpstr>
      <vt:lpstr>M_satSB_KSB_mono</vt:lpstr>
      <vt:lpstr>M_satSB_KSB_poly</vt:lpstr>
      <vt:lpstr>M_satSB_KSB_poly_ana</vt:lpstr>
      <vt:lpstr>M_satSCa_KCa</vt:lpstr>
      <vt:lpstr>M_satSCa_KCa_PAO</vt:lpstr>
      <vt:lpstr>M_satSCAT_KCAT</vt:lpstr>
      <vt:lpstr>M_satSCO2_KCO2_ALGAE</vt:lpstr>
      <vt:lpstr>M_satSCO2_KCO2_BIO</vt:lpstr>
      <vt:lpstr>M_satSH2_KH2_HMETO</vt:lpstr>
      <vt:lpstr>M_satSK_KK_PAO</vt:lpstr>
      <vt:lpstr>M_satSMEOL_KMEOL</vt:lpstr>
      <vt:lpstr>M_satSMEOL_KMEOL_OHO</vt:lpstr>
      <vt:lpstr>M_satSMg_KMg</vt:lpstr>
      <vt:lpstr>M_satSMg_KMg_PAO</vt:lpstr>
      <vt:lpstr>M_satSNHx_KNHx_ALGAE</vt:lpstr>
      <vt:lpstr>M_satSNHx_KNHx_AMX</vt:lpstr>
      <vt:lpstr>M_satSNHx_KNHx_AOB</vt:lpstr>
      <vt:lpstr>M_satSNHx_KNHx_BIO</vt:lpstr>
      <vt:lpstr>M_satSNO2_KNO2_AHO</vt:lpstr>
      <vt:lpstr>M_satSNO2_KNO2_AMX</vt:lpstr>
      <vt:lpstr>M_satSNO2_KNO2_ASSIM</vt:lpstr>
      <vt:lpstr>M_satSNO2_KNO2_CASTO</vt:lpstr>
      <vt:lpstr>M_satSNO2_KNO2_EPS</vt:lpstr>
      <vt:lpstr>M_satSNO2_KNO2_MEOLO</vt:lpstr>
      <vt:lpstr>M_satSNO2_KNO2_NOB</vt:lpstr>
      <vt:lpstr>M_satSNO2_KNO2_OHO</vt:lpstr>
      <vt:lpstr>M_satSNO3_KNO3_AHO</vt:lpstr>
      <vt:lpstr>M_satSNO3_KNO3_ASSIM</vt:lpstr>
      <vt:lpstr>M_satSNO3_KNO3_CASTO</vt:lpstr>
      <vt:lpstr>M_satSNO3_KNO3_EPS</vt:lpstr>
      <vt:lpstr>M_satSNO3_KNO3_MEOLO</vt:lpstr>
      <vt:lpstr>M_satSNO3_KNO3_OHO</vt:lpstr>
      <vt:lpstr>M_satSNOx_KNO3_AMETO</vt:lpstr>
      <vt:lpstr>M_satSNOx_KNO3_HMETO</vt:lpstr>
      <vt:lpstr>M_satSNOx_KNOx_ALGAE</vt:lpstr>
      <vt:lpstr>M_satSNOx_KNOx_AMX</vt:lpstr>
      <vt:lpstr>M_satSNOx_KNOx_AOB</vt:lpstr>
      <vt:lpstr>M_satSNOx_KNOx_NOB</vt:lpstr>
      <vt:lpstr>M_satSO2_KiO2_AMETO</vt:lpstr>
      <vt:lpstr>M_satSO2_KiO2_AMX</vt:lpstr>
      <vt:lpstr>M_satSO2_KiO2_HMETO</vt:lpstr>
      <vt:lpstr>M_satSO2_KiO2_MEOLO</vt:lpstr>
      <vt:lpstr>M_satSO2_KO2_AHO</vt:lpstr>
      <vt:lpstr>M_satSO2_KO2_ALGAE</vt:lpstr>
      <vt:lpstr>M_satSO2_KO2_AOB</vt:lpstr>
      <vt:lpstr>M_satSO2_KO2_CASTO</vt:lpstr>
      <vt:lpstr>M_satSO2_KO2_EPS</vt:lpstr>
      <vt:lpstr>M_satSO2_KO2_NOB</vt:lpstr>
      <vt:lpstr>M_satSO2_KO2_OHO</vt:lpstr>
      <vt:lpstr>M_satSPO4_KP_HAO_BIND</vt:lpstr>
      <vt:lpstr>M_satSPO4_KP_HFO_BIND</vt:lpstr>
      <vt:lpstr>M_satSPO4_KPO4_BIO</vt:lpstr>
      <vt:lpstr>M_satSPO4_KPO4_PAO</vt:lpstr>
      <vt:lpstr>M_satSVFA_KVFA</vt:lpstr>
      <vt:lpstr>M_satSVFA_KVFA_CASTO</vt:lpstr>
      <vt:lpstr>M_satXACP_KACP_DISS</vt:lpstr>
      <vt:lpstr>M_satXB_KXB_HYD</vt:lpstr>
      <vt:lpstr>M_satXBe_KXBe_HYD</vt:lpstr>
      <vt:lpstr>M_satXBSH_KBSH_DISS</vt:lpstr>
      <vt:lpstr>M_satXCaCO3_KCaCO3_DISS</vt:lpstr>
      <vt:lpstr>M_satXEana_KXEana_HYD</vt:lpstr>
      <vt:lpstr>M_satXPP_KPP_lim</vt:lpstr>
      <vt:lpstr>M_satXSTR_KSTR_DISS</vt:lpstr>
      <vt:lpstr>M_satXU_KXU</vt:lpstr>
      <vt:lpstr>M_satXVivi_KVivi_DISS</vt:lpstr>
      <vt:lpstr>m_tox_aer</vt:lpstr>
      <vt:lpstr>m_tox_ana</vt:lpstr>
      <vt:lpstr>m_tox_ana_max</vt:lpstr>
      <vt:lpstr>m_tox_anox</vt:lpstr>
      <vt:lpstr>N_2UR</vt:lpstr>
      <vt:lpstr>N_3UR</vt:lpstr>
      <vt:lpstr>N_OUR</vt:lpstr>
      <vt:lpstr>N_URAMX</vt:lpstr>
      <vt:lpstr>o_ffsetORPswitch</vt:lpstr>
      <vt:lpstr>O_RP</vt:lpstr>
      <vt:lpstr>O_RPana</vt:lpstr>
      <vt:lpstr>O_RPbase</vt:lpstr>
      <vt:lpstr>O_RPmax_SNOx</vt:lpstr>
      <vt:lpstr>O_RPmax_SO2</vt:lpstr>
      <vt:lpstr>O_RPNOx</vt:lpstr>
      <vt:lpstr>O_RPO2</vt:lpstr>
      <vt:lpstr>O_UR</vt:lpstr>
      <vt:lpstr>p_H</vt:lpstr>
      <vt:lpstr>p_Hfield</vt:lpstr>
      <vt:lpstr>p_Hhigh</vt:lpstr>
      <vt:lpstr>p_Hhigh_AMETO</vt:lpstr>
      <vt:lpstr>p_Hhigh_AOB</vt:lpstr>
      <vt:lpstr>p_Hhigh_FLOC_HAO</vt:lpstr>
      <vt:lpstr>p_Hhigh_FLOC_HFO</vt:lpstr>
      <vt:lpstr>p_Hhigh_HMETO</vt:lpstr>
      <vt:lpstr>p_Hhigh_NOB</vt:lpstr>
      <vt:lpstr>p_Hlow</vt:lpstr>
      <vt:lpstr>p_Hlow_AMETO</vt:lpstr>
      <vt:lpstr>p_Hlow_AOB</vt:lpstr>
      <vt:lpstr>p_Hlow_FLOC_HAO</vt:lpstr>
      <vt:lpstr>p_Hlow_FLOC_HFO</vt:lpstr>
      <vt:lpstr>p_Hlow_HMETO</vt:lpstr>
      <vt:lpstr>p_Hlow_NOB</vt:lpstr>
      <vt:lpstr>p_i</vt:lpstr>
      <vt:lpstr>p_NTP</vt:lpstr>
      <vt:lpstr>p_owdamp_ALPHA</vt:lpstr>
      <vt:lpstr>P_recipDrivingForceACP</vt:lpstr>
      <vt:lpstr>P_recipDrivingForceBSH</vt:lpstr>
      <vt:lpstr>P_recipDrivingForceCaCO3</vt:lpstr>
      <vt:lpstr>P_recipDrivingForceSTR</vt:lpstr>
      <vt:lpstr>P_recipDrivingForceVivi</vt:lpstr>
      <vt:lpstr>P_RR</vt:lpstr>
      <vt:lpstr>p_STP</vt:lpstr>
      <vt:lpstr>P_UR</vt:lpstr>
      <vt:lpstr>P_URBIO</vt:lpstr>
      <vt:lpstr>P_URBIOP</vt:lpstr>
      <vt:lpstr>P_URCHEM</vt:lpstr>
      <vt:lpstr>q_ACP</vt:lpstr>
      <vt:lpstr>q_ACP_DISS</vt:lpstr>
      <vt:lpstr>q_ACP_PREC</vt:lpstr>
      <vt:lpstr>q_AHO_STO</vt:lpstr>
      <vt:lpstr>q_ALPHA</vt:lpstr>
      <vt:lpstr>q_ALPHA_O2</vt:lpstr>
      <vt:lpstr>q_AMMON</vt:lpstr>
      <vt:lpstr>q_AMMON_T</vt:lpstr>
      <vt:lpstr>q_ASSIM</vt:lpstr>
      <vt:lpstr>q_ASSIM_T</vt:lpstr>
      <vt:lpstr>q_BSH</vt:lpstr>
      <vt:lpstr>q_BSH_DISS</vt:lpstr>
      <vt:lpstr>q_BSH_PREC</vt:lpstr>
      <vt:lpstr>q_CaCO3</vt:lpstr>
      <vt:lpstr>q_CaCO3_DISS</vt:lpstr>
      <vt:lpstr>q_CaCO3_PREC</vt:lpstr>
      <vt:lpstr>q_Fe2_OX</vt:lpstr>
      <vt:lpstr>q_Fe2_OX_T</vt:lpstr>
      <vt:lpstr>q_FLOC</vt:lpstr>
      <vt:lpstr>q_FLOC_HAO</vt:lpstr>
      <vt:lpstr>q_FLOC_HAO_T</vt:lpstr>
      <vt:lpstr>q_FLOC_HFO</vt:lpstr>
      <vt:lpstr>q_FLOC_HFO_T</vt:lpstr>
      <vt:lpstr>q_FLOC_T</vt:lpstr>
      <vt:lpstr>q_GAO_PHA</vt:lpstr>
      <vt:lpstr>q_GAO_PHA_T</vt:lpstr>
      <vt:lpstr>q_HAO_DISS</vt:lpstr>
      <vt:lpstr>q_HAOH_AGING</vt:lpstr>
      <vt:lpstr>q_HAOH_DESORP</vt:lpstr>
      <vt:lpstr>q_HAOL_AGING</vt:lpstr>
      <vt:lpstr>q_HAOL_DESORP</vt:lpstr>
      <vt:lpstr>q_HFO_DISS</vt:lpstr>
      <vt:lpstr>q_HFO_RED</vt:lpstr>
      <vt:lpstr>q_HFO_RED_T</vt:lpstr>
      <vt:lpstr>q_HFOH_AGING</vt:lpstr>
      <vt:lpstr>q_HFOH_DESORP</vt:lpstr>
      <vt:lpstr>q_HFOL_AGING</vt:lpstr>
      <vt:lpstr>q_HFOL_DESORP</vt:lpstr>
      <vt:lpstr>q_HYD_XB</vt:lpstr>
      <vt:lpstr>q_HYD_XB_T</vt:lpstr>
      <vt:lpstr>q_HYD_XBe</vt:lpstr>
      <vt:lpstr>q_HYD_XBe_T</vt:lpstr>
      <vt:lpstr>q_MEOL</vt:lpstr>
      <vt:lpstr>q_P_HAO_BIND</vt:lpstr>
      <vt:lpstr>q_P_HAO_COPREC</vt:lpstr>
      <vt:lpstr>q_P_HFO_BIND</vt:lpstr>
      <vt:lpstr>q_P_HFO_COPREC</vt:lpstr>
      <vt:lpstr>q_PAO_PHA</vt:lpstr>
      <vt:lpstr>q_PAO_PHA_T</vt:lpstr>
      <vt:lpstr>q_PAO_PP</vt:lpstr>
      <vt:lpstr>q_PAO_PP_T</vt:lpstr>
      <vt:lpstr>q_PFOA_SORP</vt:lpstr>
      <vt:lpstr>q_PFOS_SORP</vt:lpstr>
      <vt:lpstr>q_SB_mono</vt:lpstr>
      <vt:lpstr>q_SPB</vt:lpstr>
      <vt:lpstr>q_SPB_T</vt:lpstr>
      <vt:lpstr>q_STR</vt:lpstr>
      <vt:lpstr>q_STR_DISS</vt:lpstr>
      <vt:lpstr>q_STR_PREC</vt:lpstr>
      <vt:lpstr>q_Vivi</vt:lpstr>
      <vt:lpstr>q_Vivi_DISS</vt:lpstr>
      <vt:lpstr>q_Vivi_PREC</vt:lpstr>
      <vt:lpstr>q_XE</vt:lpstr>
      <vt:lpstr>q_XE_T</vt:lpstr>
      <vt:lpstr>q_XU</vt:lpstr>
      <vt:lpstr>q_XU_T</vt:lpstr>
      <vt:lpstr>R__</vt:lpstr>
      <vt:lpstr>r_1</vt:lpstr>
      <vt:lpstr>r_10</vt:lpstr>
      <vt:lpstr>r_100</vt:lpstr>
      <vt:lpstr>r_101</vt:lpstr>
      <vt:lpstr>r_102</vt:lpstr>
      <vt:lpstr>r_103</vt:lpstr>
      <vt:lpstr>r_104</vt:lpstr>
      <vt:lpstr>r_105</vt:lpstr>
      <vt:lpstr>r_106</vt:lpstr>
      <vt:lpstr>r_107</vt:lpstr>
      <vt:lpstr>r_108</vt:lpstr>
      <vt:lpstr>r_109</vt:lpstr>
      <vt:lpstr>r_11</vt:lpstr>
      <vt:lpstr>r_110</vt:lpstr>
      <vt:lpstr>r_111</vt:lpstr>
      <vt:lpstr>r_12</vt:lpstr>
      <vt:lpstr>r_13</vt:lpstr>
      <vt:lpstr>r_14</vt:lpstr>
      <vt:lpstr>r_15</vt:lpstr>
      <vt:lpstr>r_16</vt:lpstr>
      <vt:lpstr>r_17</vt:lpstr>
      <vt:lpstr>r_18</vt:lpstr>
      <vt:lpstr>r_19</vt:lpstr>
      <vt:lpstr>r_2</vt:lpstr>
      <vt:lpstr>r_20</vt:lpstr>
      <vt:lpstr>r_21</vt:lpstr>
      <vt:lpstr>r_22</vt:lpstr>
      <vt:lpstr>r_23</vt:lpstr>
      <vt:lpstr>r_24</vt:lpstr>
      <vt:lpstr>r_25</vt:lpstr>
      <vt:lpstr>r_26</vt:lpstr>
      <vt:lpstr>r_27</vt:lpstr>
      <vt:lpstr>r_28</vt:lpstr>
      <vt:lpstr>r_29</vt:lpstr>
      <vt:lpstr>r_3</vt:lpstr>
      <vt:lpstr>r_30</vt:lpstr>
      <vt:lpstr>r_31</vt:lpstr>
      <vt:lpstr>r_32</vt:lpstr>
      <vt:lpstr>r_33</vt:lpstr>
      <vt:lpstr>r_34</vt:lpstr>
      <vt:lpstr>r_35</vt:lpstr>
      <vt:lpstr>r_36</vt:lpstr>
      <vt:lpstr>r_37</vt:lpstr>
      <vt:lpstr>r_38</vt:lpstr>
      <vt:lpstr>r_39</vt:lpstr>
      <vt:lpstr>r_4</vt:lpstr>
      <vt:lpstr>r_40</vt:lpstr>
      <vt:lpstr>r_41</vt:lpstr>
      <vt:lpstr>r_42</vt:lpstr>
      <vt:lpstr>r_43</vt:lpstr>
      <vt:lpstr>r_44</vt:lpstr>
      <vt:lpstr>r_45</vt:lpstr>
      <vt:lpstr>r_46</vt:lpstr>
      <vt:lpstr>r_47</vt:lpstr>
      <vt:lpstr>r_48</vt:lpstr>
      <vt:lpstr>r_49</vt:lpstr>
      <vt:lpstr>r_5</vt:lpstr>
      <vt:lpstr>r_50</vt:lpstr>
      <vt:lpstr>r_51</vt:lpstr>
      <vt:lpstr>r_52</vt:lpstr>
      <vt:lpstr>r_53</vt:lpstr>
      <vt:lpstr>r_54</vt:lpstr>
      <vt:lpstr>r_55</vt:lpstr>
      <vt:lpstr>r_56</vt:lpstr>
      <vt:lpstr>r_57</vt:lpstr>
      <vt:lpstr>r_58</vt:lpstr>
      <vt:lpstr>r_59</vt:lpstr>
      <vt:lpstr>r_6</vt:lpstr>
      <vt:lpstr>r_60</vt:lpstr>
      <vt:lpstr>r_61</vt:lpstr>
      <vt:lpstr>r_62</vt:lpstr>
      <vt:lpstr>r_63</vt:lpstr>
      <vt:lpstr>r_64</vt:lpstr>
      <vt:lpstr>r_65</vt:lpstr>
      <vt:lpstr>r_66</vt:lpstr>
      <vt:lpstr>r_67</vt:lpstr>
      <vt:lpstr>r_68</vt:lpstr>
      <vt:lpstr>r_69</vt:lpstr>
      <vt:lpstr>r_7</vt:lpstr>
      <vt:lpstr>r_70</vt:lpstr>
      <vt:lpstr>r_71</vt:lpstr>
      <vt:lpstr>r_72</vt:lpstr>
      <vt:lpstr>r_73</vt:lpstr>
      <vt:lpstr>r_74</vt:lpstr>
      <vt:lpstr>r_75</vt:lpstr>
      <vt:lpstr>r_76</vt:lpstr>
      <vt:lpstr>r_77</vt:lpstr>
      <vt:lpstr>r_78</vt:lpstr>
      <vt:lpstr>r_79</vt:lpstr>
      <vt:lpstr>r_8</vt:lpstr>
      <vt:lpstr>r_80</vt:lpstr>
      <vt:lpstr>r_81</vt:lpstr>
      <vt:lpstr>r_82</vt:lpstr>
      <vt:lpstr>r_83</vt:lpstr>
      <vt:lpstr>r_84</vt:lpstr>
      <vt:lpstr>r_85</vt:lpstr>
      <vt:lpstr>r_86</vt:lpstr>
      <vt:lpstr>r_87</vt:lpstr>
      <vt:lpstr>r_88</vt:lpstr>
      <vt:lpstr>r_89</vt:lpstr>
      <vt:lpstr>r_9</vt:lpstr>
      <vt:lpstr>r_90</vt:lpstr>
      <vt:lpstr>r_91</vt:lpstr>
      <vt:lpstr>r_92</vt:lpstr>
      <vt:lpstr>r_93</vt:lpstr>
      <vt:lpstr>r_94</vt:lpstr>
      <vt:lpstr>r_95</vt:lpstr>
      <vt:lpstr>r_96</vt:lpstr>
      <vt:lpstr>r_97</vt:lpstr>
      <vt:lpstr>r_98</vt:lpstr>
      <vt:lpstr>r_99</vt:lpstr>
      <vt:lpstr>R_air</vt:lpstr>
      <vt:lpstr>r_ateFLOC_CB_polymer</vt:lpstr>
      <vt:lpstr>r_ateFLOC_CU_polymer</vt:lpstr>
      <vt:lpstr>r_atioAAR_rbCODDR</vt:lpstr>
      <vt:lpstr>r_atioVSS_TSS</vt:lpstr>
      <vt:lpstr>r_bCODDR</vt:lpstr>
      <vt:lpstr>S_ALK</vt:lpstr>
      <vt:lpstr>S_ALK_calc</vt:lpstr>
      <vt:lpstr>S_ALK_input</vt:lpstr>
      <vt:lpstr>S_ALPHA</vt:lpstr>
      <vt:lpstr>S_ALPHA_sat</vt:lpstr>
      <vt:lpstr>S_AN</vt:lpstr>
      <vt:lpstr>S_AN_ini</vt:lpstr>
      <vt:lpstr>S_B_mono</vt:lpstr>
      <vt:lpstr>S_B_poly</vt:lpstr>
      <vt:lpstr>S_BOD_5</vt:lpstr>
      <vt:lpstr>S_BOD_ult</vt:lpstr>
      <vt:lpstr>S_Ca</vt:lpstr>
      <vt:lpstr>S_CAT</vt:lpstr>
      <vt:lpstr>S_CAT_ini</vt:lpstr>
      <vt:lpstr>S_CCOD</vt:lpstr>
      <vt:lpstr>S_CH4</vt:lpstr>
      <vt:lpstr>S_CO2</vt:lpstr>
      <vt:lpstr>S_COD</vt:lpstr>
      <vt:lpstr>S_Fe2</vt:lpstr>
      <vt:lpstr>S_GCH4_bub_sat</vt:lpstr>
      <vt:lpstr>S_GCH4_sur_sat</vt:lpstr>
      <vt:lpstr>S_GCO2_bub_sat</vt:lpstr>
      <vt:lpstr>S_GCO2_sur_sat</vt:lpstr>
      <vt:lpstr>S_GH2_bub_sat</vt:lpstr>
      <vt:lpstr>S_GH2_sur_sat</vt:lpstr>
      <vt:lpstr>S_GH2S_bub_sat</vt:lpstr>
      <vt:lpstr>S_GH2S_sur_sat</vt:lpstr>
      <vt:lpstr>S_GN2_bub_sat</vt:lpstr>
      <vt:lpstr>S_GN2_sur_sat</vt:lpstr>
      <vt:lpstr>S_GNH3_bub_sat</vt:lpstr>
      <vt:lpstr>S_GNH3_sur_sat</vt:lpstr>
      <vt:lpstr>S_GO2_bub_sat</vt:lpstr>
      <vt:lpstr>S_GO2_sur_sat</vt:lpstr>
      <vt:lpstr>S_H</vt:lpstr>
      <vt:lpstr>S_H2</vt:lpstr>
      <vt:lpstr>S_K</vt:lpstr>
      <vt:lpstr>S_KN</vt:lpstr>
      <vt:lpstr>s_lh_diff_α</vt:lpstr>
      <vt:lpstr>S_lopeIS_corr</vt:lpstr>
      <vt:lpstr>s_lORP_GAO_Half_T</vt:lpstr>
      <vt:lpstr>s_lTSS_α_coarse</vt:lpstr>
      <vt:lpstr>s_lTSS_α_def</vt:lpstr>
      <vt:lpstr>S_MEOL</vt:lpstr>
      <vt:lpstr>S_Mg</vt:lpstr>
      <vt:lpstr>S_N_B</vt:lpstr>
      <vt:lpstr>S_N2</vt:lpstr>
      <vt:lpstr>S_NHx</vt:lpstr>
      <vt:lpstr>S_NO2</vt:lpstr>
      <vt:lpstr>S_NO3</vt:lpstr>
      <vt:lpstr>S_NOx</vt:lpstr>
      <vt:lpstr>S_O2</vt:lpstr>
      <vt:lpstr>S_ORPswitch</vt:lpstr>
      <vt:lpstr>S_P</vt:lpstr>
      <vt:lpstr>S_P_B</vt:lpstr>
      <vt:lpstr>S_PFOA</vt:lpstr>
      <vt:lpstr>S_PFOS</vt:lpstr>
      <vt:lpstr>S_PO4</vt:lpstr>
      <vt:lpstr>S_rbCOD</vt:lpstr>
      <vt:lpstr>S_U</vt:lpstr>
      <vt:lpstr>S_U_N</vt:lpstr>
      <vt:lpstr>S_umo__pHEffects</vt:lpstr>
      <vt:lpstr>S_VFA</vt:lpstr>
      <vt:lpstr>T__</vt:lpstr>
      <vt:lpstr>T_Al</vt:lpstr>
      <vt:lpstr>T_base</vt:lpstr>
      <vt:lpstr>T_BOD_5</vt:lpstr>
      <vt:lpstr>T_BOD_ult</vt:lpstr>
      <vt:lpstr>T_Ca</vt:lpstr>
      <vt:lpstr>T_COD</vt:lpstr>
      <vt:lpstr>T_COD_Th</vt:lpstr>
      <vt:lpstr>T_Fe</vt:lpstr>
      <vt:lpstr>T_IN</vt:lpstr>
      <vt:lpstr>T_K</vt:lpstr>
      <vt:lpstr>T_KN</vt:lpstr>
      <vt:lpstr>T_KN_B</vt:lpstr>
      <vt:lpstr>T_Mg</vt:lpstr>
      <vt:lpstr>T_N</vt:lpstr>
      <vt:lpstr>T_NTP_K</vt:lpstr>
      <vt:lpstr>T_OC</vt:lpstr>
      <vt:lpstr>T_P</vt:lpstr>
      <vt:lpstr>T_PFOA</vt:lpstr>
      <vt:lpstr>T_PFOS</vt:lpstr>
      <vt:lpstr>T_st_K</vt:lpstr>
      <vt:lpstr>T_STP_K</vt:lpstr>
      <vt:lpstr>v_1_CB</vt:lpstr>
      <vt:lpstr>v_1_CU</vt:lpstr>
      <vt:lpstr>v_1_GCH4</vt:lpstr>
      <vt:lpstr>v_1_GCH4_atm</vt:lpstr>
      <vt:lpstr>v_1_GCO2</vt:lpstr>
      <vt:lpstr>v_1_GCO2_atm</vt:lpstr>
      <vt:lpstr>v_1_GH2</vt:lpstr>
      <vt:lpstr>v_1_GH2_atm</vt:lpstr>
      <vt:lpstr>v_1_GN2</vt:lpstr>
      <vt:lpstr>v_1_GN2_atm</vt:lpstr>
      <vt:lpstr>v_1_GNH3</vt:lpstr>
      <vt:lpstr>v_1_GNH3_atm</vt:lpstr>
      <vt:lpstr>v_1_GO2</vt:lpstr>
      <vt:lpstr>v_1_GO2_atm</vt:lpstr>
      <vt:lpstr>v_1_SALPHA</vt:lpstr>
      <vt:lpstr>v_1_SAN</vt:lpstr>
      <vt:lpstr>v_1_SB_mono</vt:lpstr>
      <vt:lpstr>v_1_SB_poly</vt:lpstr>
      <vt:lpstr>v_1_SCa</vt:lpstr>
      <vt:lpstr>v_1_SCAT</vt:lpstr>
      <vt:lpstr>v_1_SCH4</vt:lpstr>
      <vt:lpstr>v_1_SCO2</vt:lpstr>
      <vt:lpstr>v_1_SFe2</vt:lpstr>
      <vt:lpstr>v_1_SH</vt:lpstr>
      <vt:lpstr>v_1_SH2</vt:lpstr>
      <vt:lpstr>v_1_SK</vt:lpstr>
      <vt:lpstr>v_1_SMEOL</vt:lpstr>
      <vt:lpstr>v_1_SMg</vt:lpstr>
      <vt:lpstr>v_1_SN_B</vt:lpstr>
      <vt:lpstr>v_1_SN2</vt:lpstr>
      <vt:lpstr>v_1_SNHx</vt:lpstr>
      <vt:lpstr>v_1_SNO2</vt:lpstr>
      <vt:lpstr>v_1_SNO3</vt:lpstr>
      <vt:lpstr>v_1_SO2</vt:lpstr>
      <vt:lpstr>v_1_SORPswitch</vt:lpstr>
      <vt:lpstr>v_1_SP_B</vt:lpstr>
      <vt:lpstr>v_1_SPFOA</vt:lpstr>
      <vt:lpstr>v_1_SPFOS</vt:lpstr>
      <vt:lpstr>v_1_SPO4</vt:lpstr>
      <vt:lpstr>v_1_SU</vt:lpstr>
      <vt:lpstr>v_1_SVFA</vt:lpstr>
      <vt:lpstr>v_1_XACP</vt:lpstr>
      <vt:lpstr>v_1_XAHO</vt:lpstr>
      <vt:lpstr>v_1_XALGAE</vt:lpstr>
      <vt:lpstr>v_1_XAMETO</vt:lpstr>
      <vt:lpstr>v_1_XAMX</vt:lpstr>
      <vt:lpstr>v_1_XAOB</vt:lpstr>
      <vt:lpstr>v_1_XB</vt:lpstr>
      <vt:lpstr>v_1_XB_e</vt:lpstr>
      <vt:lpstr>v_1_XBSH</vt:lpstr>
      <vt:lpstr>v_1_XCaCO3</vt:lpstr>
      <vt:lpstr>v_1_XCASTO</vt:lpstr>
      <vt:lpstr>v_1_XE</vt:lpstr>
      <vt:lpstr>v_1_XE_ana</vt:lpstr>
      <vt:lpstr>v_1_XHAO_H</vt:lpstr>
      <vt:lpstr>v_1_XHAO_H_P</vt:lpstr>
      <vt:lpstr>v_1_XHAO_H_P_old</vt:lpstr>
      <vt:lpstr>v_1_XHAO_L</vt:lpstr>
      <vt:lpstr>v_1_XHAO_L_P</vt:lpstr>
      <vt:lpstr>v_1_XHAO_L_P_old</vt:lpstr>
      <vt:lpstr>v_1_XHAO_old</vt:lpstr>
      <vt:lpstr>v_1_XHFO_H</vt:lpstr>
      <vt:lpstr>v_1_XHFO_H_P</vt:lpstr>
      <vt:lpstr>v_1_XHFO_H_P_old</vt:lpstr>
      <vt:lpstr>v_1_XHFO_L</vt:lpstr>
      <vt:lpstr>v_1_XHFO_L_P</vt:lpstr>
      <vt:lpstr>v_1_XHFO_L_P_old</vt:lpstr>
      <vt:lpstr>v_1_XHFO_old</vt:lpstr>
      <vt:lpstr>v_1_XHMETO</vt:lpstr>
      <vt:lpstr>v_1_XINORG</vt:lpstr>
      <vt:lpstr>v_1_XMEOLO</vt:lpstr>
      <vt:lpstr>v_1_XN_B</vt:lpstr>
      <vt:lpstr>v_1_XN_Be</vt:lpstr>
      <vt:lpstr>v_1_XN_U</vt:lpstr>
      <vt:lpstr>v_1_XNOB</vt:lpstr>
      <vt:lpstr>v_1_XOHO</vt:lpstr>
      <vt:lpstr>v_1_XP_B</vt:lpstr>
      <vt:lpstr>v_1_XP_Be</vt:lpstr>
      <vt:lpstr>v_1_XP_U</vt:lpstr>
      <vt:lpstr>v_1_XPFOA</vt:lpstr>
      <vt:lpstr>v_1_XPFOS</vt:lpstr>
      <vt:lpstr>v_1_XPHA_GAO</vt:lpstr>
      <vt:lpstr>v_1_XPHA_PAO</vt:lpstr>
      <vt:lpstr>v_1_XPP</vt:lpstr>
      <vt:lpstr>v_1_XSTO</vt:lpstr>
      <vt:lpstr>v_1_XSTR</vt:lpstr>
      <vt:lpstr>v_1_XU</vt:lpstr>
      <vt:lpstr>v_1_XVivi</vt:lpstr>
      <vt:lpstr>v_10_CB</vt:lpstr>
      <vt:lpstr>v_10_CU</vt:lpstr>
      <vt:lpstr>v_10_GCH4</vt:lpstr>
      <vt:lpstr>v_10_GCH4_atm</vt:lpstr>
      <vt:lpstr>v_10_GCO2</vt:lpstr>
      <vt:lpstr>v_10_GCO2_atm</vt:lpstr>
      <vt:lpstr>v_10_GH2</vt:lpstr>
      <vt:lpstr>v_10_GH2_atm</vt:lpstr>
      <vt:lpstr>v_10_GN2</vt:lpstr>
      <vt:lpstr>v_10_GN2_atm</vt:lpstr>
      <vt:lpstr>v_10_GNH3</vt:lpstr>
      <vt:lpstr>v_10_GNH3_atm</vt:lpstr>
      <vt:lpstr>v_10_GO2</vt:lpstr>
      <vt:lpstr>v_10_GO2_atm</vt:lpstr>
      <vt:lpstr>v_10_SALPHA</vt:lpstr>
      <vt:lpstr>v_10_SAN</vt:lpstr>
      <vt:lpstr>v_10_SB_mono</vt:lpstr>
      <vt:lpstr>v_10_SB_poly</vt:lpstr>
      <vt:lpstr>v_10_SCa</vt:lpstr>
      <vt:lpstr>v_10_SCAT</vt:lpstr>
      <vt:lpstr>v_10_SCH4</vt:lpstr>
      <vt:lpstr>v_10_SCO2</vt:lpstr>
      <vt:lpstr>v_10_SFe2</vt:lpstr>
      <vt:lpstr>v_10_SH</vt:lpstr>
      <vt:lpstr>v_10_SH2</vt:lpstr>
      <vt:lpstr>v_10_SK</vt:lpstr>
      <vt:lpstr>v_10_SMEOL</vt:lpstr>
      <vt:lpstr>v_10_SMg</vt:lpstr>
      <vt:lpstr>v_10_SN_B</vt:lpstr>
      <vt:lpstr>v_10_SN2</vt:lpstr>
      <vt:lpstr>v_10_SNHx</vt:lpstr>
      <vt:lpstr>v_10_SNO2</vt:lpstr>
      <vt:lpstr>v_10_SNO3</vt:lpstr>
      <vt:lpstr>v_10_SO2</vt:lpstr>
      <vt:lpstr>v_10_SORPswitch</vt:lpstr>
      <vt:lpstr>v_10_SP_B</vt:lpstr>
      <vt:lpstr>v_10_SPFOA</vt:lpstr>
      <vt:lpstr>v_10_SPFOS</vt:lpstr>
      <vt:lpstr>v_10_SPO4</vt:lpstr>
      <vt:lpstr>v_10_SU</vt:lpstr>
      <vt:lpstr>v_10_SVFA</vt:lpstr>
      <vt:lpstr>v_10_XACP</vt:lpstr>
      <vt:lpstr>v_10_XAHO</vt:lpstr>
      <vt:lpstr>v_10_XALGAE</vt:lpstr>
      <vt:lpstr>v_10_XAMETO</vt:lpstr>
      <vt:lpstr>v_10_XAMX</vt:lpstr>
      <vt:lpstr>v_10_XAOB</vt:lpstr>
      <vt:lpstr>v_10_XB</vt:lpstr>
      <vt:lpstr>v_10_XB_e</vt:lpstr>
      <vt:lpstr>v_10_XBSH</vt:lpstr>
      <vt:lpstr>v_10_XCaCO3</vt:lpstr>
      <vt:lpstr>v_10_XCASTO</vt:lpstr>
      <vt:lpstr>v_10_XE</vt:lpstr>
      <vt:lpstr>v_10_XE_ana</vt:lpstr>
      <vt:lpstr>v_10_XHAO_H</vt:lpstr>
      <vt:lpstr>v_10_XHAO_H_P</vt:lpstr>
      <vt:lpstr>v_10_XHAO_H_P_old</vt:lpstr>
      <vt:lpstr>v_10_XHAO_L</vt:lpstr>
      <vt:lpstr>v_10_XHAO_L_P</vt:lpstr>
      <vt:lpstr>v_10_XHAO_L_P_old</vt:lpstr>
      <vt:lpstr>v_10_XHAO_old</vt:lpstr>
      <vt:lpstr>v_10_XHFO_H</vt:lpstr>
      <vt:lpstr>v_10_XHFO_H_P</vt:lpstr>
      <vt:lpstr>v_10_XHFO_H_P_old</vt:lpstr>
      <vt:lpstr>v_10_XHFO_L</vt:lpstr>
      <vt:lpstr>v_10_XHFO_L_P</vt:lpstr>
      <vt:lpstr>v_10_XHFO_L_P_old</vt:lpstr>
      <vt:lpstr>v_10_XHFO_old</vt:lpstr>
      <vt:lpstr>v_10_XHMETO</vt:lpstr>
      <vt:lpstr>v_10_XINORG</vt:lpstr>
      <vt:lpstr>v_10_XMEOLO</vt:lpstr>
      <vt:lpstr>v_10_XN_B</vt:lpstr>
      <vt:lpstr>v_10_XN_Be</vt:lpstr>
      <vt:lpstr>v_10_XN_U</vt:lpstr>
      <vt:lpstr>v_10_XNOB</vt:lpstr>
      <vt:lpstr>v_10_XOHO</vt:lpstr>
      <vt:lpstr>v_10_XP_B</vt:lpstr>
      <vt:lpstr>v_10_XP_Be</vt:lpstr>
      <vt:lpstr>v_10_XP_U</vt:lpstr>
      <vt:lpstr>v_10_XPFOA</vt:lpstr>
      <vt:lpstr>v_10_XPFOS</vt:lpstr>
      <vt:lpstr>v_10_XPHA_GAO</vt:lpstr>
      <vt:lpstr>v_10_XPHA_PAO</vt:lpstr>
      <vt:lpstr>v_10_XPP</vt:lpstr>
      <vt:lpstr>v_10_XSTO</vt:lpstr>
      <vt:lpstr>v_10_XSTR</vt:lpstr>
      <vt:lpstr>v_10_XU</vt:lpstr>
      <vt:lpstr>v_10_XVivi</vt:lpstr>
      <vt:lpstr>v_100_CB</vt:lpstr>
      <vt:lpstr>v_100_CU</vt:lpstr>
      <vt:lpstr>v_100_GCH4</vt:lpstr>
      <vt:lpstr>v_100_GCH4_atm</vt:lpstr>
      <vt:lpstr>v_100_GCO2</vt:lpstr>
      <vt:lpstr>v_100_GCO2_atm</vt:lpstr>
      <vt:lpstr>v_100_GH2</vt:lpstr>
      <vt:lpstr>v_100_GH2_atm</vt:lpstr>
      <vt:lpstr>v_100_GN2</vt:lpstr>
      <vt:lpstr>v_100_GN2_atm</vt:lpstr>
      <vt:lpstr>v_100_GNH3</vt:lpstr>
      <vt:lpstr>v_100_GNH3_atm</vt:lpstr>
      <vt:lpstr>v_100_GO2</vt:lpstr>
      <vt:lpstr>v_100_GO2_atm</vt:lpstr>
      <vt:lpstr>v_100_SALPHA</vt:lpstr>
      <vt:lpstr>v_100_SAN</vt:lpstr>
      <vt:lpstr>v_100_SB_mono</vt:lpstr>
      <vt:lpstr>v_100_SB_poly</vt:lpstr>
      <vt:lpstr>v_100_SCa</vt:lpstr>
      <vt:lpstr>v_100_SCAT</vt:lpstr>
      <vt:lpstr>v_100_SCH4</vt:lpstr>
      <vt:lpstr>v_100_SCO2</vt:lpstr>
      <vt:lpstr>v_100_SFe2</vt:lpstr>
      <vt:lpstr>v_100_SH</vt:lpstr>
      <vt:lpstr>v_100_SH2</vt:lpstr>
      <vt:lpstr>v_100_SK</vt:lpstr>
      <vt:lpstr>v_100_SMEOL</vt:lpstr>
      <vt:lpstr>v_100_SMg</vt:lpstr>
      <vt:lpstr>v_100_SN_B</vt:lpstr>
      <vt:lpstr>v_100_SN2</vt:lpstr>
      <vt:lpstr>v_100_SNHx</vt:lpstr>
      <vt:lpstr>v_100_SNO2</vt:lpstr>
      <vt:lpstr>v_100_SNO3</vt:lpstr>
      <vt:lpstr>v_100_SO2</vt:lpstr>
      <vt:lpstr>v_100_SORPswitch</vt:lpstr>
      <vt:lpstr>v_100_SP_B</vt:lpstr>
      <vt:lpstr>v_100_SPFOA</vt:lpstr>
      <vt:lpstr>v_100_SPFOS</vt:lpstr>
      <vt:lpstr>v_100_SPO4</vt:lpstr>
      <vt:lpstr>v_100_SU</vt:lpstr>
      <vt:lpstr>v_100_SVFA</vt:lpstr>
      <vt:lpstr>v_100_XACP</vt:lpstr>
      <vt:lpstr>v_100_XAHO</vt:lpstr>
      <vt:lpstr>v_100_XALGAE</vt:lpstr>
      <vt:lpstr>v_100_XAMETO</vt:lpstr>
      <vt:lpstr>v_100_XAMX</vt:lpstr>
      <vt:lpstr>v_100_XAOB</vt:lpstr>
      <vt:lpstr>v_100_XB</vt:lpstr>
      <vt:lpstr>v_100_XB_e</vt:lpstr>
      <vt:lpstr>v_100_XBSH</vt:lpstr>
      <vt:lpstr>v_100_XCaCO3</vt:lpstr>
      <vt:lpstr>v_100_XCASTO</vt:lpstr>
      <vt:lpstr>v_100_XE</vt:lpstr>
      <vt:lpstr>v_100_XE_ana</vt:lpstr>
      <vt:lpstr>v_100_XHAO_H</vt:lpstr>
      <vt:lpstr>v_100_XHAO_H_P</vt:lpstr>
      <vt:lpstr>v_100_XHAO_H_P_old</vt:lpstr>
      <vt:lpstr>v_100_XHAO_L</vt:lpstr>
      <vt:lpstr>v_100_XHAO_L_P</vt:lpstr>
      <vt:lpstr>v_100_XHAO_L_P_old</vt:lpstr>
      <vt:lpstr>v_100_XHAO_old</vt:lpstr>
      <vt:lpstr>v_100_XHFO_H</vt:lpstr>
      <vt:lpstr>v_100_XHFO_H_P</vt:lpstr>
      <vt:lpstr>v_100_XHFO_H_P_old</vt:lpstr>
      <vt:lpstr>v_100_XHFO_L</vt:lpstr>
      <vt:lpstr>v_100_XHFO_L_P</vt:lpstr>
      <vt:lpstr>v_100_XHFO_L_P_old</vt:lpstr>
      <vt:lpstr>v_100_XHFO_old</vt:lpstr>
      <vt:lpstr>v_100_XHMETO</vt:lpstr>
      <vt:lpstr>v_100_XINORG</vt:lpstr>
      <vt:lpstr>v_100_XMEOLO</vt:lpstr>
      <vt:lpstr>v_100_XN_B</vt:lpstr>
      <vt:lpstr>v_100_XN_Be</vt:lpstr>
      <vt:lpstr>v_100_XN_U</vt:lpstr>
      <vt:lpstr>v_100_XNOB</vt:lpstr>
      <vt:lpstr>v_100_XOHO</vt:lpstr>
      <vt:lpstr>v_100_XP_B</vt:lpstr>
      <vt:lpstr>v_100_XP_Be</vt:lpstr>
      <vt:lpstr>v_100_XP_U</vt:lpstr>
      <vt:lpstr>v_100_XPFOA</vt:lpstr>
      <vt:lpstr>v_100_XPFOS</vt:lpstr>
      <vt:lpstr>v_100_XPHA_GAO</vt:lpstr>
      <vt:lpstr>v_100_XPHA_PAO</vt:lpstr>
      <vt:lpstr>v_100_XPP</vt:lpstr>
      <vt:lpstr>v_100_XSTO</vt:lpstr>
      <vt:lpstr>v_100_XSTR</vt:lpstr>
      <vt:lpstr>v_100_XU</vt:lpstr>
      <vt:lpstr>v_100_XVivi</vt:lpstr>
      <vt:lpstr>v_101_CB</vt:lpstr>
      <vt:lpstr>v_101_CU</vt:lpstr>
      <vt:lpstr>v_101_GCH4</vt:lpstr>
      <vt:lpstr>v_101_GCH4_atm</vt:lpstr>
      <vt:lpstr>v_101_GCO2</vt:lpstr>
      <vt:lpstr>v_101_GCO2_atm</vt:lpstr>
      <vt:lpstr>v_101_GH2</vt:lpstr>
      <vt:lpstr>v_101_GH2_atm</vt:lpstr>
      <vt:lpstr>v_101_GN2</vt:lpstr>
      <vt:lpstr>v_101_GN2_atm</vt:lpstr>
      <vt:lpstr>v_101_GNH3</vt:lpstr>
      <vt:lpstr>v_101_GNH3_atm</vt:lpstr>
      <vt:lpstr>v_101_GO2</vt:lpstr>
      <vt:lpstr>v_101_GO2_atm</vt:lpstr>
      <vt:lpstr>v_101_SALPHA</vt:lpstr>
      <vt:lpstr>v_101_SAN</vt:lpstr>
      <vt:lpstr>v_101_SB_mono</vt:lpstr>
      <vt:lpstr>v_101_SB_poly</vt:lpstr>
      <vt:lpstr>v_101_SCa</vt:lpstr>
      <vt:lpstr>v_101_SCAT</vt:lpstr>
      <vt:lpstr>v_101_SCH4</vt:lpstr>
      <vt:lpstr>v_101_SCO2</vt:lpstr>
      <vt:lpstr>v_101_SFe2</vt:lpstr>
      <vt:lpstr>v_101_SH</vt:lpstr>
      <vt:lpstr>v_101_SH2</vt:lpstr>
      <vt:lpstr>v_101_SK</vt:lpstr>
      <vt:lpstr>v_101_SMEOL</vt:lpstr>
      <vt:lpstr>v_101_SMg</vt:lpstr>
      <vt:lpstr>v_101_SN_B</vt:lpstr>
      <vt:lpstr>v_101_SN2</vt:lpstr>
      <vt:lpstr>v_101_SNHx</vt:lpstr>
      <vt:lpstr>v_101_SNO2</vt:lpstr>
      <vt:lpstr>v_101_SNO3</vt:lpstr>
      <vt:lpstr>v_101_SO2</vt:lpstr>
      <vt:lpstr>v_101_SORPswitch</vt:lpstr>
      <vt:lpstr>v_101_SP_B</vt:lpstr>
      <vt:lpstr>v_101_SPFOA</vt:lpstr>
      <vt:lpstr>v_101_SPFOS</vt:lpstr>
      <vt:lpstr>v_101_SPO4</vt:lpstr>
      <vt:lpstr>v_101_SU</vt:lpstr>
      <vt:lpstr>v_101_SVFA</vt:lpstr>
      <vt:lpstr>v_101_XACP</vt:lpstr>
      <vt:lpstr>v_101_XAHO</vt:lpstr>
      <vt:lpstr>v_101_XALGAE</vt:lpstr>
      <vt:lpstr>v_101_XAMETO</vt:lpstr>
      <vt:lpstr>v_101_XAMX</vt:lpstr>
      <vt:lpstr>v_101_XAOB</vt:lpstr>
      <vt:lpstr>v_101_XB</vt:lpstr>
      <vt:lpstr>v_101_XB_e</vt:lpstr>
      <vt:lpstr>v_101_XBSH</vt:lpstr>
      <vt:lpstr>v_101_XCaCO3</vt:lpstr>
      <vt:lpstr>v_101_XCASTO</vt:lpstr>
      <vt:lpstr>v_101_XE</vt:lpstr>
      <vt:lpstr>v_101_XE_ana</vt:lpstr>
      <vt:lpstr>v_101_XHAO_H</vt:lpstr>
      <vt:lpstr>v_101_XHAO_H_P</vt:lpstr>
      <vt:lpstr>v_101_XHAO_H_P_old</vt:lpstr>
      <vt:lpstr>v_101_XHAO_L</vt:lpstr>
      <vt:lpstr>v_101_XHAO_L_P</vt:lpstr>
      <vt:lpstr>v_101_XHAO_L_P_old</vt:lpstr>
      <vt:lpstr>v_101_XHAO_old</vt:lpstr>
      <vt:lpstr>v_101_XHFO_H</vt:lpstr>
      <vt:lpstr>v_101_XHFO_H_P</vt:lpstr>
      <vt:lpstr>v_101_XHFO_H_P_old</vt:lpstr>
      <vt:lpstr>v_101_XHFO_L</vt:lpstr>
      <vt:lpstr>v_101_XHFO_L_P</vt:lpstr>
      <vt:lpstr>v_101_XHFO_L_P_old</vt:lpstr>
      <vt:lpstr>v_101_XHFO_old</vt:lpstr>
      <vt:lpstr>v_101_XHMETO</vt:lpstr>
      <vt:lpstr>v_101_XINORG</vt:lpstr>
      <vt:lpstr>v_101_XMEOLO</vt:lpstr>
      <vt:lpstr>v_101_XN_B</vt:lpstr>
      <vt:lpstr>v_101_XN_Be</vt:lpstr>
      <vt:lpstr>v_101_XN_U</vt:lpstr>
      <vt:lpstr>v_101_XNOB</vt:lpstr>
      <vt:lpstr>v_101_XOHO</vt:lpstr>
      <vt:lpstr>v_101_XP_B</vt:lpstr>
      <vt:lpstr>v_101_XP_Be</vt:lpstr>
      <vt:lpstr>v_101_XP_U</vt:lpstr>
      <vt:lpstr>v_101_XPFOA</vt:lpstr>
      <vt:lpstr>v_101_XPFOS</vt:lpstr>
      <vt:lpstr>v_101_XPHA_GAO</vt:lpstr>
      <vt:lpstr>v_101_XPHA_PAO</vt:lpstr>
      <vt:lpstr>v_101_XPP</vt:lpstr>
      <vt:lpstr>v_101_XSTO</vt:lpstr>
      <vt:lpstr>v_101_XSTR</vt:lpstr>
      <vt:lpstr>v_101_XU</vt:lpstr>
      <vt:lpstr>v_101_XVivi</vt:lpstr>
      <vt:lpstr>v_102_CB</vt:lpstr>
      <vt:lpstr>v_102_CU</vt:lpstr>
      <vt:lpstr>v_102_GCH4</vt:lpstr>
      <vt:lpstr>v_102_GCH4_atm</vt:lpstr>
      <vt:lpstr>v_102_GCO2</vt:lpstr>
      <vt:lpstr>v_102_GCO2_atm</vt:lpstr>
      <vt:lpstr>v_102_GH2</vt:lpstr>
      <vt:lpstr>v_102_GH2_atm</vt:lpstr>
      <vt:lpstr>v_102_GN2</vt:lpstr>
      <vt:lpstr>v_102_GN2_atm</vt:lpstr>
      <vt:lpstr>v_102_GNH3</vt:lpstr>
      <vt:lpstr>v_102_GNH3_atm</vt:lpstr>
      <vt:lpstr>v_102_GO2</vt:lpstr>
      <vt:lpstr>v_102_GO2_atm</vt:lpstr>
      <vt:lpstr>v_102_SALPHA</vt:lpstr>
      <vt:lpstr>v_102_SAN</vt:lpstr>
      <vt:lpstr>v_102_SB_mono</vt:lpstr>
      <vt:lpstr>v_102_SB_poly</vt:lpstr>
      <vt:lpstr>v_102_SCa</vt:lpstr>
      <vt:lpstr>v_102_SCAT</vt:lpstr>
      <vt:lpstr>v_102_SCH4</vt:lpstr>
      <vt:lpstr>v_102_SCO2</vt:lpstr>
      <vt:lpstr>v_102_SFe2</vt:lpstr>
      <vt:lpstr>v_102_SH</vt:lpstr>
      <vt:lpstr>v_102_SH2</vt:lpstr>
      <vt:lpstr>v_102_SK</vt:lpstr>
      <vt:lpstr>v_102_SMEOL</vt:lpstr>
      <vt:lpstr>v_102_SMg</vt:lpstr>
      <vt:lpstr>v_102_SN_B</vt:lpstr>
      <vt:lpstr>v_102_SN2</vt:lpstr>
      <vt:lpstr>v_102_SNHx</vt:lpstr>
      <vt:lpstr>v_102_SNO2</vt:lpstr>
      <vt:lpstr>v_102_SNO3</vt:lpstr>
      <vt:lpstr>v_102_SO2</vt:lpstr>
      <vt:lpstr>v_102_SORPswitch</vt:lpstr>
      <vt:lpstr>v_102_SP_B</vt:lpstr>
      <vt:lpstr>v_102_SPFOA</vt:lpstr>
      <vt:lpstr>v_102_SPFOS</vt:lpstr>
      <vt:lpstr>v_102_SPO4</vt:lpstr>
      <vt:lpstr>v_102_SU</vt:lpstr>
      <vt:lpstr>v_102_SVFA</vt:lpstr>
      <vt:lpstr>v_102_XACP</vt:lpstr>
      <vt:lpstr>v_102_XAHO</vt:lpstr>
      <vt:lpstr>v_102_XALGAE</vt:lpstr>
      <vt:lpstr>v_102_XAMETO</vt:lpstr>
      <vt:lpstr>v_102_XAMX</vt:lpstr>
      <vt:lpstr>v_102_XAOB</vt:lpstr>
      <vt:lpstr>v_102_XB</vt:lpstr>
      <vt:lpstr>v_102_XB_e</vt:lpstr>
      <vt:lpstr>v_102_XBSH</vt:lpstr>
      <vt:lpstr>v_102_XCaCO3</vt:lpstr>
      <vt:lpstr>v_102_XCASTO</vt:lpstr>
      <vt:lpstr>v_102_XE</vt:lpstr>
      <vt:lpstr>v_102_XE_ana</vt:lpstr>
      <vt:lpstr>v_102_XHAO_H</vt:lpstr>
      <vt:lpstr>v_102_XHAO_H_P</vt:lpstr>
      <vt:lpstr>v_102_XHAO_H_P_old</vt:lpstr>
      <vt:lpstr>v_102_XHAO_L</vt:lpstr>
      <vt:lpstr>v_102_XHAO_L_P</vt:lpstr>
      <vt:lpstr>v_102_XHAO_L_P_old</vt:lpstr>
      <vt:lpstr>v_102_XHAO_old</vt:lpstr>
      <vt:lpstr>v_102_XHFO_H</vt:lpstr>
      <vt:lpstr>v_102_XHFO_H_P</vt:lpstr>
      <vt:lpstr>v_102_XHFO_H_P_old</vt:lpstr>
      <vt:lpstr>v_102_XHFO_L</vt:lpstr>
      <vt:lpstr>v_102_XHFO_L_P</vt:lpstr>
      <vt:lpstr>v_102_XHFO_L_P_old</vt:lpstr>
      <vt:lpstr>v_102_XHFO_old</vt:lpstr>
      <vt:lpstr>v_102_XHMETO</vt:lpstr>
      <vt:lpstr>v_102_XINORG</vt:lpstr>
      <vt:lpstr>v_102_XMEOLO</vt:lpstr>
      <vt:lpstr>v_102_XN_B</vt:lpstr>
      <vt:lpstr>v_102_XN_Be</vt:lpstr>
      <vt:lpstr>v_102_XN_U</vt:lpstr>
      <vt:lpstr>v_102_XNOB</vt:lpstr>
      <vt:lpstr>v_102_XOHO</vt:lpstr>
      <vt:lpstr>v_102_XP_B</vt:lpstr>
      <vt:lpstr>v_102_XP_Be</vt:lpstr>
      <vt:lpstr>v_102_XP_U</vt:lpstr>
      <vt:lpstr>v_102_XPFOA</vt:lpstr>
      <vt:lpstr>v_102_XPFOS</vt:lpstr>
      <vt:lpstr>v_102_XPHA_GAO</vt:lpstr>
      <vt:lpstr>v_102_XPHA_PAO</vt:lpstr>
      <vt:lpstr>v_102_XPP</vt:lpstr>
      <vt:lpstr>v_102_XSTO</vt:lpstr>
      <vt:lpstr>v_102_XSTR</vt:lpstr>
      <vt:lpstr>v_102_XU</vt:lpstr>
      <vt:lpstr>v_102_XVivi</vt:lpstr>
      <vt:lpstr>v_103_CB</vt:lpstr>
      <vt:lpstr>v_103_CU</vt:lpstr>
      <vt:lpstr>v_103_GCH4</vt:lpstr>
      <vt:lpstr>v_103_GCH4_atm</vt:lpstr>
      <vt:lpstr>v_103_GCO2</vt:lpstr>
      <vt:lpstr>v_103_GCO2_atm</vt:lpstr>
      <vt:lpstr>v_103_GH2</vt:lpstr>
      <vt:lpstr>v_103_GH2_atm</vt:lpstr>
      <vt:lpstr>v_103_GN2</vt:lpstr>
      <vt:lpstr>v_103_GN2_atm</vt:lpstr>
      <vt:lpstr>v_103_GNH3</vt:lpstr>
      <vt:lpstr>v_103_GNH3_atm</vt:lpstr>
      <vt:lpstr>v_103_GO2</vt:lpstr>
      <vt:lpstr>v_103_GO2_atm</vt:lpstr>
      <vt:lpstr>v_103_SALPHA</vt:lpstr>
      <vt:lpstr>v_103_SAN</vt:lpstr>
      <vt:lpstr>v_103_SB_mono</vt:lpstr>
      <vt:lpstr>v_103_SB_poly</vt:lpstr>
      <vt:lpstr>v_103_SCa</vt:lpstr>
      <vt:lpstr>v_103_SCAT</vt:lpstr>
      <vt:lpstr>v_103_SCH4</vt:lpstr>
      <vt:lpstr>v_103_SCO2</vt:lpstr>
      <vt:lpstr>v_103_SFe2</vt:lpstr>
      <vt:lpstr>v_103_SH</vt:lpstr>
      <vt:lpstr>v_103_SH2</vt:lpstr>
      <vt:lpstr>v_103_SK</vt:lpstr>
      <vt:lpstr>v_103_SMEOL</vt:lpstr>
      <vt:lpstr>v_103_SMg</vt:lpstr>
      <vt:lpstr>v_103_SN_B</vt:lpstr>
      <vt:lpstr>v_103_SN2</vt:lpstr>
      <vt:lpstr>v_103_SNHx</vt:lpstr>
      <vt:lpstr>v_103_SNO2</vt:lpstr>
      <vt:lpstr>v_103_SNO3</vt:lpstr>
      <vt:lpstr>v_103_SO2</vt:lpstr>
      <vt:lpstr>v_103_SORPswitch</vt:lpstr>
      <vt:lpstr>v_103_SP_B</vt:lpstr>
      <vt:lpstr>v_103_SPFOA</vt:lpstr>
      <vt:lpstr>v_103_SPFOS</vt:lpstr>
      <vt:lpstr>v_103_SPO4</vt:lpstr>
      <vt:lpstr>v_103_SU</vt:lpstr>
      <vt:lpstr>v_103_SVFA</vt:lpstr>
      <vt:lpstr>v_103_XACP</vt:lpstr>
      <vt:lpstr>v_103_XAHO</vt:lpstr>
      <vt:lpstr>v_103_XALGAE</vt:lpstr>
      <vt:lpstr>v_103_XAMETO</vt:lpstr>
      <vt:lpstr>v_103_XAMX</vt:lpstr>
      <vt:lpstr>v_103_XAOB</vt:lpstr>
      <vt:lpstr>v_103_XB</vt:lpstr>
      <vt:lpstr>v_103_XB_e</vt:lpstr>
      <vt:lpstr>v_103_XBSH</vt:lpstr>
      <vt:lpstr>v_103_XCaCO3</vt:lpstr>
      <vt:lpstr>v_103_XCASTO</vt:lpstr>
      <vt:lpstr>v_103_XE</vt:lpstr>
      <vt:lpstr>v_103_XE_ana</vt:lpstr>
      <vt:lpstr>v_103_XHAO_H</vt:lpstr>
      <vt:lpstr>v_103_XHAO_H_P</vt:lpstr>
      <vt:lpstr>v_103_XHAO_H_P_old</vt:lpstr>
      <vt:lpstr>v_103_XHAO_L</vt:lpstr>
      <vt:lpstr>v_103_XHAO_L_P</vt:lpstr>
      <vt:lpstr>v_103_XHAO_L_P_old</vt:lpstr>
      <vt:lpstr>v_103_XHAO_old</vt:lpstr>
      <vt:lpstr>v_103_XHFO_H</vt:lpstr>
      <vt:lpstr>v_103_XHFO_H_P</vt:lpstr>
      <vt:lpstr>v_103_XHFO_H_P_old</vt:lpstr>
      <vt:lpstr>v_103_XHFO_L</vt:lpstr>
      <vt:lpstr>v_103_XHFO_L_P</vt:lpstr>
      <vt:lpstr>v_103_XHFO_L_P_old</vt:lpstr>
      <vt:lpstr>v_103_XHFO_old</vt:lpstr>
      <vt:lpstr>v_103_XHMETO</vt:lpstr>
      <vt:lpstr>v_103_XINORG</vt:lpstr>
      <vt:lpstr>v_103_XMEOLO</vt:lpstr>
      <vt:lpstr>v_103_XN_B</vt:lpstr>
      <vt:lpstr>v_103_XN_Be</vt:lpstr>
      <vt:lpstr>v_103_XN_U</vt:lpstr>
      <vt:lpstr>v_103_XNOB</vt:lpstr>
      <vt:lpstr>v_103_XOHO</vt:lpstr>
      <vt:lpstr>v_103_XP_B</vt:lpstr>
      <vt:lpstr>v_103_XP_Be</vt:lpstr>
      <vt:lpstr>v_103_XP_U</vt:lpstr>
      <vt:lpstr>v_103_XPFOA</vt:lpstr>
      <vt:lpstr>v_103_XPFOS</vt:lpstr>
      <vt:lpstr>v_103_XPHA_GAO</vt:lpstr>
      <vt:lpstr>v_103_XPHA_PAO</vt:lpstr>
      <vt:lpstr>v_103_XPP</vt:lpstr>
      <vt:lpstr>v_103_XSTO</vt:lpstr>
      <vt:lpstr>v_103_XSTR</vt:lpstr>
      <vt:lpstr>v_103_XU</vt:lpstr>
      <vt:lpstr>v_103_XVivi</vt:lpstr>
      <vt:lpstr>v_104_CB</vt:lpstr>
      <vt:lpstr>v_104_CU</vt:lpstr>
      <vt:lpstr>v_104_GCH4</vt:lpstr>
      <vt:lpstr>v_104_GCH4_atm</vt:lpstr>
      <vt:lpstr>v_104_GCO2</vt:lpstr>
      <vt:lpstr>v_104_GCO2_atm</vt:lpstr>
      <vt:lpstr>v_104_GH2</vt:lpstr>
      <vt:lpstr>v_104_GH2_atm</vt:lpstr>
      <vt:lpstr>v_104_GN2</vt:lpstr>
      <vt:lpstr>v_104_GN2_atm</vt:lpstr>
      <vt:lpstr>v_104_GNH3</vt:lpstr>
      <vt:lpstr>v_104_GNH3_atm</vt:lpstr>
      <vt:lpstr>v_104_GO2</vt:lpstr>
      <vt:lpstr>v_104_GO2_atm</vt:lpstr>
      <vt:lpstr>v_104_SALPHA</vt:lpstr>
      <vt:lpstr>v_104_SAN</vt:lpstr>
      <vt:lpstr>v_104_SB_mono</vt:lpstr>
      <vt:lpstr>v_104_SB_poly</vt:lpstr>
      <vt:lpstr>v_104_SCa</vt:lpstr>
      <vt:lpstr>v_104_SCAT</vt:lpstr>
      <vt:lpstr>v_104_SCH4</vt:lpstr>
      <vt:lpstr>v_104_SCO2</vt:lpstr>
      <vt:lpstr>v_104_SFe2</vt:lpstr>
      <vt:lpstr>v_104_SH</vt:lpstr>
      <vt:lpstr>v_104_SH2</vt:lpstr>
      <vt:lpstr>v_104_SK</vt:lpstr>
      <vt:lpstr>v_104_SMEOL</vt:lpstr>
      <vt:lpstr>v_104_SMg</vt:lpstr>
      <vt:lpstr>v_104_SN_B</vt:lpstr>
      <vt:lpstr>v_104_SN2</vt:lpstr>
      <vt:lpstr>v_104_SNHx</vt:lpstr>
      <vt:lpstr>v_104_SNO2</vt:lpstr>
      <vt:lpstr>v_104_SNO3</vt:lpstr>
      <vt:lpstr>v_104_SO2</vt:lpstr>
      <vt:lpstr>v_104_SORPswitch</vt:lpstr>
      <vt:lpstr>v_104_SP_B</vt:lpstr>
      <vt:lpstr>v_104_SPFOA</vt:lpstr>
      <vt:lpstr>v_104_SPFOS</vt:lpstr>
      <vt:lpstr>v_104_SPO4</vt:lpstr>
      <vt:lpstr>v_104_SU</vt:lpstr>
      <vt:lpstr>v_104_SVFA</vt:lpstr>
      <vt:lpstr>v_104_XACP</vt:lpstr>
      <vt:lpstr>v_104_XAHO</vt:lpstr>
      <vt:lpstr>v_104_XALGAE</vt:lpstr>
      <vt:lpstr>v_104_XAMETO</vt:lpstr>
      <vt:lpstr>v_104_XAMX</vt:lpstr>
      <vt:lpstr>v_104_XAOB</vt:lpstr>
      <vt:lpstr>v_104_XB</vt:lpstr>
      <vt:lpstr>v_104_XB_e</vt:lpstr>
      <vt:lpstr>v_104_XBSH</vt:lpstr>
      <vt:lpstr>v_104_XCaCO3</vt:lpstr>
      <vt:lpstr>v_104_XCASTO</vt:lpstr>
      <vt:lpstr>v_104_XE</vt:lpstr>
      <vt:lpstr>v_104_XE_ana</vt:lpstr>
      <vt:lpstr>v_104_XHAO_H</vt:lpstr>
      <vt:lpstr>v_104_XHAO_H_P</vt:lpstr>
      <vt:lpstr>v_104_XHAO_H_P_old</vt:lpstr>
      <vt:lpstr>v_104_XHAO_L</vt:lpstr>
      <vt:lpstr>v_104_XHAO_L_P</vt:lpstr>
      <vt:lpstr>v_104_XHAO_L_P_old</vt:lpstr>
      <vt:lpstr>v_104_XHAO_old</vt:lpstr>
      <vt:lpstr>v_104_XHFO_H</vt:lpstr>
      <vt:lpstr>v_104_XHFO_H_P</vt:lpstr>
      <vt:lpstr>v_104_XHFO_H_P_old</vt:lpstr>
      <vt:lpstr>v_104_XHFO_L</vt:lpstr>
      <vt:lpstr>v_104_XHFO_L_P</vt:lpstr>
      <vt:lpstr>v_104_XHFO_L_P_old</vt:lpstr>
      <vt:lpstr>v_104_XHFO_old</vt:lpstr>
      <vt:lpstr>v_104_XHMETO</vt:lpstr>
      <vt:lpstr>v_104_XINORG</vt:lpstr>
      <vt:lpstr>v_104_XMEOLO</vt:lpstr>
      <vt:lpstr>v_104_XN_B</vt:lpstr>
      <vt:lpstr>v_104_XN_Be</vt:lpstr>
      <vt:lpstr>v_104_XN_U</vt:lpstr>
      <vt:lpstr>v_104_XNOB</vt:lpstr>
      <vt:lpstr>v_104_XOHO</vt:lpstr>
      <vt:lpstr>v_104_XP_B</vt:lpstr>
      <vt:lpstr>v_104_XP_Be</vt:lpstr>
      <vt:lpstr>v_104_XP_U</vt:lpstr>
      <vt:lpstr>v_104_XPFOA</vt:lpstr>
      <vt:lpstr>v_104_XPFOS</vt:lpstr>
      <vt:lpstr>v_104_XPHA_GAO</vt:lpstr>
      <vt:lpstr>v_104_XPHA_PAO</vt:lpstr>
      <vt:lpstr>v_104_XPP</vt:lpstr>
      <vt:lpstr>v_104_XSTO</vt:lpstr>
      <vt:lpstr>v_104_XSTR</vt:lpstr>
      <vt:lpstr>v_104_XU</vt:lpstr>
      <vt:lpstr>v_104_XVivi</vt:lpstr>
      <vt:lpstr>v_105_CB</vt:lpstr>
      <vt:lpstr>v_105_CU</vt:lpstr>
      <vt:lpstr>v_105_GCH4</vt:lpstr>
      <vt:lpstr>v_105_GCH4_atm</vt:lpstr>
      <vt:lpstr>v_105_GCO2</vt:lpstr>
      <vt:lpstr>v_105_GCO2_atm</vt:lpstr>
      <vt:lpstr>v_105_GH2</vt:lpstr>
      <vt:lpstr>v_105_GH2_atm</vt:lpstr>
      <vt:lpstr>v_105_GN2</vt:lpstr>
      <vt:lpstr>v_105_GN2_atm</vt:lpstr>
      <vt:lpstr>v_105_GNH3</vt:lpstr>
      <vt:lpstr>v_105_GNH3_atm</vt:lpstr>
      <vt:lpstr>v_105_GO2</vt:lpstr>
      <vt:lpstr>v_105_GO2_atm</vt:lpstr>
      <vt:lpstr>v_105_SALPHA</vt:lpstr>
      <vt:lpstr>v_105_SAN</vt:lpstr>
      <vt:lpstr>v_105_SB_mono</vt:lpstr>
      <vt:lpstr>v_105_SB_poly</vt:lpstr>
      <vt:lpstr>v_105_SCa</vt:lpstr>
      <vt:lpstr>v_105_SCAT</vt:lpstr>
      <vt:lpstr>v_105_SCH4</vt:lpstr>
      <vt:lpstr>v_105_SCO2</vt:lpstr>
      <vt:lpstr>v_105_SFe2</vt:lpstr>
      <vt:lpstr>v_105_SH</vt:lpstr>
      <vt:lpstr>v_105_SH2</vt:lpstr>
      <vt:lpstr>v_105_SK</vt:lpstr>
      <vt:lpstr>v_105_SMEOL</vt:lpstr>
      <vt:lpstr>v_105_SMg</vt:lpstr>
      <vt:lpstr>v_105_SN_B</vt:lpstr>
      <vt:lpstr>v_105_SN2</vt:lpstr>
      <vt:lpstr>v_105_SNHx</vt:lpstr>
      <vt:lpstr>v_105_SNO2</vt:lpstr>
      <vt:lpstr>v_105_SNO3</vt:lpstr>
      <vt:lpstr>v_105_SO2</vt:lpstr>
      <vt:lpstr>v_105_SORPswitch</vt:lpstr>
      <vt:lpstr>v_105_SP_B</vt:lpstr>
      <vt:lpstr>v_105_SPFOA</vt:lpstr>
      <vt:lpstr>v_105_SPFOS</vt:lpstr>
      <vt:lpstr>v_105_SPO4</vt:lpstr>
      <vt:lpstr>v_105_SU</vt:lpstr>
      <vt:lpstr>v_105_SVFA</vt:lpstr>
      <vt:lpstr>v_105_XACP</vt:lpstr>
      <vt:lpstr>v_105_XAHO</vt:lpstr>
      <vt:lpstr>v_105_XALGAE</vt:lpstr>
      <vt:lpstr>v_105_XAMETO</vt:lpstr>
      <vt:lpstr>v_105_XAMX</vt:lpstr>
      <vt:lpstr>v_105_XAOB</vt:lpstr>
      <vt:lpstr>v_105_XB</vt:lpstr>
      <vt:lpstr>v_105_XB_e</vt:lpstr>
      <vt:lpstr>v_105_XBSH</vt:lpstr>
      <vt:lpstr>v_105_XCaCO3</vt:lpstr>
      <vt:lpstr>v_105_XCASTO</vt:lpstr>
      <vt:lpstr>v_105_XE</vt:lpstr>
      <vt:lpstr>v_105_XE_ana</vt:lpstr>
      <vt:lpstr>v_105_XHAO_H</vt:lpstr>
      <vt:lpstr>v_105_XHAO_H_P</vt:lpstr>
      <vt:lpstr>v_105_XHAO_H_P_old</vt:lpstr>
      <vt:lpstr>v_105_XHAO_L</vt:lpstr>
      <vt:lpstr>v_105_XHAO_L_P</vt:lpstr>
      <vt:lpstr>v_105_XHAO_L_P_old</vt:lpstr>
      <vt:lpstr>v_105_XHAO_old</vt:lpstr>
      <vt:lpstr>v_105_XHFO_H</vt:lpstr>
      <vt:lpstr>v_105_XHFO_H_P</vt:lpstr>
      <vt:lpstr>v_105_XHFO_H_P_old</vt:lpstr>
      <vt:lpstr>v_105_XHFO_L</vt:lpstr>
      <vt:lpstr>v_105_XHFO_L_P</vt:lpstr>
      <vt:lpstr>v_105_XHFO_L_P_old</vt:lpstr>
      <vt:lpstr>v_105_XHFO_old</vt:lpstr>
      <vt:lpstr>v_105_XHMETO</vt:lpstr>
      <vt:lpstr>v_105_XINORG</vt:lpstr>
      <vt:lpstr>v_105_XMEOLO</vt:lpstr>
      <vt:lpstr>v_105_XN_B</vt:lpstr>
      <vt:lpstr>v_105_XN_Be</vt:lpstr>
      <vt:lpstr>v_105_XN_U</vt:lpstr>
      <vt:lpstr>v_105_XNOB</vt:lpstr>
      <vt:lpstr>v_105_XOHO</vt:lpstr>
      <vt:lpstr>v_105_XP_B</vt:lpstr>
      <vt:lpstr>v_105_XP_Be</vt:lpstr>
      <vt:lpstr>v_105_XP_U</vt:lpstr>
      <vt:lpstr>v_105_XPFOA</vt:lpstr>
      <vt:lpstr>v_105_XPFOS</vt:lpstr>
      <vt:lpstr>v_105_XPHA_GAO</vt:lpstr>
      <vt:lpstr>v_105_XPHA_PAO</vt:lpstr>
      <vt:lpstr>v_105_XPP</vt:lpstr>
      <vt:lpstr>v_105_XSTO</vt:lpstr>
      <vt:lpstr>v_105_XSTR</vt:lpstr>
      <vt:lpstr>v_105_XU</vt:lpstr>
      <vt:lpstr>v_105_XVivi</vt:lpstr>
      <vt:lpstr>v_106_CB</vt:lpstr>
      <vt:lpstr>v_106_CU</vt:lpstr>
      <vt:lpstr>v_106_GCH4</vt:lpstr>
      <vt:lpstr>v_106_GCH4_atm</vt:lpstr>
      <vt:lpstr>v_106_GCO2</vt:lpstr>
      <vt:lpstr>v_106_GCO2_atm</vt:lpstr>
      <vt:lpstr>v_106_GH2</vt:lpstr>
      <vt:lpstr>v_106_GH2_atm</vt:lpstr>
      <vt:lpstr>v_106_GN2</vt:lpstr>
      <vt:lpstr>v_106_GN2_atm</vt:lpstr>
      <vt:lpstr>v_106_GNH3</vt:lpstr>
      <vt:lpstr>v_106_GNH3_atm</vt:lpstr>
      <vt:lpstr>v_106_GO2</vt:lpstr>
      <vt:lpstr>v_106_GO2_atm</vt:lpstr>
      <vt:lpstr>v_106_SALPHA</vt:lpstr>
      <vt:lpstr>v_106_SAN</vt:lpstr>
      <vt:lpstr>v_106_SB_mono</vt:lpstr>
      <vt:lpstr>v_106_SB_poly</vt:lpstr>
      <vt:lpstr>v_106_SCa</vt:lpstr>
      <vt:lpstr>v_106_SCAT</vt:lpstr>
      <vt:lpstr>v_106_SCH4</vt:lpstr>
      <vt:lpstr>v_106_SCO2</vt:lpstr>
      <vt:lpstr>v_106_SFe2</vt:lpstr>
      <vt:lpstr>v_106_SH</vt:lpstr>
      <vt:lpstr>v_106_SH2</vt:lpstr>
      <vt:lpstr>v_106_SK</vt:lpstr>
      <vt:lpstr>v_106_SMEOL</vt:lpstr>
      <vt:lpstr>v_106_SMg</vt:lpstr>
      <vt:lpstr>v_106_SN_B</vt:lpstr>
      <vt:lpstr>v_106_SN2</vt:lpstr>
      <vt:lpstr>v_106_SNHx</vt:lpstr>
      <vt:lpstr>v_106_SNO2</vt:lpstr>
      <vt:lpstr>v_106_SNO3</vt:lpstr>
      <vt:lpstr>v_106_SO2</vt:lpstr>
      <vt:lpstr>v_106_SORPswitch</vt:lpstr>
      <vt:lpstr>v_106_SP_B</vt:lpstr>
      <vt:lpstr>v_106_SPFOA</vt:lpstr>
      <vt:lpstr>v_106_SPFOS</vt:lpstr>
      <vt:lpstr>v_106_SPO4</vt:lpstr>
      <vt:lpstr>v_106_SU</vt:lpstr>
      <vt:lpstr>v_106_SVFA</vt:lpstr>
      <vt:lpstr>v_106_XACP</vt:lpstr>
      <vt:lpstr>v_106_XAHO</vt:lpstr>
      <vt:lpstr>v_106_XALGAE</vt:lpstr>
      <vt:lpstr>v_106_XAMETO</vt:lpstr>
      <vt:lpstr>v_106_XAMX</vt:lpstr>
      <vt:lpstr>v_106_XAOB</vt:lpstr>
      <vt:lpstr>v_106_XB</vt:lpstr>
      <vt:lpstr>v_106_XB_e</vt:lpstr>
      <vt:lpstr>v_106_XBSH</vt:lpstr>
      <vt:lpstr>v_106_XCaCO3</vt:lpstr>
      <vt:lpstr>v_106_XCASTO</vt:lpstr>
      <vt:lpstr>v_106_XE</vt:lpstr>
      <vt:lpstr>v_106_XE_ana</vt:lpstr>
      <vt:lpstr>v_106_XHAO_H</vt:lpstr>
      <vt:lpstr>v_106_XHAO_H_P</vt:lpstr>
      <vt:lpstr>v_106_XHAO_H_P_old</vt:lpstr>
      <vt:lpstr>v_106_XHAO_L</vt:lpstr>
      <vt:lpstr>v_106_XHAO_L_P</vt:lpstr>
      <vt:lpstr>v_106_XHAO_L_P_old</vt:lpstr>
      <vt:lpstr>v_106_XHAO_old</vt:lpstr>
      <vt:lpstr>v_106_XHFO_H</vt:lpstr>
      <vt:lpstr>v_106_XHFO_H_P</vt:lpstr>
      <vt:lpstr>v_106_XHFO_H_P_old</vt:lpstr>
      <vt:lpstr>v_106_XHFO_L</vt:lpstr>
      <vt:lpstr>v_106_XHFO_L_P</vt:lpstr>
      <vt:lpstr>v_106_XHFO_L_P_old</vt:lpstr>
      <vt:lpstr>v_106_XHFO_old</vt:lpstr>
      <vt:lpstr>v_106_XHMETO</vt:lpstr>
      <vt:lpstr>v_106_XINORG</vt:lpstr>
      <vt:lpstr>v_106_XMEOLO</vt:lpstr>
      <vt:lpstr>v_106_XN_B</vt:lpstr>
      <vt:lpstr>v_106_XN_Be</vt:lpstr>
      <vt:lpstr>v_106_XN_U</vt:lpstr>
      <vt:lpstr>v_106_XNOB</vt:lpstr>
      <vt:lpstr>v_106_XOHO</vt:lpstr>
      <vt:lpstr>v_106_XP_B</vt:lpstr>
      <vt:lpstr>v_106_XP_Be</vt:lpstr>
      <vt:lpstr>v_106_XP_U</vt:lpstr>
      <vt:lpstr>v_106_XPFOA</vt:lpstr>
      <vt:lpstr>v_106_XPFOS</vt:lpstr>
      <vt:lpstr>v_106_XPHA_GAO</vt:lpstr>
      <vt:lpstr>v_106_XPHA_PAO</vt:lpstr>
      <vt:lpstr>v_106_XPP</vt:lpstr>
      <vt:lpstr>v_106_XSTO</vt:lpstr>
      <vt:lpstr>v_106_XSTR</vt:lpstr>
      <vt:lpstr>v_106_XU</vt:lpstr>
      <vt:lpstr>v_106_XVivi</vt:lpstr>
      <vt:lpstr>v_107_CB</vt:lpstr>
      <vt:lpstr>v_107_CU</vt:lpstr>
      <vt:lpstr>v_107_GCH4</vt:lpstr>
      <vt:lpstr>v_107_GCH4_atm</vt:lpstr>
      <vt:lpstr>v_107_GCO2</vt:lpstr>
      <vt:lpstr>v_107_GCO2_atm</vt:lpstr>
      <vt:lpstr>v_107_GH2</vt:lpstr>
      <vt:lpstr>v_107_GH2_atm</vt:lpstr>
      <vt:lpstr>v_107_GN2</vt:lpstr>
      <vt:lpstr>v_107_GN2_atm</vt:lpstr>
      <vt:lpstr>v_107_GNH3</vt:lpstr>
      <vt:lpstr>v_107_GNH3_atm</vt:lpstr>
      <vt:lpstr>v_107_GO2</vt:lpstr>
      <vt:lpstr>v_107_GO2_atm</vt:lpstr>
      <vt:lpstr>v_107_SALPHA</vt:lpstr>
      <vt:lpstr>v_107_SAN</vt:lpstr>
      <vt:lpstr>v_107_SB_mono</vt:lpstr>
      <vt:lpstr>v_107_SB_poly</vt:lpstr>
      <vt:lpstr>v_107_SCa</vt:lpstr>
      <vt:lpstr>v_107_SCAT</vt:lpstr>
      <vt:lpstr>v_107_SCH4</vt:lpstr>
      <vt:lpstr>v_107_SCO2</vt:lpstr>
      <vt:lpstr>v_107_SFe2</vt:lpstr>
      <vt:lpstr>v_107_SH</vt:lpstr>
      <vt:lpstr>v_107_SH2</vt:lpstr>
      <vt:lpstr>v_107_SK</vt:lpstr>
      <vt:lpstr>v_107_SMEOL</vt:lpstr>
      <vt:lpstr>v_107_SMg</vt:lpstr>
      <vt:lpstr>v_107_SN_B</vt:lpstr>
      <vt:lpstr>v_107_SN2</vt:lpstr>
      <vt:lpstr>v_107_SNHx</vt:lpstr>
      <vt:lpstr>v_107_SNO2</vt:lpstr>
      <vt:lpstr>v_107_SNO3</vt:lpstr>
      <vt:lpstr>v_107_SO2</vt:lpstr>
      <vt:lpstr>v_107_SORPswitch</vt:lpstr>
      <vt:lpstr>v_107_SP_B</vt:lpstr>
      <vt:lpstr>v_107_SPFOA</vt:lpstr>
      <vt:lpstr>v_107_SPFOS</vt:lpstr>
      <vt:lpstr>v_107_SPO4</vt:lpstr>
      <vt:lpstr>v_107_SU</vt:lpstr>
      <vt:lpstr>v_107_SVFA</vt:lpstr>
      <vt:lpstr>v_107_XACP</vt:lpstr>
      <vt:lpstr>v_107_XAHO</vt:lpstr>
      <vt:lpstr>v_107_XALGAE</vt:lpstr>
      <vt:lpstr>v_107_XAMETO</vt:lpstr>
      <vt:lpstr>v_107_XAMX</vt:lpstr>
      <vt:lpstr>v_107_XAOB</vt:lpstr>
      <vt:lpstr>v_107_XB</vt:lpstr>
      <vt:lpstr>v_107_XB_e</vt:lpstr>
      <vt:lpstr>v_107_XBSH</vt:lpstr>
      <vt:lpstr>v_107_XCaCO3</vt:lpstr>
      <vt:lpstr>v_107_XCASTO</vt:lpstr>
      <vt:lpstr>v_107_XE</vt:lpstr>
      <vt:lpstr>v_107_XE_ana</vt:lpstr>
      <vt:lpstr>v_107_XHAO_H</vt:lpstr>
      <vt:lpstr>v_107_XHAO_H_P</vt:lpstr>
      <vt:lpstr>v_107_XHAO_H_P_old</vt:lpstr>
      <vt:lpstr>v_107_XHAO_L</vt:lpstr>
      <vt:lpstr>v_107_XHAO_L_P</vt:lpstr>
      <vt:lpstr>v_107_XHAO_L_P_old</vt:lpstr>
      <vt:lpstr>v_107_XHAO_old</vt:lpstr>
      <vt:lpstr>v_107_XHFO_H</vt:lpstr>
      <vt:lpstr>v_107_XHFO_H_P</vt:lpstr>
      <vt:lpstr>v_107_XHFO_H_P_old</vt:lpstr>
      <vt:lpstr>v_107_XHFO_L</vt:lpstr>
      <vt:lpstr>v_107_XHFO_L_P</vt:lpstr>
      <vt:lpstr>v_107_XHFO_L_P_old</vt:lpstr>
      <vt:lpstr>v_107_XHFO_old</vt:lpstr>
      <vt:lpstr>v_107_XHMETO</vt:lpstr>
      <vt:lpstr>v_107_XINORG</vt:lpstr>
      <vt:lpstr>v_107_XMEOLO</vt:lpstr>
      <vt:lpstr>v_107_XN_B</vt:lpstr>
      <vt:lpstr>v_107_XN_Be</vt:lpstr>
      <vt:lpstr>v_107_XN_U</vt:lpstr>
      <vt:lpstr>v_107_XNOB</vt:lpstr>
      <vt:lpstr>v_107_XOHO</vt:lpstr>
      <vt:lpstr>v_107_XP_B</vt:lpstr>
      <vt:lpstr>v_107_XP_Be</vt:lpstr>
      <vt:lpstr>v_107_XP_U</vt:lpstr>
      <vt:lpstr>v_107_XPFOA</vt:lpstr>
      <vt:lpstr>v_107_XPFOS</vt:lpstr>
      <vt:lpstr>v_107_XPHA_GAO</vt:lpstr>
      <vt:lpstr>v_107_XPHA_PAO</vt:lpstr>
      <vt:lpstr>v_107_XPP</vt:lpstr>
      <vt:lpstr>v_107_XSTO</vt:lpstr>
      <vt:lpstr>v_107_XSTR</vt:lpstr>
      <vt:lpstr>v_107_XU</vt:lpstr>
      <vt:lpstr>v_107_XVivi</vt:lpstr>
      <vt:lpstr>v_108_CB</vt:lpstr>
      <vt:lpstr>v_108_CU</vt:lpstr>
      <vt:lpstr>v_108_GCH4</vt:lpstr>
      <vt:lpstr>v_108_GCH4_atm</vt:lpstr>
      <vt:lpstr>v_108_GCO2</vt:lpstr>
      <vt:lpstr>v_108_GCO2_atm</vt:lpstr>
      <vt:lpstr>v_108_GH2</vt:lpstr>
      <vt:lpstr>v_108_GH2_atm</vt:lpstr>
      <vt:lpstr>v_108_GN2</vt:lpstr>
      <vt:lpstr>v_108_GN2_atm</vt:lpstr>
      <vt:lpstr>v_108_GNH3</vt:lpstr>
      <vt:lpstr>v_108_GNH3_atm</vt:lpstr>
      <vt:lpstr>v_108_GO2</vt:lpstr>
      <vt:lpstr>v_108_GO2_atm</vt:lpstr>
      <vt:lpstr>v_108_SALPHA</vt:lpstr>
      <vt:lpstr>v_108_SAN</vt:lpstr>
      <vt:lpstr>v_108_SB_mono</vt:lpstr>
      <vt:lpstr>v_108_SB_poly</vt:lpstr>
      <vt:lpstr>v_108_SCa</vt:lpstr>
      <vt:lpstr>v_108_SCAT</vt:lpstr>
      <vt:lpstr>v_108_SCH4</vt:lpstr>
      <vt:lpstr>v_108_SCO2</vt:lpstr>
      <vt:lpstr>v_108_SFe2</vt:lpstr>
      <vt:lpstr>v_108_SH</vt:lpstr>
      <vt:lpstr>v_108_SH2</vt:lpstr>
      <vt:lpstr>v_108_SK</vt:lpstr>
      <vt:lpstr>v_108_SMEOL</vt:lpstr>
      <vt:lpstr>v_108_SMg</vt:lpstr>
      <vt:lpstr>v_108_SN_B</vt:lpstr>
      <vt:lpstr>v_108_SN2</vt:lpstr>
      <vt:lpstr>v_108_SNHx</vt:lpstr>
      <vt:lpstr>v_108_SNO2</vt:lpstr>
      <vt:lpstr>v_108_SNO3</vt:lpstr>
      <vt:lpstr>v_108_SO2</vt:lpstr>
      <vt:lpstr>v_108_SORPswitch</vt:lpstr>
      <vt:lpstr>v_108_SP_B</vt:lpstr>
      <vt:lpstr>v_108_SPFOA</vt:lpstr>
      <vt:lpstr>v_108_SPFOS</vt:lpstr>
      <vt:lpstr>v_108_SPO4</vt:lpstr>
      <vt:lpstr>v_108_SU</vt:lpstr>
      <vt:lpstr>v_108_SVFA</vt:lpstr>
      <vt:lpstr>v_108_XACP</vt:lpstr>
      <vt:lpstr>v_108_XAHO</vt:lpstr>
      <vt:lpstr>v_108_XALGAE</vt:lpstr>
      <vt:lpstr>v_108_XAMETO</vt:lpstr>
      <vt:lpstr>v_108_XAMX</vt:lpstr>
      <vt:lpstr>v_108_XAOB</vt:lpstr>
      <vt:lpstr>v_108_XB</vt:lpstr>
      <vt:lpstr>v_108_XB_e</vt:lpstr>
      <vt:lpstr>v_108_XBSH</vt:lpstr>
      <vt:lpstr>v_108_XCaCO3</vt:lpstr>
      <vt:lpstr>v_108_XCASTO</vt:lpstr>
      <vt:lpstr>v_108_XE</vt:lpstr>
      <vt:lpstr>v_108_XE_ana</vt:lpstr>
      <vt:lpstr>v_108_XHAO_H</vt:lpstr>
      <vt:lpstr>v_108_XHAO_H_P</vt:lpstr>
      <vt:lpstr>v_108_XHAO_H_P_old</vt:lpstr>
      <vt:lpstr>v_108_XHAO_L</vt:lpstr>
      <vt:lpstr>v_108_XHAO_L_P</vt:lpstr>
      <vt:lpstr>v_108_XHAO_L_P_old</vt:lpstr>
      <vt:lpstr>v_108_XHAO_old</vt:lpstr>
      <vt:lpstr>v_108_XHFO_H</vt:lpstr>
      <vt:lpstr>v_108_XHFO_H_P</vt:lpstr>
      <vt:lpstr>v_108_XHFO_H_P_old</vt:lpstr>
      <vt:lpstr>v_108_XHFO_L</vt:lpstr>
      <vt:lpstr>v_108_XHFO_L_P</vt:lpstr>
      <vt:lpstr>v_108_XHFO_L_P_old</vt:lpstr>
      <vt:lpstr>v_108_XHFO_old</vt:lpstr>
      <vt:lpstr>v_108_XHMETO</vt:lpstr>
      <vt:lpstr>v_108_XINORG</vt:lpstr>
      <vt:lpstr>v_108_XMEOLO</vt:lpstr>
      <vt:lpstr>v_108_XN_B</vt:lpstr>
      <vt:lpstr>v_108_XN_Be</vt:lpstr>
      <vt:lpstr>v_108_XN_U</vt:lpstr>
      <vt:lpstr>v_108_XNOB</vt:lpstr>
      <vt:lpstr>v_108_XOHO</vt:lpstr>
      <vt:lpstr>v_108_XP_B</vt:lpstr>
      <vt:lpstr>v_108_XP_Be</vt:lpstr>
      <vt:lpstr>v_108_XP_U</vt:lpstr>
      <vt:lpstr>v_108_XPFOA</vt:lpstr>
      <vt:lpstr>v_108_XPFOS</vt:lpstr>
      <vt:lpstr>v_108_XPHA_GAO</vt:lpstr>
      <vt:lpstr>v_108_XPHA_PAO</vt:lpstr>
      <vt:lpstr>v_108_XPP</vt:lpstr>
      <vt:lpstr>v_108_XSTO</vt:lpstr>
      <vt:lpstr>v_108_XSTR</vt:lpstr>
      <vt:lpstr>v_108_XU</vt:lpstr>
      <vt:lpstr>v_108_XVivi</vt:lpstr>
      <vt:lpstr>v_109_CB</vt:lpstr>
      <vt:lpstr>v_109_CU</vt:lpstr>
      <vt:lpstr>v_109_GCH4</vt:lpstr>
      <vt:lpstr>v_109_GCH4_atm</vt:lpstr>
      <vt:lpstr>v_109_GCO2</vt:lpstr>
      <vt:lpstr>v_109_GCO2_atm</vt:lpstr>
      <vt:lpstr>v_109_GH2</vt:lpstr>
      <vt:lpstr>v_109_GH2_atm</vt:lpstr>
      <vt:lpstr>v_109_GN2</vt:lpstr>
      <vt:lpstr>v_109_GN2_atm</vt:lpstr>
      <vt:lpstr>v_109_GNH3</vt:lpstr>
      <vt:lpstr>v_109_GNH3_atm</vt:lpstr>
      <vt:lpstr>v_109_GO2</vt:lpstr>
      <vt:lpstr>v_109_GO2_atm</vt:lpstr>
      <vt:lpstr>v_109_SALPHA</vt:lpstr>
      <vt:lpstr>v_109_SAN</vt:lpstr>
      <vt:lpstr>v_109_SB_mono</vt:lpstr>
      <vt:lpstr>v_109_SB_poly</vt:lpstr>
      <vt:lpstr>v_109_SCa</vt:lpstr>
      <vt:lpstr>v_109_SCAT</vt:lpstr>
      <vt:lpstr>v_109_SCH4</vt:lpstr>
      <vt:lpstr>v_109_SCO2</vt:lpstr>
      <vt:lpstr>v_109_SFe2</vt:lpstr>
      <vt:lpstr>v_109_SH</vt:lpstr>
      <vt:lpstr>v_109_SH2</vt:lpstr>
      <vt:lpstr>v_109_SK</vt:lpstr>
      <vt:lpstr>v_109_SMEOL</vt:lpstr>
      <vt:lpstr>v_109_SMg</vt:lpstr>
      <vt:lpstr>v_109_SN_B</vt:lpstr>
      <vt:lpstr>v_109_SN2</vt:lpstr>
      <vt:lpstr>v_109_SNHx</vt:lpstr>
      <vt:lpstr>v_109_SNO2</vt:lpstr>
      <vt:lpstr>v_109_SNO3</vt:lpstr>
      <vt:lpstr>v_109_SO2</vt:lpstr>
      <vt:lpstr>v_109_SORPswitch</vt:lpstr>
      <vt:lpstr>v_109_SP_B</vt:lpstr>
      <vt:lpstr>v_109_SPFOA</vt:lpstr>
      <vt:lpstr>v_109_SPFOS</vt:lpstr>
      <vt:lpstr>v_109_SPO4</vt:lpstr>
      <vt:lpstr>v_109_SU</vt:lpstr>
      <vt:lpstr>v_109_SVFA</vt:lpstr>
      <vt:lpstr>v_109_XACP</vt:lpstr>
      <vt:lpstr>v_109_XAHO</vt:lpstr>
      <vt:lpstr>v_109_XALGAE</vt:lpstr>
      <vt:lpstr>v_109_XAMETO</vt:lpstr>
      <vt:lpstr>v_109_XAMX</vt:lpstr>
      <vt:lpstr>v_109_XAOB</vt:lpstr>
      <vt:lpstr>v_109_XB</vt:lpstr>
      <vt:lpstr>v_109_XB_e</vt:lpstr>
      <vt:lpstr>v_109_XBSH</vt:lpstr>
      <vt:lpstr>v_109_XCaCO3</vt:lpstr>
      <vt:lpstr>v_109_XCASTO</vt:lpstr>
      <vt:lpstr>v_109_XE</vt:lpstr>
      <vt:lpstr>v_109_XE_ana</vt:lpstr>
      <vt:lpstr>v_109_XHAO_H</vt:lpstr>
      <vt:lpstr>v_109_XHAO_H_P</vt:lpstr>
      <vt:lpstr>v_109_XHAO_H_P_old</vt:lpstr>
      <vt:lpstr>v_109_XHAO_L</vt:lpstr>
      <vt:lpstr>v_109_XHAO_L_P</vt:lpstr>
      <vt:lpstr>v_109_XHAO_L_P_old</vt:lpstr>
      <vt:lpstr>v_109_XHAO_old</vt:lpstr>
      <vt:lpstr>v_109_XHFO_H</vt:lpstr>
      <vt:lpstr>v_109_XHFO_H_P</vt:lpstr>
      <vt:lpstr>v_109_XHFO_H_P_old</vt:lpstr>
      <vt:lpstr>v_109_XHFO_L</vt:lpstr>
      <vt:lpstr>v_109_XHFO_L_P</vt:lpstr>
      <vt:lpstr>v_109_XHFO_L_P_old</vt:lpstr>
      <vt:lpstr>v_109_XHFO_old</vt:lpstr>
      <vt:lpstr>v_109_XHMETO</vt:lpstr>
      <vt:lpstr>v_109_XINORG</vt:lpstr>
      <vt:lpstr>v_109_XMEOLO</vt:lpstr>
      <vt:lpstr>v_109_XN_B</vt:lpstr>
      <vt:lpstr>v_109_XN_Be</vt:lpstr>
      <vt:lpstr>v_109_XN_U</vt:lpstr>
      <vt:lpstr>v_109_XNOB</vt:lpstr>
      <vt:lpstr>v_109_XOHO</vt:lpstr>
      <vt:lpstr>v_109_XP_B</vt:lpstr>
      <vt:lpstr>v_109_XP_Be</vt:lpstr>
      <vt:lpstr>v_109_XP_U</vt:lpstr>
      <vt:lpstr>v_109_XPFOA</vt:lpstr>
      <vt:lpstr>v_109_XPFOS</vt:lpstr>
      <vt:lpstr>v_109_XPHA_GAO</vt:lpstr>
      <vt:lpstr>v_109_XPHA_PAO</vt:lpstr>
      <vt:lpstr>v_109_XPP</vt:lpstr>
      <vt:lpstr>v_109_XSTO</vt:lpstr>
      <vt:lpstr>v_109_XSTR</vt:lpstr>
      <vt:lpstr>v_109_XU</vt:lpstr>
      <vt:lpstr>v_109_XVivi</vt:lpstr>
      <vt:lpstr>v_11_CB</vt:lpstr>
      <vt:lpstr>v_11_CU</vt:lpstr>
      <vt:lpstr>v_11_GCH4</vt:lpstr>
      <vt:lpstr>v_11_GCH4_atm</vt:lpstr>
      <vt:lpstr>v_11_GCO2</vt:lpstr>
      <vt:lpstr>v_11_GCO2_atm</vt:lpstr>
      <vt:lpstr>v_11_GH2</vt:lpstr>
      <vt:lpstr>v_11_GH2_atm</vt:lpstr>
      <vt:lpstr>v_11_GN2</vt:lpstr>
      <vt:lpstr>v_11_GN2_atm</vt:lpstr>
      <vt:lpstr>v_11_GNH3</vt:lpstr>
      <vt:lpstr>v_11_GNH3_atm</vt:lpstr>
      <vt:lpstr>v_11_GO2</vt:lpstr>
      <vt:lpstr>v_11_GO2_atm</vt:lpstr>
      <vt:lpstr>v_11_SALPHA</vt:lpstr>
      <vt:lpstr>v_11_SAN</vt:lpstr>
      <vt:lpstr>v_11_SB_mono</vt:lpstr>
      <vt:lpstr>v_11_SB_poly</vt:lpstr>
      <vt:lpstr>v_11_SCa</vt:lpstr>
      <vt:lpstr>v_11_SCAT</vt:lpstr>
      <vt:lpstr>v_11_SCH4</vt:lpstr>
      <vt:lpstr>v_11_SCO2</vt:lpstr>
      <vt:lpstr>v_11_SFe2</vt:lpstr>
      <vt:lpstr>v_11_SH</vt:lpstr>
      <vt:lpstr>v_11_SH2</vt:lpstr>
      <vt:lpstr>v_11_SK</vt:lpstr>
      <vt:lpstr>v_11_SMEOL</vt:lpstr>
      <vt:lpstr>v_11_SMg</vt:lpstr>
      <vt:lpstr>v_11_SN_B</vt:lpstr>
      <vt:lpstr>v_11_SN2</vt:lpstr>
      <vt:lpstr>v_11_SNHx</vt:lpstr>
      <vt:lpstr>v_11_SNO2</vt:lpstr>
      <vt:lpstr>v_11_SNO3</vt:lpstr>
      <vt:lpstr>v_11_SO2</vt:lpstr>
      <vt:lpstr>v_11_SORPswitch</vt:lpstr>
      <vt:lpstr>v_11_SP_B</vt:lpstr>
      <vt:lpstr>v_11_SPFOA</vt:lpstr>
      <vt:lpstr>v_11_SPFOS</vt:lpstr>
      <vt:lpstr>v_11_SPO4</vt:lpstr>
      <vt:lpstr>v_11_SU</vt:lpstr>
      <vt:lpstr>v_11_SVFA</vt:lpstr>
      <vt:lpstr>v_11_XACP</vt:lpstr>
      <vt:lpstr>v_11_XAHO</vt:lpstr>
      <vt:lpstr>v_11_XALGAE</vt:lpstr>
      <vt:lpstr>v_11_XAMETO</vt:lpstr>
      <vt:lpstr>v_11_XAMX</vt:lpstr>
      <vt:lpstr>v_11_XAOB</vt:lpstr>
      <vt:lpstr>v_11_XB</vt:lpstr>
      <vt:lpstr>v_11_XB_e</vt:lpstr>
      <vt:lpstr>v_11_XBSH</vt:lpstr>
      <vt:lpstr>v_11_XCaCO3</vt:lpstr>
      <vt:lpstr>v_11_XCASTO</vt:lpstr>
      <vt:lpstr>v_11_XE</vt:lpstr>
      <vt:lpstr>v_11_XE_ana</vt:lpstr>
      <vt:lpstr>v_11_XHAO_H</vt:lpstr>
      <vt:lpstr>v_11_XHAO_H_P</vt:lpstr>
      <vt:lpstr>v_11_XHAO_H_P_old</vt:lpstr>
      <vt:lpstr>v_11_XHAO_L</vt:lpstr>
      <vt:lpstr>v_11_XHAO_L_P</vt:lpstr>
      <vt:lpstr>v_11_XHAO_L_P_old</vt:lpstr>
      <vt:lpstr>v_11_XHAO_old</vt:lpstr>
      <vt:lpstr>v_11_XHFO_H</vt:lpstr>
      <vt:lpstr>v_11_XHFO_H_P</vt:lpstr>
      <vt:lpstr>v_11_XHFO_H_P_old</vt:lpstr>
      <vt:lpstr>v_11_XHFO_L</vt:lpstr>
      <vt:lpstr>v_11_XHFO_L_P</vt:lpstr>
      <vt:lpstr>v_11_XHFO_L_P_old</vt:lpstr>
      <vt:lpstr>v_11_XHFO_old</vt:lpstr>
      <vt:lpstr>v_11_XHMETO</vt:lpstr>
      <vt:lpstr>v_11_XINORG</vt:lpstr>
      <vt:lpstr>v_11_XMEOLO</vt:lpstr>
      <vt:lpstr>v_11_XN_B</vt:lpstr>
      <vt:lpstr>v_11_XN_Be</vt:lpstr>
      <vt:lpstr>v_11_XN_U</vt:lpstr>
      <vt:lpstr>v_11_XNOB</vt:lpstr>
      <vt:lpstr>v_11_XOHO</vt:lpstr>
      <vt:lpstr>v_11_XP_B</vt:lpstr>
      <vt:lpstr>v_11_XP_Be</vt:lpstr>
      <vt:lpstr>v_11_XP_U</vt:lpstr>
      <vt:lpstr>v_11_XPFOA</vt:lpstr>
      <vt:lpstr>v_11_XPFOS</vt:lpstr>
      <vt:lpstr>v_11_XPHA_GAO</vt:lpstr>
      <vt:lpstr>v_11_XPHA_PAO</vt:lpstr>
      <vt:lpstr>v_11_XPP</vt:lpstr>
      <vt:lpstr>v_11_XSTO</vt:lpstr>
      <vt:lpstr>v_11_XSTR</vt:lpstr>
      <vt:lpstr>v_11_XU</vt:lpstr>
      <vt:lpstr>v_11_XVivi</vt:lpstr>
      <vt:lpstr>v_110_CB</vt:lpstr>
      <vt:lpstr>v_110_CU</vt:lpstr>
      <vt:lpstr>v_110_GCH4</vt:lpstr>
      <vt:lpstr>v_110_GCH4_atm</vt:lpstr>
      <vt:lpstr>v_110_GCO2</vt:lpstr>
      <vt:lpstr>v_110_GCO2_atm</vt:lpstr>
      <vt:lpstr>v_110_GH2</vt:lpstr>
      <vt:lpstr>v_110_GH2_atm</vt:lpstr>
      <vt:lpstr>v_110_GN2</vt:lpstr>
      <vt:lpstr>v_110_GN2_atm</vt:lpstr>
      <vt:lpstr>v_110_GNH3</vt:lpstr>
      <vt:lpstr>v_110_GNH3_atm</vt:lpstr>
      <vt:lpstr>v_110_GO2</vt:lpstr>
      <vt:lpstr>v_110_GO2_atm</vt:lpstr>
      <vt:lpstr>v_110_SALPHA</vt:lpstr>
      <vt:lpstr>v_110_SAN</vt:lpstr>
      <vt:lpstr>v_110_SB_mono</vt:lpstr>
      <vt:lpstr>v_110_SB_poly</vt:lpstr>
      <vt:lpstr>v_110_SCa</vt:lpstr>
      <vt:lpstr>v_110_SCAT</vt:lpstr>
      <vt:lpstr>v_110_SCH4</vt:lpstr>
      <vt:lpstr>v_110_SCO2</vt:lpstr>
      <vt:lpstr>v_110_SFe2</vt:lpstr>
      <vt:lpstr>v_110_SH</vt:lpstr>
      <vt:lpstr>v_110_SH2</vt:lpstr>
      <vt:lpstr>v_110_SK</vt:lpstr>
      <vt:lpstr>v_110_SMEOL</vt:lpstr>
      <vt:lpstr>v_110_SMg</vt:lpstr>
      <vt:lpstr>v_110_SN_B</vt:lpstr>
      <vt:lpstr>v_110_SN2</vt:lpstr>
      <vt:lpstr>v_110_SNHx</vt:lpstr>
      <vt:lpstr>v_110_SNO2</vt:lpstr>
      <vt:lpstr>v_110_SNO3</vt:lpstr>
      <vt:lpstr>v_110_SO2</vt:lpstr>
      <vt:lpstr>v_110_SORPswitch</vt:lpstr>
      <vt:lpstr>v_110_SP_B</vt:lpstr>
      <vt:lpstr>v_110_SPFOA</vt:lpstr>
      <vt:lpstr>v_110_SPFOS</vt:lpstr>
      <vt:lpstr>v_110_SPO4</vt:lpstr>
      <vt:lpstr>v_110_SU</vt:lpstr>
      <vt:lpstr>v_110_SVFA</vt:lpstr>
      <vt:lpstr>v_110_XACP</vt:lpstr>
      <vt:lpstr>v_110_XAHO</vt:lpstr>
      <vt:lpstr>v_110_XALGAE</vt:lpstr>
      <vt:lpstr>v_110_XAMETO</vt:lpstr>
      <vt:lpstr>v_110_XAMX</vt:lpstr>
      <vt:lpstr>v_110_XAOB</vt:lpstr>
      <vt:lpstr>v_110_XB</vt:lpstr>
      <vt:lpstr>v_110_XB_e</vt:lpstr>
      <vt:lpstr>v_110_XBSH</vt:lpstr>
      <vt:lpstr>v_110_XCaCO3</vt:lpstr>
      <vt:lpstr>v_110_XCASTO</vt:lpstr>
      <vt:lpstr>v_110_XE</vt:lpstr>
      <vt:lpstr>v_110_XE_ana</vt:lpstr>
      <vt:lpstr>v_110_XHAO_H</vt:lpstr>
      <vt:lpstr>v_110_XHAO_H_P</vt:lpstr>
      <vt:lpstr>v_110_XHAO_H_P_old</vt:lpstr>
      <vt:lpstr>v_110_XHAO_L</vt:lpstr>
      <vt:lpstr>v_110_XHAO_L_P</vt:lpstr>
      <vt:lpstr>v_110_XHAO_L_P_old</vt:lpstr>
      <vt:lpstr>v_110_XHAO_old</vt:lpstr>
      <vt:lpstr>v_110_XHFO_H</vt:lpstr>
      <vt:lpstr>v_110_XHFO_H_P</vt:lpstr>
      <vt:lpstr>v_110_XHFO_H_P_old</vt:lpstr>
      <vt:lpstr>v_110_XHFO_L</vt:lpstr>
      <vt:lpstr>v_110_XHFO_L_P</vt:lpstr>
      <vt:lpstr>v_110_XHFO_L_P_old</vt:lpstr>
      <vt:lpstr>v_110_XHFO_old</vt:lpstr>
      <vt:lpstr>v_110_XHMETO</vt:lpstr>
      <vt:lpstr>v_110_XINORG</vt:lpstr>
      <vt:lpstr>v_110_XMEOLO</vt:lpstr>
      <vt:lpstr>v_110_XN_B</vt:lpstr>
      <vt:lpstr>v_110_XN_Be</vt:lpstr>
      <vt:lpstr>v_110_XN_U</vt:lpstr>
      <vt:lpstr>v_110_XNOB</vt:lpstr>
      <vt:lpstr>v_110_XOHO</vt:lpstr>
      <vt:lpstr>v_110_XP_B</vt:lpstr>
      <vt:lpstr>v_110_XP_Be</vt:lpstr>
      <vt:lpstr>v_110_XP_U</vt:lpstr>
      <vt:lpstr>v_110_XPFOA</vt:lpstr>
      <vt:lpstr>v_110_XPFOS</vt:lpstr>
      <vt:lpstr>v_110_XPHA_GAO</vt:lpstr>
      <vt:lpstr>v_110_XPHA_PAO</vt:lpstr>
      <vt:lpstr>v_110_XPP</vt:lpstr>
      <vt:lpstr>v_110_XSTO</vt:lpstr>
      <vt:lpstr>v_110_XSTR</vt:lpstr>
      <vt:lpstr>v_110_XU</vt:lpstr>
      <vt:lpstr>v_110_XVivi</vt:lpstr>
      <vt:lpstr>v_111_CB</vt:lpstr>
      <vt:lpstr>v_111_CU</vt:lpstr>
      <vt:lpstr>v_111_GCH4</vt:lpstr>
      <vt:lpstr>v_111_GCH4_atm</vt:lpstr>
      <vt:lpstr>v_111_GCO2</vt:lpstr>
      <vt:lpstr>v_111_GCO2_atm</vt:lpstr>
      <vt:lpstr>v_111_GH2</vt:lpstr>
      <vt:lpstr>v_111_GH2_atm</vt:lpstr>
      <vt:lpstr>v_111_GN2</vt:lpstr>
      <vt:lpstr>v_111_GN2_atm</vt:lpstr>
      <vt:lpstr>v_111_GNH3</vt:lpstr>
      <vt:lpstr>v_111_GNH3_atm</vt:lpstr>
      <vt:lpstr>v_111_GO2</vt:lpstr>
      <vt:lpstr>v_111_GO2_atm</vt:lpstr>
      <vt:lpstr>v_111_SALPHA</vt:lpstr>
      <vt:lpstr>v_111_SAN</vt:lpstr>
      <vt:lpstr>v_111_SB_mono</vt:lpstr>
      <vt:lpstr>v_111_SB_poly</vt:lpstr>
      <vt:lpstr>v_111_SCa</vt:lpstr>
      <vt:lpstr>v_111_SCAT</vt:lpstr>
      <vt:lpstr>v_111_SCH4</vt:lpstr>
      <vt:lpstr>v_111_SCO2</vt:lpstr>
      <vt:lpstr>v_111_SFe2</vt:lpstr>
      <vt:lpstr>v_111_SH</vt:lpstr>
      <vt:lpstr>v_111_SH2</vt:lpstr>
      <vt:lpstr>v_111_SK</vt:lpstr>
      <vt:lpstr>v_111_SMEOL</vt:lpstr>
      <vt:lpstr>v_111_SMg</vt:lpstr>
      <vt:lpstr>v_111_SN_B</vt:lpstr>
      <vt:lpstr>v_111_SN2</vt:lpstr>
      <vt:lpstr>v_111_SNHx</vt:lpstr>
      <vt:lpstr>v_111_SNO2</vt:lpstr>
      <vt:lpstr>v_111_SNO3</vt:lpstr>
      <vt:lpstr>v_111_SO2</vt:lpstr>
      <vt:lpstr>v_111_SORPswitch</vt:lpstr>
      <vt:lpstr>v_111_SP_B</vt:lpstr>
      <vt:lpstr>v_111_SPFOA</vt:lpstr>
      <vt:lpstr>v_111_SPFOS</vt:lpstr>
      <vt:lpstr>v_111_SPO4</vt:lpstr>
      <vt:lpstr>v_111_SU</vt:lpstr>
      <vt:lpstr>v_111_SVFA</vt:lpstr>
      <vt:lpstr>v_111_XACP</vt:lpstr>
      <vt:lpstr>v_111_XAHO</vt:lpstr>
      <vt:lpstr>v_111_XALGAE</vt:lpstr>
      <vt:lpstr>v_111_XAMETO</vt:lpstr>
      <vt:lpstr>v_111_XAMX</vt:lpstr>
      <vt:lpstr>v_111_XAOB</vt:lpstr>
      <vt:lpstr>v_111_XB</vt:lpstr>
      <vt:lpstr>v_111_XB_e</vt:lpstr>
      <vt:lpstr>v_111_XBSH</vt:lpstr>
      <vt:lpstr>v_111_XCaCO3</vt:lpstr>
      <vt:lpstr>v_111_XCASTO</vt:lpstr>
      <vt:lpstr>v_111_XE</vt:lpstr>
      <vt:lpstr>v_111_XE_ana</vt:lpstr>
      <vt:lpstr>v_111_XHAO_H</vt:lpstr>
      <vt:lpstr>v_111_XHAO_H_P</vt:lpstr>
      <vt:lpstr>v_111_XHAO_H_P_old</vt:lpstr>
      <vt:lpstr>v_111_XHAO_L</vt:lpstr>
      <vt:lpstr>v_111_XHAO_L_P</vt:lpstr>
      <vt:lpstr>v_111_XHAO_L_P_old</vt:lpstr>
      <vt:lpstr>v_111_XHAO_old</vt:lpstr>
      <vt:lpstr>v_111_XHFO_H</vt:lpstr>
      <vt:lpstr>v_111_XHFO_H_P</vt:lpstr>
      <vt:lpstr>v_111_XHFO_H_P_old</vt:lpstr>
      <vt:lpstr>v_111_XHFO_L</vt:lpstr>
      <vt:lpstr>v_111_XHFO_L_P</vt:lpstr>
      <vt:lpstr>v_111_XHFO_L_P_old</vt:lpstr>
      <vt:lpstr>v_111_XHFO_old</vt:lpstr>
      <vt:lpstr>v_111_XHMETO</vt:lpstr>
      <vt:lpstr>v_111_XINORG</vt:lpstr>
      <vt:lpstr>v_111_XMEOLO</vt:lpstr>
      <vt:lpstr>v_111_XN_B</vt:lpstr>
      <vt:lpstr>v_111_XN_Be</vt:lpstr>
      <vt:lpstr>v_111_XN_U</vt:lpstr>
      <vt:lpstr>v_111_XNOB</vt:lpstr>
      <vt:lpstr>v_111_XOHO</vt:lpstr>
      <vt:lpstr>v_111_XP_B</vt:lpstr>
      <vt:lpstr>v_111_XP_Be</vt:lpstr>
      <vt:lpstr>v_111_XP_U</vt:lpstr>
      <vt:lpstr>v_111_XPFOA</vt:lpstr>
      <vt:lpstr>v_111_XPFOS</vt:lpstr>
      <vt:lpstr>v_111_XPHA_GAO</vt:lpstr>
      <vt:lpstr>v_111_XPHA_PAO</vt:lpstr>
      <vt:lpstr>v_111_XPP</vt:lpstr>
      <vt:lpstr>v_111_XSTO</vt:lpstr>
      <vt:lpstr>v_111_XSTR</vt:lpstr>
      <vt:lpstr>v_111_XU</vt:lpstr>
      <vt:lpstr>v_111_XVivi</vt:lpstr>
      <vt:lpstr>v_12_CB</vt:lpstr>
      <vt:lpstr>v_12_CU</vt:lpstr>
      <vt:lpstr>v_12_GCH4</vt:lpstr>
      <vt:lpstr>v_12_GCH4_atm</vt:lpstr>
      <vt:lpstr>v_12_GCO2</vt:lpstr>
      <vt:lpstr>v_12_GCO2_atm</vt:lpstr>
      <vt:lpstr>v_12_GH2</vt:lpstr>
      <vt:lpstr>v_12_GH2_atm</vt:lpstr>
      <vt:lpstr>v_12_GN2</vt:lpstr>
      <vt:lpstr>v_12_GN2_atm</vt:lpstr>
      <vt:lpstr>v_12_GNH3</vt:lpstr>
      <vt:lpstr>v_12_GNH3_atm</vt:lpstr>
      <vt:lpstr>v_12_GO2</vt:lpstr>
      <vt:lpstr>v_12_GO2_atm</vt:lpstr>
      <vt:lpstr>v_12_SALPHA</vt:lpstr>
      <vt:lpstr>v_12_SAN</vt:lpstr>
      <vt:lpstr>v_12_SB_mono</vt:lpstr>
      <vt:lpstr>v_12_SB_poly</vt:lpstr>
      <vt:lpstr>v_12_SCa</vt:lpstr>
      <vt:lpstr>v_12_SCAT</vt:lpstr>
      <vt:lpstr>v_12_SCH4</vt:lpstr>
      <vt:lpstr>v_12_SCO2</vt:lpstr>
      <vt:lpstr>v_12_SFe2</vt:lpstr>
      <vt:lpstr>v_12_SH</vt:lpstr>
      <vt:lpstr>v_12_SH2</vt:lpstr>
      <vt:lpstr>v_12_SK</vt:lpstr>
      <vt:lpstr>v_12_SMEOL</vt:lpstr>
      <vt:lpstr>v_12_SMg</vt:lpstr>
      <vt:lpstr>v_12_SN_B</vt:lpstr>
      <vt:lpstr>v_12_SN2</vt:lpstr>
      <vt:lpstr>v_12_SNHx</vt:lpstr>
      <vt:lpstr>v_12_SNO2</vt:lpstr>
      <vt:lpstr>v_12_SNO3</vt:lpstr>
      <vt:lpstr>v_12_SO2</vt:lpstr>
      <vt:lpstr>v_12_SORPswitch</vt:lpstr>
      <vt:lpstr>v_12_SP_B</vt:lpstr>
      <vt:lpstr>v_12_SPFOA</vt:lpstr>
      <vt:lpstr>v_12_SPFOS</vt:lpstr>
      <vt:lpstr>v_12_SPO4</vt:lpstr>
      <vt:lpstr>v_12_SU</vt:lpstr>
      <vt:lpstr>v_12_SVFA</vt:lpstr>
      <vt:lpstr>v_12_XACP</vt:lpstr>
      <vt:lpstr>v_12_XAHO</vt:lpstr>
      <vt:lpstr>v_12_XALGAE</vt:lpstr>
      <vt:lpstr>v_12_XAMETO</vt:lpstr>
      <vt:lpstr>v_12_XAMX</vt:lpstr>
      <vt:lpstr>v_12_XAOB</vt:lpstr>
      <vt:lpstr>v_12_XB</vt:lpstr>
      <vt:lpstr>v_12_XB_e</vt:lpstr>
      <vt:lpstr>v_12_XBSH</vt:lpstr>
      <vt:lpstr>v_12_XCaCO3</vt:lpstr>
      <vt:lpstr>v_12_XCASTO</vt:lpstr>
      <vt:lpstr>v_12_XE</vt:lpstr>
      <vt:lpstr>v_12_XE_ana</vt:lpstr>
      <vt:lpstr>v_12_XHAO_H</vt:lpstr>
      <vt:lpstr>v_12_XHAO_H_P</vt:lpstr>
      <vt:lpstr>v_12_XHAO_H_P_old</vt:lpstr>
      <vt:lpstr>v_12_XHAO_L</vt:lpstr>
      <vt:lpstr>v_12_XHAO_L_P</vt:lpstr>
      <vt:lpstr>v_12_XHAO_L_P_old</vt:lpstr>
      <vt:lpstr>v_12_XHAO_old</vt:lpstr>
      <vt:lpstr>v_12_XHFO_H</vt:lpstr>
      <vt:lpstr>v_12_XHFO_H_P</vt:lpstr>
      <vt:lpstr>v_12_XHFO_H_P_old</vt:lpstr>
      <vt:lpstr>v_12_XHFO_L</vt:lpstr>
      <vt:lpstr>v_12_XHFO_L_P</vt:lpstr>
      <vt:lpstr>v_12_XHFO_L_P_old</vt:lpstr>
      <vt:lpstr>v_12_XHFO_old</vt:lpstr>
      <vt:lpstr>v_12_XHMETO</vt:lpstr>
      <vt:lpstr>v_12_XINORG</vt:lpstr>
      <vt:lpstr>v_12_XMEOLO</vt:lpstr>
      <vt:lpstr>v_12_XN_B</vt:lpstr>
      <vt:lpstr>v_12_XN_Be</vt:lpstr>
      <vt:lpstr>v_12_XN_U</vt:lpstr>
      <vt:lpstr>v_12_XNOB</vt:lpstr>
      <vt:lpstr>v_12_XOHO</vt:lpstr>
      <vt:lpstr>v_12_XP_B</vt:lpstr>
      <vt:lpstr>v_12_XP_Be</vt:lpstr>
      <vt:lpstr>v_12_XP_U</vt:lpstr>
      <vt:lpstr>v_12_XPFOA</vt:lpstr>
      <vt:lpstr>v_12_XPFOS</vt:lpstr>
      <vt:lpstr>v_12_XPHA_GAO</vt:lpstr>
      <vt:lpstr>v_12_XPHA_PAO</vt:lpstr>
      <vt:lpstr>v_12_XPP</vt:lpstr>
      <vt:lpstr>v_12_XSTO</vt:lpstr>
      <vt:lpstr>v_12_XSTR</vt:lpstr>
      <vt:lpstr>v_12_XU</vt:lpstr>
      <vt:lpstr>v_12_XVivi</vt:lpstr>
      <vt:lpstr>v_13_CB</vt:lpstr>
      <vt:lpstr>v_13_CU</vt:lpstr>
      <vt:lpstr>v_13_GCH4</vt:lpstr>
      <vt:lpstr>v_13_GCH4_atm</vt:lpstr>
      <vt:lpstr>v_13_GCO2</vt:lpstr>
      <vt:lpstr>v_13_GCO2_atm</vt:lpstr>
      <vt:lpstr>v_13_GH2</vt:lpstr>
      <vt:lpstr>v_13_GH2_atm</vt:lpstr>
      <vt:lpstr>v_13_GN2</vt:lpstr>
      <vt:lpstr>v_13_GN2_atm</vt:lpstr>
      <vt:lpstr>v_13_GNH3</vt:lpstr>
      <vt:lpstr>v_13_GNH3_atm</vt:lpstr>
      <vt:lpstr>v_13_GO2</vt:lpstr>
      <vt:lpstr>v_13_GO2_atm</vt:lpstr>
      <vt:lpstr>v_13_SALPHA</vt:lpstr>
      <vt:lpstr>v_13_SAN</vt:lpstr>
      <vt:lpstr>v_13_SB_mono</vt:lpstr>
      <vt:lpstr>v_13_SB_poly</vt:lpstr>
      <vt:lpstr>v_13_SCa</vt:lpstr>
      <vt:lpstr>v_13_SCAT</vt:lpstr>
      <vt:lpstr>v_13_SCH4</vt:lpstr>
      <vt:lpstr>v_13_SCO2</vt:lpstr>
      <vt:lpstr>v_13_SFe2</vt:lpstr>
      <vt:lpstr>v_13_SH</vt:lpstr>
      <vt:lpstr>v_13_SH2</vt:lpstr>
      <vt:lpstr>v_13_SK</vt:lpstr>
      <vt:lpstr>v_13_SMEOL</vt:lpstr>
      <vt:lpstr>v_13_SMg</vt:lpstr>
      <vt:lpstr>v_13_SN_B</vt:lpstr>
      <vt:lpstr>v_13_SN2</vt:lpstr>
      <vt:lpstr>v_13_SNHx</vt:lpstr>
      <vt:lpstr>v_13_SNO2</vt:lpstr>
      <vt:lpstr>v_13_SNO3</vt:lpstr>
      <vt:lpstr>v_13_SO2</vt:lpstr>
      <vt:lpstr>v_13_SORPswitch</vt:lpstr>
      <vt:lpstr>v_13_SP_B</vt:lpstr>
      <vt:lpstr>v_13_SPFOA</vt:lpstr>
      <vt:lpstr>v_13_SPFOS</vt:lpstr>
      <vt:lpstr>v_13_SPO4</vt:lpstr>
      <vt:lpstr>v_13_SU</vt:lpstr>
      <vt:lpstr>v_13_SVFA</vt:lpstr>
      <vt:lpstr>v_13_XACP</vt:lpstr>
      <vt:lpstr>v_13_XAHO</vt:lpstr>
      <vt:lpstr>v_13_XALGAE</vt:lpstr>
      <vt:lpstr>v_13_XAMETO</vt:lpstr>
      <vt:lpstr>v_13_XAMX</vt:lpstr>
      <vt:lpstr>v_13_XAOB</vt:lpstr>
      <vt:lpstr>v_13_XB</vt:lpstr>
      <vt:lpstr>v_13_XB_e</vt:lpstr>
      <vt:lpstr>v_13_XBSH</vt:lpstr>
      <vt:lpstr>v_13_XCaCO3</vt:lpstr>
      <vt:lpstr>v_13_XCASTO</vt:lpstr>
      <vt:lpstr>v_13_XE</vt:lpstr>
      <vt:lpstr>v_13_XE_ana</vt:lpstr>
      <vt:lpstr>v_13_XHAO_H</vt:lpstr>
      <vt:lpstr>v_13_XHAO_H_P</vt:lpstr>
      <vt:lpstr>v_13_XHAO_H_P_old</vt:lpstr>
      <vt:lpstr>v_13_XHAO_L</vt:lpstr>
      <vt:lpstr>v_13_XHAO_L_P</vt:lpstr>
      <vt:lpstr>v_13_XHAO_L_P_old</vt:lpstr>
      <vt:lpstr>v_13_XHAO_old</vt:lpstr>
      <vt:lpstr>v_13_XHFO_H</vt:lpstr>
      <vt:lpstr>v_13_XHFO_H_P</vt:lpstr>
      <vt:lpstr>v_13_XHFO_H_P_old</vt:lpstr>
      <vt:lpstr>v_13_XHFO_L</vt:lpstr>
      <vt:lpstr>v_13_XHFO_L_P</vt:lpstr>
      <vt:lpstr>v_13_XHFO_L_P_old</vt:lpstr>
      <vt:lpstr>v_13_XHFO_old</vt:lpstr>
      <vt:lpstr>v_13_XHMETO</vt:lpstr>
      <vt:lpstr>v_13_XINORG</vt:lpstr>
      <vt:lpstr>v_13_XMEOLO</vt:lpstr>
      <vt:lpstr>v_13_XN_B</vt:lpstr>
      <vt:lpstr>v_13_XN_Be</vt:lpstr>
      <vt:lpstr>v_13_XN_U</vt:lpstr>
      <vt:lpstr>v_13_XNOB</vt:lpstr>
      <vt:lpstr>v_13_XOHO</vt:lpstr>
      <vt:lpstr>v_13_XP_B</vt:lpstr>
      <vt:lpstr>v_13_XP_Be</vt:lpstr>
      <vt:lpstr>v_13_XP_U</vt:lpstr>
      <vt:lpstr>v_13_XPFOA</vt:lpstr>
      <vt:lpstr>v_13_XPFOS</vt:lpstr>
      <vt:lpstr>v_13_XPHA_GAO</vt:lpstr>
      <vt:lpstr>v_13_XPHA_PAO</vt:lpstr>
      <vt:lpstr>v_13_XPP</vt:lpstr>
      <vt:lpstr>v_13_XSTO</vt:lpstr>
      <vt:lpstr>v_13_XSTR</vt:lpstr>
      <vt:lpstr>v_13_XU</vt:lpstr>
      <vt:lpstr>v_13_XVivi</vt:lpstr>
      <vt:lpstr>v_14_CB</vt:lpstr>
      <vt:lpstr>v_14_CU</vt:lpstr>
      <vt:lpstr>v_14_GCH4</vt:lpstr>
      <vt:lpstr>v_14_GCH4_atm</vt:lpstr>
      <vt:lpstr>v_14_GCO2</vt:lpstr>
      <vt:lpstr>v_14_GCO2_atm</vt:lpstr>
      <vt:lpstr>v_14_GH2</vt:lpstr>
      <vt:lpstr>v_14_GH2_atm</vt:lpstr>
      <vt:lpstr>v_14_GN2</vt:lpstr>
      <vt:lpstr>v_14_GN2_atm</vt:lpstr>
      <vt:lpstr>v_14_GNH3</vt:lpstr>
      <vt:lpstr>v_14_GNH3_atm</vt:lpstr>
      <vt:lpstr>v_14_GO2</vt:lpstr>
      <vt:lpstr>v_14_GO2_atm</vt:lpstr>
      <vt:lpstr>v_14_SALPHA</vt:lpstr>
      <vt:lpstr>v_14_SAN</vt:lpstr>
      <vt:lpstr>v_14_SB_mono</vt:lpstr>
      <vt:lpstr>v_14_SB_poly</vt:lpstr>
      <vt:lpstr>v_14_SCa</vt:lpstr>
      <vt:lpstr>v_14_SCAT</vt:lpstr>
      <vt:lpstr>v_14_SCH4</vt:lpstr>
      <vt:lpstr>v_14_SCO2</vt:lpstr>
      <vt:lpstr>v_14_SFe2</vt:lpstr>
      <vt:lpstr>v_14_SH</vt:lpstr>
      <vt:lpstr>v_14_SH2</vt:lpstr>
      <vt:lpstr>v_14_SK</vt:lpstr>
      <vt:lpstr>v_14_SMEOL</vt:lpstr>
      <vt:lpstr>v_14_SMg</vt:lpstr>
      <vt:lpstr>v_14_SN_B</vt:lpstr>
      <vt:lpstr>v_14_SN2</vt:lpstr>
      <vt:lpstr>v_14_SNHx</vt:lpstr>
      <vt:lpstr>v_14_SNO2</vt:lpstr>
      <vt:lpstr>v_14_SNO3</vt:lpstr>
      <vt:lpstr>v_14_SO2</vt:lpstr>
      <vt:lpstr>v_14_SORPswitch</vt:lpstr>
      <vt:lpstr>v_14_SP_B</vt:lpstr>
      <vt:lpstr>v_14_SPFOA</vt:lpstr>
      <vt:lpstr>v_14_SPFOS</vt:lpstr>
      <vt:lpstr>v_14_SPO4</vt:lpstr>
      <vt:lpstr>v_14_SU</vt:lpstr>
      <vt:lpstr>v_14_SVFA</vt:lpstr>
      <vt:lpstr>v_14_XACP</vt:lpstr>
      <vt:lpstr>v_14_XAHO</vt:lpstr>
      <vt:lpstr>v_14_XALGAE</vt:lpstr>
      <vt:lpstr>v_14_XAMETO</vt:lpstr>
      <vt:lpstr>v_14_XAMX</vt:lpstr>
      <vt:lpstr>v_14_XAOB</vt:lpstr>
      <vt:lpstr>v_14_XB</vt:lpstr>
      <vt:lpstr>v_14_XB_e</vt:lpstr>
      <vt:lpstr>v_14_XBSH</vt:lpstr>
      <vt:lpstr>v_14_XCaCO3</vt:lpstr>
      <vt:lpstr>v_14_XCASTO</vt:lpstr>
      <vt:lpstr>v_14_XE</vt:lpstr>
      <vt:lpstr>v_14_XE_ana</vt:lpstr>
      <vt:lpstr>v_14_XHAO_H</vt:lpstr>
      <vt:lpstr>v_14_XHAO_H_P</vt:lpstr>
      <vt:lpstr>v_14_XHAO_H_P_old</vt:lpstr>
      <vt:lpstr>v_14_XHAO_L</vt:lpstr>
      <vt:lpstr>v_14_XHAO_L_P</vt:lpstr>
      <vt:lpstr>v_14_XHAO_L_P_old</vt:lpstr>
      <vt:lpstr>v_14_XHAO_old</vt:lpstr>
      <vt:lpstr>v_14_XHFO_H</vt:lpstr>
      <vt:lpstr>v_14_XHFO_H_P</vt:lpstr>
      <vt:lpstr>v_14_XHFO_H_P_old</vt:lpstr>
      <vt:lpstr>v_14_XHFO_L</vt:lpstr>
      <vt:lpstr>v_14_XHFO_L_P</vt:lpstr>
      <vt:lpstr>v_14_XHFO_L_P_old</vt:lpstr>
      <vt:lpstr>v_14_XHFO_old</vt:lpstr>
      <vt:lpstr>v_14_XHMETO</vt:lpstr>
      <vt:lpstr>v_14_XINORG</vt:lpstr>
      <vt:lpstr>v_14_XMEOLO</vt:lpstr>
      <vt:lpstr>v_14_XN_B</vt:lpstr>
      <vt:lpstr>v_14_XN_Be</vt:lpstr>
      <vt:lpstr>v_14_XN_U</vt:lpstr>
      <vt:lpstr>v_14_XNOB</vt:lpstr>
      <vt:lpstr>v_14_XOHO</vt:lpstr>
      <vt:lpstr>v_14_XP_B</vt:lpstr>
      <vt:lpstr>v_14_XP_Be</vt:lpstr>
      <vt:lpstr>v_14_XP_U</vt:lpstr>
      <vt:lpstr>v_14_XPFOA</vt:lpstr>
      <vt:lpstr>v_14_XPFOS</vt:lpstr>
      <vt:lpstr>v_14_XPHA_GAO</vt:lpstr>
      <vt:lpstr>v_14_XPHA_PAO</vt:lpstr>
      <vt:lpstr>v_14_XPP</vt:lpstr>
      <vt:lpstr>v_14_XSTO</vt:lpstr>
      <vt:lpstr>v_14_XSTR</vt:lpstr>
      <vt:lpstr>v_14_XU</vt:lpstr>
      <vt:lpstr>v_14_XVivi</vt:lpstr>
      <vt:lpstr>v_15_CB</vt:lpstr>
      <vt:lpstr>v_15_CU</vt:lpstr>
      <vt:lpstr>v_15_GCH4</vt:lpstr>
      <vt:lpstr>v_15_GCH4_atm</vt:lpstr>
      <vt:lpstr>v_15_GCO2</vt:lpstr>
      <vt:lpstr>v_15_GCO2_atm</vt:lpstr>
      <vt:lpstr>v_15_GH2</vt:lpstr>
      <vt:lpstr>v_15_GH2_atm</vt:lpstr>
      <vt:lpstr>v_15_GN2</vt:lpstr>
      <vt:lpstr>v_15_GN2_atm</vt:lpstr>
      <vt:lpstr>v_15_GNH3</vt:lpstr>
      <vt:lpstr>v_15_GNH3_atm</vt:lpstr>
      <vt:lpstr>v_15_GO2</vt:lpstr>
      <vt:lpstr>v_15_GO2_atm</vt:lpstr>
      <vt:lpstr>v_15_SALPHA</vt:lpstr>
      <vt:lpstr>v_15_SAN</vt:lpstr>
      <vt:lpstr>v_15_SB_mono</vt:lpstr>
      <vt:lpstr>v_15_SB_poly</vt:lpstr>
      <vt:lpstr>v_15_SCa</vt:lpstr>
      <vt:lpstr>v_15_SCAT</vt:lpstr>
      <vt:lpstr>v_15_SCH4</vt:lpstr>
      <vt:lpstr>v_15_SCO2</vt:lpstr>
      <vt:lpstr>v_15_SFe2</vt:lpstr>
      <vt:lpstr>v_15_SH</vt:lpstr>
      <vt:lpstr>v_15_SH2</vt:lpstr>
      <vt:lpstr>v_15_SK</vt:lpstr>
      <vt:lpstr>v_15_SMEOL</vt:lpstr>
      <vt:lpstr>v_15_SMg</vt:lpstr>
      <vt:lpstr>v_15_SN_B</vt:lpstr>
      <vt:lpstr>v_15_SN2</vt:lpstr>
      <vt:lpstr>v_15_SNHx</vt:lpstr>
      <vt:lpstr>v_15_SNO2</vt:lpstr>
      <vt:lpstr>v_15_SNO3</vt:lpstr>
      <vt:lpstr>v_15_SO2</vt:lpstr>
      <vt:lpstr>v_15_SORPswitch</vt:lpstr>
      <vt:lpstr>v_15_SP_B</vt:lpstr>
      <vt:lpstr>v_15_SPFOA</vt:lpstr>
      <vt:lpstr>v_15_SPFOS</vt:lpstr>
      <vt:lpstr>v_15_SPO4</vt:lpstr>
      <vt:lpstr>v_15_SU</vt:lpstr>
      <vt:lpstr>v_15_SVFA</vt:lpstr>
      <vt:lpstr>v_15_XACP</vt:lpstr>
      <vt:lpstr>v_15_XAHO</vt:lpstr>
      <vt:lpstr>v_15_XALGAE</vt:lpstr>
      <vt:lpstr>v_15_XAMETO</vt:lpstr>
      <vt:lpstr>v_15_XAMX</vt:lpstr>
      <vt:lpstr>v_15_XAOB</vt:lpstr>
      <vt:lpstr>v_15_XB</vt:lpstr>
      <vt:lpstr>v_15_XB_e</vt:lpstr>
      <vt:lpstr>v_15_XBSH</vt:lpstr>
      <vt:lpstr>v_15_XCaCO3</vt:lpstr>
      <vt:lpstr>v_15_XCASTO</vt:lpstr>
      <vt:lpstr>v_15_XE</vt:lpstr>
      <vt:lpstr>v_15_XE_ana</vt:lpstr>
      <vt:lpstr>v_15_XHAO_H</vt:lpstr>
      <vt:lpstr>v_15_XHAO_H_P</vt:lpstr>
      <vt:lpstr>v_15_XHAO_H_P_old</vt:lpstr>
      <vt:lpstr>v_15_XHAO_L</vt:lpstr>
      <vt:lpstr>v_15_XHAO_L_P</vt:lpstr>
      <vt:lpstr>v_15_XHAO_L_P_old</vt:lpstr>
      <vt:lpstr>v_15_XHAO_old</vt:lpstr>
      <vt:lpstr>v_15_XHFO_H</vt:lpstr>
      <vt:lpstr>v_15_XHFO_H_P</vt:lpstr>
      <vt:lpstr>v_15_XHFO_H_P_old</vt:lpstr>
      <vt:lpstr>v_15_XHFO_L</vt:lpstr>
      <vt:lpstr>v_15_XHFO_L_P</vt:lpstr>
      <vt:lpstr>v_15_XHFO_L_P_old</vt:lpstr>
      <vt:lpstr>v_15_XHFO_old</vt:lpstr>
      <vt:lpstr>v_15_XHMETO</vt:lpstr>
      <vt:lpstr>v_15_XINORG</vt:lpstr>
      <vt:lpstr>v_15_XMEOLO</vt:lpstr>
      <vt:lpstr>v_15_XN_B</vt:lpstr>
      <vt:lpstr>v_15_XN_Be</vt:lpstr>
      <vt:lpstr>v_15_XN_U</vt:lpstr>
      <vt:lpstr>v_15_XNOB</vt:lpstr>
      <vt:lpstr>v_15_XOHO</vt:lpstr>
      <vt:lpstr>v_15_XP_B</vt:lpstr>
      <vt:lpstr>v_15_XP_Be</vt:lpstr>
      <vt:lpstr>v_15_XP_U</vt:lpstr>
      <vt:lpstr>v_15_XPFOA</vt:lpstr>
      <vt:lpstr>v_15_XPFOS</vt:lpstr>
      <vt:lpstr>v_15_XPHA_GAO</vt:lpstr>
      <vt:lpstr>v_15_XPHA_PAO</vt:lpstr>
      <vt:lpstr>v_15_XPP</vt:lpstr>
      <vt:lpstr>v_15_XSTO</vt:lpstr>
      <vt:lpstr>v_15_XSTR</vt:lpstr>
      <vt:lpstr>v_15_XU</vt:lpstr>
      <vt:lpstr>v_15_XVivi</vt:lpstr>
      <vt:lpstr>v_16_CB</vt:lpstr>
      <vt:lpstr>v_16_CU</vt:lpstr>
      <vt:lpstr>v_16_GCH4</vt:lpstr>
      <vt:lpstr>v_16_GCH4_atm</vt:lpstr>
      <vt:lpstr>v_16_GCO2</vt:lpstr>
      <vt:lpstr>v_16_GCO2_atm</vt:lpstr>
      <vt:lpstr>v_16_GH2</vt:lpstr>
      <vt:lpstr>v_16_GH2_atm</vt:lpstr>
      <vt:lpstr>v_16_GN2</vt:lpstr>
      <vt:lpstr>v_16_GN2_atm</vt:lpstr>
      <vt:lpstr>v_16_GNH3</vt:lpstr>
      <vt:lpstr>v_16_GNH3_atm</vt:lpstr>
      <vt:lpstr>v_16_GO2</vt:lpstr>
      <vt:lpstr>v_16_GO2_atm</vt:lpstr>
      <vt:lpstr>v_16_SALPHA</vt:lpstr>
      <vt:lpstr>v_16_SAN</vt:lpstr>
      <vt:lpstr>v_16_SB_mono</vt:lpstr>
      <vt:lpstr>v_16_SB_poly</vt:lpstr>
      <vt:lpstr>v_16_SCa</vt:lpstr>
      <vt:lpstr>v_16_SCAT</vt:lpstr>
      <vt:lpstr>v_16_SCH4</vt:lpstr>
      <vt:lpstr>v_16_SCO2</vt:lpstr>
      <vt:lpstr>v_16_SFe2</vt:lpstr>
      <vt:lpstr>v_16_SH</vt:lpstr>
      <vt:lpstr>v_16_SH2</vt:lpstr>
      <vt:lpstr>v_16_SK</vt:lpstr>
      <vt:lpstr>v_16_SMEOL</vt:lpstr>
      <vt:lpstr>v_16_SMg</vt:lpstr>
      <vt:lpstr>v_16_SN_B</vt:lpstr>
      <vt:lpstr>v_16_SN2</vt:lpstr>
      <vt:lpstr>v_16_SNHx</vt:lpstr>
      <vt:lpstr>v_16_SNO2</vt:lpstr>
      <vt:lpstr>v_16_SNO3</vt:lpstr>
      <vt:lpstr>v_16_SO2</vt:lpstr>
      <vt:lpstr>v_16_SORPswitch</vt:lpstr>
      <vt:lpstr>v_16_SP_B</vt:lpstr>
      <vt:lpstr>v_16_SPFOA</vt:lpstr>
      <vt:lpstr>v_16_SPFOS</vt:lpstr>
      <vt:lpstr>v_16_SPO4</vt:lpstr>
      <vt:lpstr>v_16_SU</vt:lpstr>
      <vt:lpstr>v_16_SVFA</vt:lpstr>
      <vt:lpstr>v_16_XACP</vt:lpstr>
      <vt:lpstr>v_16_XAHO</vt:lpstr>
      <vt:lpstr>v_16_XALGAE</vt:lpstr>
      <vt:lpstr>v_16_XAMETO</vt:lpstr>
      <vt:lpstr>v_16_XAMX</vt:lpstr>
      <vt:lpstr>v_16_XAOB</vt:lpstr>
      <vt:lpstr>v_16_XB</vt:lpstr>
      <vt:lpstr>v_16_XB_e</vt:lpstr>
      <vt:lpstr>v_16_XBSH</vt:lpstr>
      <vt:lpstr>v_16_XCaCO3</vt:lpstr>
      <vt:lpstr>v_16_XCASTO</vt:lpstr>
      <vt:lpstr>v_16_XE</vt:lpstr>
      <vt:lpstr>v_16_XE_ana</vt:lpstr>
      <vt:lpstr>v_16_XHAO_H</vt:lpstr>
      <vt:lpstr>v_16_XHAO_H_P</vt:lpstr>
      <vt:lpstr>v_16_XHAO_H_P_old</vt:lpstr>
      <vt:lpstr>v_16_XHAO_L</vt:lpstr>
      <vt:lpstr>v_16_XHAO_L_P</vt:lpstr>
      <vt:lpstr>v_16_XHAO_L_P_old</vt:lpstr>
      <vt:lpstr>v_16_XHAO_old</vt:lpstr>
      <vt:lpstr>v_16_XHFO_H</vt:lpstr>
      <vt:lpstr>v_16_XHFO_H_P</vt:lpstr>
      <vt:lpstr>v_16_XHFO_H_P_old</vt:lpstr>
      <vt:lpstr>v_16_XHFO_L</vt:lpstr>
      <vt:lpstr>v_16_XHFO_L_P</vt:lpstr>
      <vt:lpstr>v_16_XHFO_L_P_old</vt:lpstr>
      <vt:lpstr>v_16_XHFO_old</vt:lpstr>
      <vt:lpstr>v_16_XHMETO</vt:lpstr>
      <vt:lpstr>v_16_XINORG</vt:lpstr>
      <vt:lpstr>v_16_XMEOLO</vt:lpstr>
      <vt:lpstr>v_16_XN_B</vt:lpstr>
      <vt:lpstr>v_16_XN_Be</vt:lpstr>
      <vt:lpstr>v_16_XN_U</vt:lpstr>
      <vt:lpstr>v_16_XNOB</vt:lpstr>
      <vt:lpstr>v_16_XOHO</vt:lpstr>
      <vt:lpstr>v_16_XP_B</vt:lpstr>
      <vt:lpstr>v_16_XP_Be</vt:lpstr>
      <vt:lpstr>v_16_XP_U</vt:lpstr>
      <vt:lpstr>v_16_XPFOA</vt:lpstr>
      <vt:lpstr>v_16_XPFOS</vt:lpstr>
      <vt:lpstr>v_16_XPHA_GAO</vt:lpstr>
      <vt:lpstr>v_16_XPHA_PAO</vt:lpstr>
      <vt:lpstr>v_16_XPP</vt:lpstr>
      <vt:lpstr>v_16_XSTO</vt:lpstr>
      <vt:lpstr>v_16_XSTR</vt:lpstr>
      <vt:lpstr>v_16_XU</vt:lpstr>
      <vt:lpstr>v_16_XVivi</vt:lpstr>
      <vt:lpstr>v_17_CB</vt:lpstr>
      <vt:lpstr>v_17_CU</vt:lpstr>
      <vt:lpstr>v_17_GCH4</vt:lpstr>
      <vt:lpstr>v_17_GCH4_atm</vt:lpstr>
      <vt:lpstr>v_17_GCO2</vt:lpstr>
      <vt:lpstr>v_17_GCO2_atm</vt:lpstr>
      <vt:lpstr>v_17_GH2</vt:lpstr>
      <vt:lpstr>v_17_GH2_atm</vt:lpstr>
      <vt:lpstr>v_17_GN2</vt:lpstr>
      <vt:lpstr>v_17_GN2_atm</vt:lpstr>
      <vt:lpstr>v_17_GNH3</vt:lpstr>
      <vt:lpstr>v_17_GNH3_atm</vt:lpstr>
      <vt:lpstr>v_17_GO2</vt:lpstr>
      <vt:lpstr>v_17_GO2_atm</vt:lpstr>
      <vt:lpstr>v_17_SALPHA</vt:lpstr>
      <vt:lpstr>v_17_SAN</vt:lpstr>
      <vt:lpstr>v_17_SB_mono</vt:lpstr>
      <vt:lpstr>v_17_SB_poly</vt:lpstr>
      <vt:lpstr>v_17_SCa</vt:lpstr>
      <vt:lpstr>v_17_SCAT</vt:lpstr>
      <vt:lpstr>v_17_SCH4</vt:lpstr>
      <vt:lpstr>v_17_SCO2</vt:lpstr>
      <vt:lpstr>v_17_SFe2</vt:lpstr>
      <vt:lpstr>v_17_SH</vt:lpstr>
      <vt:lpstr>v_17_SH2</vt:lpstr>
      <vt:lpstr>v_17_SK</vt:lpstr>
      <vt:lpstr>v_17_SMEOL</vt:lpstr>
      <vt:lpstr>v_17_SMg</vt:lpstr>
      <vt:lpstr>v_17_SN_B</vt:lpstr>
      <vt:lpstr>v_17_SN2</vt:lpstr>
      <vt:lpstr>v_17_SNHx</vt:lpstr>
      <vt:lpstr>v_17_SNO2</vt:lpstr>
      <vt:lpstr>v_17_SNO3</vt:lpstr>
      <vt:lpstr>v_17_SO2</vt:lpstr>
      <vt:lpstr>v_17_SORPswitch</vt:lpstr>
      <vt:lpstr>v_17_SP_B</vt:lpstr>
      <vt:lpstr>v_17_SPFOA</vt:lpstr>
      <vt:lpstr>v_17_SPFOS</vt:lpstr>
      <vt:lpstr>v_17_SPO4</vt:lpstr>
      <vt:lpstr>v_17_SU</vt:lpstr>
      <vt:lpstr>v_17_SVFA</vt:lpstr>
      <vt:lpstr>v_17_XACP</vt:lpstr>
      <vt:lpstr>v_17_XAHO</vt:lpstr>
      <vt:lpstr>v_17_XALGAE</vt:lpstr>
      <vt:lpstr>v_17_XAMETO</vt:lpstr>
      <vt:lpstr>v_17_XAMX</vt:lpstr>
      <vt:lpstr>v_17_XAOB</vt:lpstr>
      <vt:lpstr>v_17_XB</vt:lpstr>
      <vt:lpstr>v_17_XB_e</vt:lpstr>
      <vt:lpstr>v_17_XBSH</vt:lpstr>
      <vt:lpstr>v_17_XCaCO3</vt:lpstr>
      <vt:lpstr>v_17_XCASTO</vt:lpstr>
      <vt:lpstr>v_17_XE</vt:lpstr>
      <vt:lpstr>v_17_XE_ana</vt:lpstr>
      <vt:lpstr>v_17_XHAO_H</vt:lpstr>
      <vt:lpstr>v_17_XHAO_H_P</vt:lpstr>
      <vt:lpstr>v_17_XHAO_H_P_old</vt:lpstr>
      <vt:lpstr>v_17_XHAO_L</vt:lpstr>
      <vt:lpstr>v_17_XHAO_L_P</vt:lpstr>
      <vt:lpstr>v_17_XHAO_L_P_old</vt:lpstr>
      <vt:lpstr>v_17_XHAO_old</vt:lpstr>
      <vt:lpstr>v_17_XHFO_H</vt:lpstr>
      <vt:lpstr>v_17_XHFO_H_P</vt:lpstr>
      <vt:lpstr>v_17_XHFO_H_P_old</vt:lpstr>
      <vt:lpstr>v_17_XHFO_L</vt:lpstr>
      <vt:lpstr>v_17_XHFO_L_P</vt:lpstr>
      <vt:lpstr>v_17_XHFO_L_P_old</vt:lpstr>
      <vt:lpstr>v_17_XHFO_old</vt:lpstr>
      <vt:lpstr>v_17_XHMETO</vt:lpstr>
      <vt:lpstr>v_17_XINORG</vt:lpstr>
      <vt:lpstr>v_17_XMEOLO</vt:lpstr>
      <vt:lpstr>v_17_XN_B</vt:lpstr>
      <vt:lpstr>v_17_XN_Be</vt:lpstr>
      <vt:lpstr>v_17_XN_U</vt:lpstr>
      <vt:lpstr>v_17_XNOB</vt:lpstr>
      <vt:lpstr>v_17_XOHO</vt:lpstr>
      <vt:lpstr>v_17_XP_B</vt:lpstr>
      <vt:lpstr>v_17_XP_Be</vt:lpstr>
      <vt:lpstr>v_17_XP_U</vt:lpstr>
      <vt:lpstr>v_17_XPFOA</vt:lpstr>
      <vt:lpstr>v_17_XPFOS</vt:lpstr>
      <vt:lpstr>v_17_XPHA_GAO</vt:lpstr>
      <vt:lpstr>v_17_XPHA_PAO</vt:lpstr>
      <vt:lpstr>v_17_XPP</vt:lpstr>
      <vt:lpstr>v_17_XSTO</vt:lpstr>
      <vt:lpstr>v_17_XSTR</vt:lpstr>
      <vt:lpstr>v_17_XU</vt:lpstr>
      <vt:lpstr>v_17_XVivi</vt:lpstr>
      <vt:lpstr>v_18_CB</vt:lpstr>
      <vt:lpstr>v_18_CU</vt:lpstr>
      <vt:lpstr>v_18_GCH4</vt:lpstr>
      <vt:lpstr>v_18_GCH4_atm</vt:lpstr>
      <vt:lpstr>v_18_GCO2</vt:lpstr>
      <vt:lpstr>v_18_GCO2_atm</vt:lpstr>
      <vt:lpstr>v_18_GH2</vt:lpstr>
      <vt:lpstr>v_18_GH2_atm</vt:lpstr>
      <vt:lpstr>v_18_GN2</vt:lpstr>
      <vt:lpstr>v_18_GN2_atm</vt:lpstr>
      <vt:lpstr>v_18_GNH3</vt:lpstr>
      <vt:lpstr>v_18_GNH3_atm</vt:lpstr>
      <vt:lpstr>v_18_GO2</vt:lpstr>
      <vt:lpstr>v_18_GO2_atm</vt:lpstr>
      <vt:lpstr>v_18_SALPHA</vt:lpstr>
      <vt:lpstr>v_18_SAN</vt:lpstr>
      <vt:lpstr>v_18_SB_mono</vt:lpstr>
      <vt:lpstr>v_18_SB_poly</vt:lpstr>
      <vt:lpstr>v_18_SCa</vt:lpstr>
      <vt:lpstr>v_18_SCAT</vt:lpstr>
      <vt:lpstr>v_18_SCH4</vt:lpstr>
      <vt:lpstr>v_18_SCO2</vt:lpstr>
      <vt:lpstr>v_18_SFe2</vt:lpstr>
      <vt:lpstr>v_18_SH</vt:lpstr>
      <vt:lpstr>v_18_SH2</vt:lpstr>
      <vt:lpstr>v_18_SK</vt:lpstr>
      <vt:lpstr>v_18_SMEOL</vt:lpstr>
      <vt:lpstr>v_18_SMg</vt:lpstr>
      <vt:lpstr>v_18_SN_B</vt:lpstr>
      <vt:lpstr>v_18_SN2</vt:lpstr>
      <vt:lpstr>v_18_SNHx</vt:lpstr>
      <vt:lpstr>v_18_SNO2</vt:lpstr>
      <vt:lpstr>v_18_SNO3</vt:lpstr>
      <vt:lpstr>v_18_SO2</vt:lpstr>
      <vt:lpstr>v_18_SORPswitch</vt:lpstr>
      <vt:lpstr>v_18_SP_B</vt:lpstr>
      <vt:lpstr>v_18_SPFOA</vt:lpstr>
      <vt:lpstr>v_18_SPFOS</vt:lpstr>
      <vt:lpstr>v_18_SPO4</vt:lpstr>
      <vt:lpstr>v_18_SU</vt:lpstr>
      <vt:lpstr>v_18_SVFA</vt:lpstr>
      <vt:lpstr>v_18_XACP</vt:lpstr>
      <vt:lpstr>v_18_XAHO</vt:lpstr>
      <vt:lpstr>v_18_XALGAE</vt:lpstr>
      <vt:lpstr>v_18_XAMETO</vt:lpstr>
      <vt:lpstr>v_18_XAMX</vt:lpstr>
      <vt:lpstr>v_18_XAOB</vt:lpstr>
      <vt:lpstr>v_18_XB</vt:lpstr>
      <vt:lpstr>v_18_XB_e</vt:lpstr>
      <vt:lpstr>v_18_XBSH</vt:lpstr>
      <vt:lpstr>v_18_XCaCO3</vt:lpstr>
      <vt:lpstr>v_18_XCASTO</vt:lpstr>
      <vt:lpstr>v_18_XE</vt:lpstr>
      <vt:lpstr>v_18_XE_ana</vt:lpstr>
      <vt:lpstr>v_18_XHAO_H</vt:lpstr>
      <vt:lpstr>v_18_XHAO_H_P</vt:lpstr>
      <vt:lpstr>v_18_XHAO_H_P_old</vt:lpstr>
      <vt:lpstr>v_18_XHAO_L</vt:lpstr>
      <vt:lpstr>v_18_XHAO_L_P</vt:lpstr>
      <vt:lpstr>v_18_XHAO_L_P_old</vt:lpstr>
      <vt:lpstr>v_18_XHAO_old</vt:lpstr>
      <vt:lpstr>v_18_XHFO_H</vt:lpstr>
      <vt:lpstr>v_18_XHFO_H_P</vt:lpstr>
      <vt:lpstr>v_18_XHFO_H_P_old</vt:lpstr>
      <vt:lpstr>v_18_XHFO_L</vt:lpstr>
      <vt:lpstr>v_18_XHFO_L_P</vt:lpstr>
      <vt:lpstr>v_18_XHFO_L_P_old</vt:lpstr>
      <vt:lpstr>v_18_XHFO_old</vt:lpstr>
      <vt:lpstr>v_18_XHMETO</vt:lpstr>
      <vt:lpstr>v_18_XINORG</vt:lpstr>
      <vt:lpstr>v_18_XMEOLO</vt:lpstr>
      <vt:lpstr>v_18_XN_B</vt:lpstr>
      <vt:lpstr>v_18_XN_Be</vt:lpstr>
      <vt:lpstr>v_18_XN_U</vt:lpstr>
      <vt:lpstr>v_18_XNOB</vt:lpstr>
      <vt:lpstr>v_18_XOHO</vt:lpstr>
      <vt:lpstr>v_18_XP_B</vt:lpstr>
      <vt:lpstr>v_18_XP_Be</vt:lpstr>
      <vt:lpstr>v_18_XP_U</vt:lpstr>
      <vt:lpstr>v_18_XPFOA</vt:lpstr>
      <vt:lpstr>v_18_XPFOS</vt:lpstr>
      <vt:lpstr>v_18_XPHA_GAO</vt:lpstr>
      <vt:lpstr>v_18_XPHA_PAO</vt:lpstr>
      <vt:lpstr>v_18_XPP</vt:lpstr>
      <vt:lpstr>v_18_XSTO</vt:lpstr>
      <vt:lpstr>v_18_XSTR</vt:lpstr>
      <vt:lpstr>v_18_XU</vt:lpstr>
      <vt:lpstr>v_18_XVivi</vt:lpstr>
      <vt:lpstr>v_19_CB</vt:lpstr>
      <vt:lpstr>v_19_CU</vt:lpstr>
      <vt:lpstr>v_19_GCH4</vt:lpstr>
      <vt:lpstr>v_19_GCH4_atm</vt:lpstr>
      <vt:lpstr>v_19_GCO2</vt:lpstr>
      <vt:lpstr>v_19_GCO2_atm</vt:lpstr>
      <vt:lpstr>v_19_GH2</vt:lpstr>
      <vt:lpstr>v_19_GH2_atm</vt:lpstr>
      <vt:lpstr>v_19_GN2</vt:lpstr>
      <vt:lpstr>v_19_GN2_atm</vt:lpstr>
      <vt:lpstr>v_19_GNH3</vt:lpstr>
      <vt:lpstr>v_19_GNH3_atm</vt:lpstr>
      <vt:lpstr>v_19_GO2</vt:lpstr>
      <vt:lpstr>v_19_GO2_atm</vt:lpstr>
      <vt:lpstr>v_19_SALPHA</vt:lpstr>
      <vt:lpstr>v_19_SAN</vt:lpstr>
      <vt:lpstr>v_19_SB_mono</vt:lpstr>
      <vt:lpstr>v_19_SB_poly</vt:lpstr>
      <vt:lpstr>v_19_SCa</vt:lpstr>
      <vt:lpstr>v_19_SCAT</vt:lpstr>
      <vt:lpstr>v_19_SCH4</vt:lpstr>
      <vt:lpstr>v_19_SCO2</vt:lpstr>
      <vt:lpstr>v_19_SFe2</vt:lpstr>
      <vt:lpstr>v_19_SH</vt:lpstr>
      <vt:lpstr>v_19_SH2</vt:lpstr>
      <vt:lpstr>v_19_SK</vt:lpstr>
      <vt:lpstr>v_19_SMEOL</vt:lpstr>
      <vt:lpstr>v_19_SMg</vt:lpstr>
      <vt:lpstr>v_19_SN_B</vt:lpstr>
      <vt:lpstr>v_19_SN2</vt:lpstr>
      <vt:lpstr>v_19_SNHx</vt:lpstr>
      <vt:lpstr>v_19_SNO2</vt:lpstr>
      <vt:lpstr>v_19_SNO3</vt:lpstr>
      <vt:lpstr>v_19_SO2</vt:lpstr>
      <vt:lpstr>v_19_SORPswitch</vt:lpstr>
      <vt:lpstr>v_19_SP_B</vt:lpstr>
      <vt:lpstr>v_19_SPFOA</vt:lpstr>
      <vt:lpstr>v_19_SPFOS</vt:lpstr>
      <vt:lpstr>v_19_SPO4</vt:lpstr>
      <vt:lpstr>v_19_SU</vt:lpstr>
      <vt:lpstr>v_19_SVFA</vt:lpstr>
      <vt:lpstr>v_19_XACP</vt:lpstr>
      <vt:lpstr>v_19_XAHO</vt:lpstr>
      <vt:lpstr>v_19_XALGAE</vt:lpstr>
      <vt:lpstr>v_19_XAMETO</vt:lpstr>
      <vt:lpstr>v_19_XAMX</vt:lpstr>
      <vt:lpstr>v_19_XAOB</vt:lpstr>
      <vt:lpstr>v_19_XB</vt:lpstr>
      <vt:lpstr>v_19_XB_e</vt:lpstr>
      <vt:lpstr>v_19_XBSH</vt:lpstr>
      <vt:lpstr>v_19_XCaCO3</vt:lpstr>
      <vt:lpstr>v_19_XCASTO</vt:lpstr>
      <vt:lpstr>v_19_XE</vt:lpstr>
      <vt:lpstr>v_19_XE_ana</vt:lpstr>
      <vt:lpstr>v_19_XHAO_H</vt:lpstr>
      <vt:lpstr>v_19_XHAO_H_P</vt:lpstr>
      <vt:lpstr>v_19_XHAO_H_P_old</vt:lpstr>
      <vt:lpstr>v_19_XHAO_L</vt:lpstr>
      <vt:lpstr>v_19_XHAO_L_P</vt:lpstr>
      <vt:lpstr>v_19_XHAO_L_P_old</vt:lpstr>
      <vt:lpstr>v_19_XHAO_old</vt:lpstr>
      <vt:lpstr>v_19_XHFO_H</vt:lpstr>
      <vt:lpstr>v_19_XHFO_H_P</vt:lpstr>
      <vt:lpstr>v_19_XHFO_H_P_old</vt:lpstr>
      <vt:lpstr>v_19_XHFO_L</vt:lpstr>
      <vt:lpstr>v_19_XHFO_L_P</vt:lpstr>
      <vt:lpstr>v_19_XHFO_L_P_old</vt:lpstr>
      <vt:lpstr>v_19_XHFO_old</vt:lpstr>
      <vt:lpstr>v_19_XHMETO</vt:lpstr>
      <vt:lpstr>v_19_XINORG</vt:lpstr>
      <vt:lpstr>v_19_XMEOLO</vt:lpstr>
      <vt:lpstr>v_19_XN_B</vt:lpstr>
      <vt:lpstr>v_19_XN_Be</vt:lpstr>
      <vt:lpstr>v_19_XN_U</vt:lpstr>
      <vt:lpstr>v_19_XNOB</vt:lpstr>
      <vt:lpstr>v_19_XOHO</vt:lpstr>
      <vt:lpstr>v_19_XP_B</vt:lpstr>
      <vt:lpstr>v_19_XP_Be</vt:lpstr>
      <vt:lpstr>v_19_XP_U</vt:lpstr>
      <vt:lpstr>v_19_XPFOA</vt:lpstr>
      <vt:lpstr>v_19_XPFOS</vt:lpstr>
      <vt:lpstr>v_19_XPHA_GAO</vt:lpstr>
      <vt:lpstr>v_19_XPHA_PAO</vt:lpstr>
      <vt:lpstr>v_19_XPP</vt:lpstr>
      <vt:lpstr>v_19_XSTO</vt:lpstr>
      <vt:lpstr>v_19_XSTR</vt:lpstr>
      <vt:lpstr>v_19_XU</vt:lpstr>
      <vt:lpstr>v_19_XVivi</vt:lpstr>
      <vt:lpstr>v_2_CB</vt:lpstr>
      <vt:lpstr>v_2_CU</vt:lpstr>
      <vt:lpstr>v_2_GCH4</vt:lpstr>
      <vt:lpstr>v_2_GCH4_atm</vt:lpstr>
      <vt:lpstr>v_2_GCO2</vt:lpstr>
      <vt:lpstr>v_2_GCO2_atm</vt:lpstr>
      <vt:lpstr>v_2_GH2</vt:lpstr>
      <vt:lpstr>v_2_GH2_atm</vt:lpstr>
      <vt:lpstr>v_2_GN2</vt:lpstr>
      <vt:lpstr>v_2_GN2_atm</vt:lpstr>
      <vt:lpstr>v_2_GNH3</vt:lpstr>
      <vt:lpstr>v_2_GNH3_atm</vt:lpstr>
      <vt:lpstr>v_2_GO2</vt:lpstr>
      <vt:lpstr>v_2_GO2_atm</vt:lpstr>
      <vt:lpstr>v_2_SALPHA</vt:lpstr>
      <vt:lpstr>v_2_SAN</vt:lpstr>
      <vt:lpstr>v_2_SB_mono</vt:lpstr>
      <vt:lpstr>v_2_SB_poly</vt:lpstr>
      <vt:lpstr>v_2_SCa</vt:lpstr>
      <vt:lpstr>v_2_SCAT</vt:lpstr>
      <vt:lpstr>v_2_SCH4</vt:lpstr>
      <vt:lpstr>v_2_SCO2</vt:lpstr>
      <vt:lpstr>v_2_SFe2</vt:lpstr>
      <vt:lpstr>v_2_SH</vt:lpstr>
      <vt:lpstr>v_2_SH2</vt:lpstr>
      <vt:lpstr>v_2_SK</vt:lpstr>
      <vt:lpstr>v_2_SMEOL</vt:lpstr>
      <vt:lpstr>v_2_SMg</vt:lpstr>
      <vt:lpstr>v_2_SN_B</vt:lpstr>
      <vt:lpstr>v_2_SN2</vt:lpstr>
      <vt:lpstr>v_2_SNHx</vt:lpstr>
      <vt:lpstr>v_2_SNO2</vt:lpstr>
      <vt:lpstr>v_2_SNO3</vt:lpstr>
      <vt:lpstr>v_2_SO2</vt:lpstr>
      <vt:lpstr>v_2_SORPswitch</vt:lpstr>
      <vt:lpstr>v_2_SP_B</vt:lpstr>
      <vt:lpstr>v_2_SPFOA</vt:lpstr>
      <vt:lpstr>v_2_SPFOS</vt:lpstr>
      <vt:lpstr>v_2_SPO4</vt:lpstr>
      <vt:lpstr>v_2_SU</vt:lpstr>
      <vt:lpstr>v_2_SVFA</vt:lpstr>
      <vt:lpstr>v_2_XACP</vt:lpstr>
      <vt:lpstr>v_2_XAHO</vt:lpstr>
      <vt:lpstr>v_2_XALGAE</vt:lpstr>
      <vt:lpstr>v_2_XAMETO</vt:lpstr>
      <vt:lpstr>v_2_XAMX</vt:lpstr>
      <vt:lpstr>v_2_XAOB</vt:lpstr>
      <vt:lpstr>v_2_XB</vt:lpstr>
      <vt:lpstr>v_2_XB_e</vt:lpstr>
      <vt:lpstr>v_2_XBSH</vt:lpstr>
      <vt:lpstr>v_2_XCaCO3</vt:lpstr>
      <vt:lpstr>v_2_XCASTO</vt:lpstr>
      <vt:lpstr>v_2_XE</vt:lpstr>
      <vt:lpstr>v_2_XE_ana</vt:lpstr>
      <vt:lpstr>v_2_XHAO_H</vt:lpstr>
      <vt:lpstr>v_2_XHAO_H_P</vt:lpstr>
      <vt:lpstr>v_2_XHAO_H_P_old</vt:lpstr>
      <vt:lpstr>v_2_XHAO_L</vt:lpstr>
      <vt:lpstr>v_2_XHAO_L_P</vt:lpstr>
      <vt:lpstr>v_2_XHAO_L_P_old</vt:lpstr>
      <vt:lpstr>v_2_XHAO_old</vt:lpstr>
      <vt:lpstr>v_2_XHFO_H</vt:lpstr>
      <vt:lpstr>v_2_XHFO_H_P</vt:lpstr>
      <vt:lpstr>v_2_XHFO_H_P_old</vt:lpstr>
      <vt:lpstr>v_2_XHFO_L</vt:lpstr>
      <vt:lpstr>v_2_XHFO_L_P</vt:lpstr>
      <vt:lpstr>v_2_XHFO_L_P_old</vt:lpstr>
      <vt:lpstr>v_2_XHFO_old</vt:lpstr>
      <vt:lpstr>v_2_XHMETO</vt:lpstr>
      <vt:lpstr>v_2_XINORG</vt:lpstr>
      <vt:lpstr>v_2_XMEOLO</vt:lpstr>
      <vt:lpstr>v_2_XN_B</vt:lpstr>
      <vt:lpstr>v_2_XN_Be</vt:lpstr>
      <vt:lpstr>v_2_XN_U</vt:lpstr>
      <vt:lpstr>v_2_XNOB</vt:lpstr>
      <vt:lpstr>v_2_XOHO</vt:lpstr>
      <vt:lpstr>v_2_XP_B</vt:lpstr>
      <vt:lpstr>v_2_XP_Be</vt:lpstr>
      <vt:lpstr>v_2_XP_U</vt:lpstr>
      <vt:lpstr>v_2_XPFOA</vt:lpstr>
      <vt:lpstr>v_2_XPFOS</vt:lpstr>
      <vt:lpstr>v_2_XPHA_GAO</vt:lpstr>
      <vt:lpstr>v_2_XPHA_PAO</vt:lpstr>
      <vt:lpstr>v_2_XPP</vt:lpstr>
      <vt:lpstr>v_2_XSTO</vt:lpstr>
      <vt:lpstr>v_2_XSTR</vt:lpstr>
      <vt:lpstr>v_2_XU</vt:lpstr>
      <vt:lpstr>v_2_XVivi</vt:lpstr>
      <vt:lpstr>v_20_CB</vt:lpstr>
      <vt:lpstr>v_20_CU</vt:lpstr>
      <vt:lpstr>v_20_GCH4</vt:lpstr>
      <vt:lpstr>v_20_GCH4_atm</vt:lpstr>
      <vt:lpstr>v_20_GCO2</vt:lpstr>
      <vt:lpstr>v_20_GCO2_atm</vt:lpstr>
      <vt:lpstr>v_20_GH2</vt:lpstr>
      <vt:lpstr>v_20_GH2_atm</vt:lpstr>
      <vt:lpstr>v_20_GN2</vt:lpstr>
      <vt:lpstr>v_20_GN2_atm</vt:lpstr>
      <vt:lpstr>v_20_GNH3</vt:lpstr>
      <vt:lpstr>v_20_GNH3_atm</vt:lpstr>
      <vt:lpstr>v_20_GO2</vt:lpstr>
      <vt:lpstr>v_20_GO2_atm</vt:lpstr>
      <vt:lpstr>v_20_SALPHA</vt:lpstr>
      <vt:lpstr>v_20_SAN</vt:lpstr>
      <vt:lpstr>v_20_SB_mono</vt:lpstr>
      <vt:lpstr>v_20_SB_poly</vt:lpstr>
      <vt:lpstr>v_20_SCa</vt:lpstr>
      <vt:lpstr>v_20_SCAT</vt:lpstr>
      <vt:lpstr>v_20_SCH4</vt:lpstr>
      <vt:lpstr>v_20_SCO2</vt:lpstr>
      <vt:lpstr>v_20_SFe2</vt:lpstr>
      <vt:lpstr>v_20_SH</vt:lpstr>
      <vt:lpstr>v_20_SH2</vt:lpstr>
      <vt:lpstr>v_20_SK</vt:lpstr>
      <vt:lpstr>v_20_SMEOL</vt:lpstr>
      <vt:lpstr>v_20_SMg</vt:lpstr>
      <vt:lpstr>v_20_SN_B</vt:lpstr>
      <vt:lpstr>v_20_SN2</vt:lpstr>
      <vt:lpstr>v_20_SNHx</vt:lpstr>
      <vt:lpstr>v_20_SNO2</vt:lpstr>
      <vt:lpstr>v_20_SNO3</vt:lpstr>
      <vt:lpstr>v_20_SO2</vt:lpstr>
      <vt:lpstr>v_20_SORPswitch</vt:lpstr>
      <vt:lpstr>v_20_SP_B</vt:lpstr>
      <vt:lpstr>v_20_SPFOA</vt:lpstr>
      <vt:lpstr>v_20_SPFOS</vt:lpstr>
      <vt:lpstr>v_20_SPO4</vt:lpstr>
      <vt:lpstr>v_20_SU</vt:lpstr>
      <vt:lpstr>v_20_SVFA</vt:lpstr>
      <vt:lpstr>v_20_XACP</vt:lpstr>
      <vt:lpstr>v_20_XAHO</vt:lpstr>
      <vt:lpstr>v_20_XALGAE</vt:lpstr>
      <vt:lpstr>v_20_XAMETO</vt:lpstr>
      <vt:lpstr>v_20_XAMX</vt:lpstr>
      <vt:lpstr>v_20_XAOB</vt:lpstr>
      <vt:lpstr>v_20_XB</vt:lpstr>
      <vt:lpstr>v_20_XB_e</vt:lpstr>
      <vt:lpstr>v_20_XBSH</vt:lpstr>
      <vt:lpstr>v_20_XCaCO3</vt:lpstr>
      <vt:lpstr>v_20_XCASTO</vt:lpstr>
      <vt:lpstr>v_20_XE</vt:lpstr>
      <vt:lpstr>v_20_XE_ana</vt:lpstr>
      <vt:lpstr>v_20_XHAO_H</vt:lpstr>
      <vt:lpstr>v_20_XHAO_H_P</vt:lpstr>
      <vt:lpstr>v_20_XHAO_H_P_old</vt:lpstr>
      <vt:lpstr>v_20_XHAO_L</vt:lpstr>
      <vt:lpstr>v_20_XHAO_L_P</vt:lpstr>
      <vt:lpstr>v_20_XHAO_L_P_old</vt:lpstr>
      <vt:lpstr>v_20_XHAO_old</vt:lpstr>
      <vt:lpstr>v_20_XHFO_H</vt:lpstr>
      <vt:lpstr>v_20_XHFO_H_P</vt:lpstr>
      <vt:lpstr>v_20_XHFO_H_P_old</vt:lpstr>
      <vt:lpstr>v_20_XHFO_L</vt:lpstr>
      <vt:lpstr>v_20_XHFO_L_P</vt:lpstr>
      <vt:lpstr>v_20_XHFO_L_P_old</vt:lpstr>
      <vt:lpstr>v_20_XHFO_old</vt:lpstr>
      <vt:lpstr>v_20_XHMETO</vt:lpstr>
      <vt:lpstr>v_20_XINORG</vt:lpstr>
      <vt:lpstr>v_20_XMEOLO</vt:lpstr>
      <vt:lpstr>v_20_XN_B</vt:lpstr>
      <vt:lpstr>v_20_XN_Be</vt:lpstr>
      <vt:lpstr>v_20_XN_U</vt:lpstr>
      <vt:lpstr>v_20_XNOB</vt:lpstr>
      <vt:lpstr>v_20_XOHO</vt:lpstr>
      <vt:lpstr>v_20_XP_B</vt:lpstr>
      <vt:lpstr>v_20_XP_Be</vt:lpstr>
      <vt:lpstr>v_20_XP_U</vt:lpstr>
      <vt:lpstr>v_20_XPFOA</vt:lpstr>
      <vt:lpstr>v_20_XPFOS</vt:lpstr>
      <vt:lpstr>v_20_XPHA_GAO</vt:lpstr>
      <vt:lpstr>v_20_XPHA_PAO</vt:lpstr>
      <vt:lpstr>v_20_XPP</vt:lpstr>
      <vt:lpstr>v_20_XSTO</vt:lpstr>
      <vt:lpstr>v_20_XSTR</vt:lpstr>
      <vt:lpstr>v_20_XU</vt:lpstr>
      <vt:lpstr>v_20_XVivi</vt:lpstr>
      <vt:lpstr>v_21_CB</vt:lpstr>
      <vt:lpstr>v_21_CU</vt:lpstr>
      <vt:lpstr>v_21_GCH4</vt:lpstr>
      <vt:lpstr>v_21_GCH4_atm</vt:lpstr>
      <vt:lpstr>v_21_GCO2</vt:lpstr>
      <vt:lpstr>v_21_GCO2_atm</vt:lpstr>
      <vt:lpstr>v_21_GH2</vt:lpstr>
      <vt:lpstr>v_21_GH2_atm</vt:lpstr>
      <vt:lpstr>v_21_GN2</vt:lpstr>
      <vt:lpstr>v_21_GN2_atm</vt:lpstr>
      <vt:lpstr>v_21_GNH3</vt:lpstr>
      <vt:lpstr>v_21_GNH3_atm</vt:lpstr>
      <vt:lpstr>v_21_GO2</vt:lpstr>
      <vt:lpstr>v_21_GO2_atm</vt:lpstr>
      <vt:lpstr>v_21_SALPHA</vt:lpstr>
      <vt:lpstr>v_21_SAN</vt:lpstr>
      <vt:lpstr>v_21_SB_mono</vt:lpstr>
      <vt:lpstr>v_21_SB_poly</vt:lpstr>
      <vt:lpstr>v_21_SCa</vt:lpstr>
      <vt:lpstr>v_21_SCAT</vt:lpstr>
      <vt:lpstr>v_21_SCH4</vt:lpstr>
      <vt:lpstr>v_21_SCO2</vt:lpstr>
      <vt:lpstr>v_21_SFe2</vt:lpstr>
      <vt:lpstr>v_21_SH</vt:lpstr>
      <vt:lpstr>v_21_SH2</vt:lpstr>
      <vt:lpstr>v_21_SK</vt:lpstr>
      <vt:lpstr>v_21_SMEOL</vt:lpstr>
      <vt:lpstr>v_21_SMg</vt:lpstr>
      <vt:lpstr>v_21_SN_B</vt:lpstr>
      <vt:lpstr>v_21_SN2</vt:lpstr>
      <vt:lpstr>v_21_SNHx</vt:lpstr>
      <vt:lpstr>v_21_SNO2</vt:lpstr>
      <vt:lpstr>v_21_SNO3</vt:lpstr>
      <vt:lpstr>v_21_SO2</vt:lpstr>
      <vt:lpstr>v_21_SORPswitch</vt:lpstr>
      <vt:lpstr>v_21_SP_B</vt:lpstr>
      <vt:lpstr>v_21_SPFOA</vt:lpstr>
      <vt:lpstr>v_21_SPFOS</vt:lpstr>
      <vt:lpstr>v_21_SPO4</vt:lpstr>
      <vt:lpstr>v_21_SU</vt:lpstr>
      <vt:lpstr>v_21_SVFA</vt:lpstr>
      <vt:lpstr>v_21_XACP</vt:lpstr>
      <vt:lpstr>v_21_XAHO</vt:lpstr>
      <vt:lpstr>v_21_XALGAE</vt:lpstr>
      <vt:lpstr>v_21_XAMETO</vt:lpstr>
      <vt:lpstr>v_21_XAMX</vt:lpstr>
      <vt:lpstr>v_21_XAOB</vt:lpstr>
      <vt:lpstr>v_21_XB</vt:lpstr>
      <vt:lpstr>v_21_XB_e</vt:lpstr>
      <vt:lpstr>v_21_XBSH</vt:lpstr>
      <vt:lpstr>v_21_XCaCO3</vt:lpstr>
      <vt:lpstr>v_21_XCASTO</vt:lpstr>
      <vt:lpstr>v_21_XE</vt:lpstr>
      <vt:lpstr>v_21_XE_ana</vt:lpstr>
      <vt:lpstr>v_21_XHAO_H</vt:lpstr>
      <vt:lpstr>v_21_XHAO_H_P</vt:lpstr>
      <vt:lpstr>v_21_XHAO_H_P_old</vt:lpstr>
      <vt:lpstr>v_21_XHAO_L</vt:lpstr>
      <vt:lpstr>v_21_XHAO_L_P</vt:lpstr>
      <vt:lpstr>v_21_XHAO_L_P_old</vt:lpstr>
      <vt:lpstr>v_21_XHAO_old</vt:lpstr>
      <vt:lpstr>v_21_XHFO_H</vt:lpstr>
      <vt:lpstr>v_21_XHFO_H_P</vt:lpstr>
      <vt:lpstr>v_21_XHFO_H_P_old</vt:lpstr>
      <vt:lpstr>v_21_XHFO_L</vt:lpstr>
      <vt:lpstr>v_21_XHFO_L_P</vt:lpstr>
      <vt:lpstr>v_21_XHFO_L_P_old</vt:lpstr>
      <vt:lpstr>v_21_XHFO_old</vt:lpstr>
      <vt:lpstr>v_21_XHMETO</vt:lpstr>
      <vt:lpstr>v_21_XINORG</vt:lpstr>
      <vt:lpstr>v_21_XMEOLO</vt:lpstr>
      <vt:lpstr>v_21_XN_B</vt:lpstr>
      <vt:lpstr>v_21_XN_Be</vt:lpstr>
      <vt:lpstr>v_21_XN_U</vt:lpstr>
      <vt:lpstr>v_21_XNOB</vt:lpstr>
      <vt:lpstr>v_21_XOHO</vt:lpstr>
      <vt:lpstr>v_21_XP_B</vt:lpstr>
      <vt:lpstr>v_21_XP_Be</vt:lpstr>
      <vt:lpstr>v_21_XP_U</vt:lpstr>
      <vt:lpstr>v_21_XPFOA</vt:lpstr>
      <vt:lpstr>v_21_XPFOS</vt:lpstr>
      <vt:lpstr>v_21_XPHA_GAO</vt:lpstr>
      <vt:lpstr>v_21_XPHA_PAO</vt:lpstr>
      <vt:lpstr>v_21_XPP</vt:lpstr>
      <vt:lpstr>v_21_XSTO</vt:lpstr>
      <vt:lpstr>v_21_XSTR</vt:lpstr>
      <vt:lpstr>v_21_XU</vt:lpstr>
      <vt:lpstr>v_21_XVivi</vt:lpstr>
      <vt:lpstr>v_22_CB</vt:lpstr>
      <vt:lpstr>v_22_CU</vt:lpstr>
      <vt:lpstr>v_22_GCH4</vt:lpstr>
      <vt:lpstr>v_22_GCH4_atm</vt:lpstr>
      <vt:lpstr>v_22_GCO2</vt:lpstr>
      <vt:lpstr>v_22_GCO2_atm</vt:lpstr>
      <vt:lpstr>v_22_GH2</vt:lpstr>
      <vt:lpstr>v_22_GH2_atm</vt:lpstr>
      <vt:lpstr>v_22_GN2</vt:lpstr>
      <vt:lpstr>v_22_GN2_atm</vt:lpstr>
      <vt:lpstr>v_22_GNH3</vt:lpstr>
      <vt:lpstr>v_22_GNH3_atm</vt:lpstr>
      <vt:lpstr>v_22_GO2</vt:lpstr>
      <vt:lpstr>v_22_GO2_atm</vt:lpstr>
      <vt:lpstr>v_22_SALPHA</vt:lpstr>
      <vt:lpstr>v_22_SAN</vt:lpstr>
      <vt:lpstr>v_22_SB_mono</vt:lpstr>
      <vt:lpstr>v_22_SB_poly</vt:lpstr>
      <vt:lpstr>v_22_SCa</vt:lpstr>
      <vt:lpstr>v_22_SCAT</vt:lpstr>
      <vt:lpstr>v_22_SCH4</vt:lpstr>
      <vt:lpstr>v_22_SCO2</vt:lpstr>
      <vt:lpstr>v_22_SFe2</vt:lpstr>
      <vt:lpstr>v_22_SH</vt:lpstr>
      <vt:lpstr>v_22_SH2</vt:lpstr>
      <vt:lpstr>v_22_SK</vt:lpstr>
      <vt:lpstr>v_22_SMEOL</vt:lpstr>
      <vt:lpstr>v_22_SMg</vt:lpstr>
      <vt:lpstr>v_22_SN_B</vt:lpstr>
      <vt:lpstr>v_22_SN2</vt:lpstr>
      <vt:lpstr>v_22_SNHx</vt:lpstr>
      <vt:lpstr>v_22_SNO2</vt:lpstr>
      <vt:lpstr>v_22_SNO3</vt:lpstr>
      <vt:lpstr>v_22_SO2</vt:lpstr>
      <vt:lpstr>v_22_SORPswitch</vt:lpstr>
      <vt:lpstr>v_22_SP_B</vt:lpstr>
      <vt:lpstr>v_22_SPFOA</vt:lpstr>
      <vt:lpstr>v_22_SPFOS</vt:lpstr>
      <vt:lpstr>v_22_SPO4</vt:lpstr>
      <vt:lpstr>v_22_SU</vt:lpstr>
      <vt:lpstr>v_22_SVFA</vt:lpstr>
      <vt:lpstr>v_22_XACP</vt:lpstr>
      <vt:lpstr>v_22_XAHO</vt:lpstr>
      <vt:lpstr>v_22_XALGAE</vt:lpstr>
      <vt:lpstr>v_22_XAMETO</vt:lpstr>
      <vt:lpstr>v_22_XAMX</vt:lpstr>
      <vt:lpstr>v_22_XAOB</vt:lpstr>
      <vt:lpstr>v_22_XB</vt:lpstr>
      <vt:lpstr>v_22_XB_e</vt:lpstr>
      <vt:lpstr>v_22_XBSH</vt:lpstr>
      <vt:lpstr>v_22_XCaCO3</vt:lpstr>
      <vt:lpstr>v_22_XCASTO</vt:lpstr>
      <vt:lpstr>v_22_XE</vt:lpstr>
      <vt:lpstr>v_22_XE_ana</vt:lpstr>
      <vt:lpstr>v_22_XHAO_H</vt:lpstr>
      <vt:lpstr>v_22_XHAO_H_P</vt:lpstr>
      <vt:lpstr>v_22_XHAO_H_P_old</vt:lpstr>
      <vt:lpstr>v_22_XHAO_L</vt:lpstr>
      <vt:lpstr>v_22_XHAO_L_P</vt:lpstr>
      <vt:lpstr>v_22_XHAO_L_P_old</vt:lpstr>
      <vt:lpstr>v_22_XHAO_old</vt:lpstr>
      <vt:lpstr>v_22_XHFO_H</vt:lpstr>
      <vt:lpstr>v_22_XHFO_H_P</vt:lpstr>
      <vt:lpstr>v_22_XHFO_H_P_old</vt:lpstr>
      <vt:lpstr>v_22_XHFO_L</vt:lpstr>
      <vt:lpstr>v_22_XHFO_L_P</vt:lpstr>
      <vt:lpstr>v_22_XHFO_L_P_old</vt:lpstr>
      <vt:lpstr>v_22_XHFO_old</vt:lpstr>
      <vt:lpstr>v_22_XHMETO</vt:lpstr>
      <vt:lpstr>v_22_XINORG</vt:lpstr>
      <vt:lpstr>v_22_XMEOLO</vt:lpstr>
      <vt:lpstr>v_22_XN_B</vt:lpstr>
      <vt:lpstr>v_22_XN_Be</vt:lpstr>
      <vt:lpstr>v_22_XN_U</vt:lpstr>
      <vt:lpstr>v_22_XNOB</vt:lpstr>
      <vt:lpstr>v_22_XOHO</vt:lpstr>
      <vt:lpstr>v_22_XP_B</vt:lpstr>
      <vt:lpstr>v_22_XP_Be</vt:lpstr>
      <vt:lpstr>v_22_XP_U</vt:lpstr>
      <vt:lpstr>v_22_XPFOA</vt:lpstr>
      <vt:lpstr>v_22_XPFOS</vt:lpstr>
      <vt:lpstr>v_22_XPHA_GAO</vt:lpstr>
      <vt:lpstr>v_22_XPHA_PAO</vt:lpstr>
      <vt:lpstr>v_22_XPP</vt:lpstr>
      <vt:lpstr>v_22_XSTO</vt:lpstr>
      <vt:lpstr>v_22_XSTR</vt:lpstr>
      <vt:lpstr>v_22_XU</vt:lpstr>
      <vt:lpstr>v_22_XVivi</vt:lpstr>
      <vt:lpstr>v_23_CB</vt:lpstr>
      <vt:lpstr>v_23_CU</vt:lpstr>
      <vt:lpstr>v_23_GCH4</vt:lpstr>
      <vt:lpstr>v_23_GCH4_atm</vt:lpstr>
      <vt:lpstr>v_23_GCO2</vt:lpstr>
      <vt:lpstr>v_23_GCO2_atm</vt:lpstr>
      <vt:lpstr>v_23_GH2</vt:lpstr>
      <vt:lpstr>v_23_GH2_atm</vt:lpstr>
      <vt:lpstr>v_23_GN2</vt:lpstr>
      <vt:lpstr>v_23_GN2_atm</vt:lpstr>
      <vt:lpstr>v_23_GNH3</vt:lpstr>
      <vt:lpstr>v_23_GNH3_atm</vt:lpstr>
      <vt:lpstr>v_23_GO2</vt:lpstr>
      <vt:lpstr>v_23_GO2_atm</vt:lpstr>
      <vt:lpstr>v_23_SALPHA</vt:lpstr>
      <vt:lpstr>v_23_SAN</vt:lpstr>
      <vt:lpstr>v_23_SB_mono</vt:lpstr>
      <vt:lpstr>v_23_SB_poly</vt:lpstr>
      <vt:lpstr>v_23_SCa</vt:lpstr>
      <vt:lpstr>v_23_SCAT</vt:lpstr>
      <vt:lpstr>v_23_SCH4</vt:lpstr>
      <vt:lpstr>v_23_SCO2</vt:lpstr>
      <vt:lpstr>v_23_SFe2</vt:lpstr>
      <vt:lpstr>v_23_SH</vt:lpstr>
      <vt:lpstr>v_23_SH2</vt:lpstr>
      <vt:lpstr>v_23_SK</vt:lpstr>
      <vt:lpstr>v_23_SMEOL</vt:lpstr>
      <vt:lpstr>v_23_SMg</vt:lpstr>
      <vt:lpstr>v_23_SN_B</vt:lpstr>
      <vt:lpstr>v_23_SN2</vt:lpstr>
      <vt:lpstr>v_23_SNHx</vt:lpstr>
      <vt:lpstr>v_23_SNO2</vt:lpstr>
      <vt:lpstr>v_23_SNO3</vt:lpstr>
      <vt:lpstr>v_23_SO2</vt:lpstr>
      <vt:lpstr>v_23_SORPswitch</vt:lpstr>
      <vt:lpstr>v_23_SP_B</vt:lpstr>
      <vt:lpstr>v_23_SPFOA</vt:lpstr>
      <vt:lpstr>v_23_SPFOS</vt:lpstr>
      <vt:lpstr>v_23_SPO4</vt:lpstr>
      <vt:lpstr>v_23_SU</vt:lpstr>
      <vt:lpstr>v_23_SVFA</vt:lpstr>
      <vt:lpstr>v_23_XACP</vt:lpstr>
      <vt:lpstr>v_23_XAHO</vt:lpstr>
      <vt:lpstr>v_23_XALGAE</vt:lpstr>
      <vt:lpstr>v_23_XAMETO</vt:lpstr>
      <vt:lpstr>v_23_XAMX</vt:lpstr>
      <vt:lpstr>v_23_XAOB</vt:lpstr>
      <vt:lpstr>v_23_XB</vt:lpstr>
      <vt:lpstr>v_23_XB_e</vt:lpstr>
      <vt:lpstr>v_23_XBSH</vt:lpstr>
      <vt:lpstr>v_23_XCaCO3</vt:lpstr>
      <vt:lpstr>v_23_XCASTO</vt:lpstr>
      <vt:lpstr>v_23_XE</vt:lpstr>
      <vt:lpstr>v_23_XE_ana</vt:lpstr>
      <vt:lpstr>v_23_XHAO_H</vt:lpstr>
      <vt:lpstr>v_23_XHAO_H_P</vt:lpstr>
      <vt:lpstr>v_23_XHAO_H_P_old</vt:lpstr>
      <vt:lpstr>v_23_XHAO_L</vt:lpstr>
      <vt:lpstr>v_23_XHAO_L_P</vt:lpstr>
      <vt:lpstr>v_23_XHAO_L_P_old</vt:lpstr>
      <vt:lpstr>v_23_XHAO_old</vt:lpstr>
      <vt:lpstr>v_23_XHFO_H</vt:lpstr>
      <vt:lpstr>v_23_XHFO_H_P</vt:lpstr>
      <vt:lpstr>v_23_XHFO_H_P_old</vt:lpstr>
      <vt:lpstr>v_23_XHFO_L</vt:lpstr>
      <vt:lpstr>v_23_XHFO_L_P</vt:lpstr>
      <vt:lpstr>v_23_XHFO_L_P_old</vt:lpstr>
      <vt:lpstr>v_23_XHFO_old</vt:lpstr>
      <vt:lpstr>v_23_XHMETO</vt:lpstr>
      <vt:lpstr>v_23_XINORG</vt:lpstr>
      <vt:lpstr>v_23_XMEOLO</vt:lpstr>
      <vt:lpstr>v_23_XN_B</vt:lpstr>
      <vt:lpstr>v_23_XN_Be</vt:lpstr>
      <vt:lpstr>v_23_XN_U</vt:lpstr>
      <vt:lpstr>v_23_XNOB</vt:lpstr>
      <vt:lpstr>v_23_XOHO</vt:lpstr>
      <vt:lpstr>v_23_XP_B</vt:lpstr>
      <vt:lpstr>v_23_XP_Be</vt:lpstr>
      <vt:lpstr>v_23_XP_U</vt:lpstr>
      <vt:lpstr>v_23_XPFOA</vt:lpstr>
      <vt:lpstr>v_23_XPFOS</vt:lpstr>
      <vt:lpstr>v_23_XPHA_GAO</vt:lpstr>
      <vt:lpstr>v_23_XPHA_PAO</vt:lpstr>
      <vt:lpstr>v_23_XPP</vt:lpstr>
      <vt:lpstr>v_23_XSTO</vt:lpstr>
      <vt:lpstr>v_23_XSTR</vt:lpstr>
      <vt:lpstr>v_23_XU</vt:lpstr>
      <vt:lpstr>v_23_XVivi</vt:lpstr>
      <vt:lpstr>v_24_CB</vt:lpstr>
      <vt:lpstr>v_24_CU</vt:lpstr>
      <vt:lpstr>v_24_GCH4</vt:lpstr>
      <vt:lpstr>v_24_GCH4_atm</vt:lpstr>
      <vt:lpstr>v_24_GCO2</vt:lpstr>
      <vt:lpstr>v_24_GCO2_atm</vt:lpstr>
      <vt:lpstr>v_24_GH2</vt:lpstr>
      <vt:lpstr>v_24_GH2_atm</vt:lpstr>
      <vt:lpstr>v_24_GN2</vt:lpstr>
      <vt:lpstr>v_24_GN2_atm</vt:lpstr>
      <vt:lpstr>v_24_GNH3</vt:lpstr>
      <vt:lpstr>v_24_GNH3_atm</vt:lpstr>
      <vt:lpstr>v_24_GO2</vt:lpstr>
      <vt:lpstr>v_24_GO2_atm</vt:lpstr>
      <vt:lpstr>v_24_SALPHA</vt:lpstr>
      <vt:lpstr>v_24_SAN</vt:lpstr>
      <vt:lpstr>v_24_SB_mono</vt:lpstr>
      <vt:lpstr>v_24_SB_poly</vt:lpstr>
      <vt:lpstr>v_24_SCa</vt:lpstr>
      <vt:lpstr>v_24_SCAT</vt:lpstr>
      <vt:lpstr>v_24_SCH4</vt:lpstr>
      <vt:lpstr>v_24_SCO2</vt:lpstr>
      <vt:lpstr>v_24_SFe2</vt:lpstr>
      <vt:lpstr>v_24_SH</vt:lpstr>
      <vt:lpstr>v_24_SH2</vt:lpstr>
      <vt:lpstr>v_24_SK</vt:lpstr>
      <vt:lpstr>v_24_SMEOL</vt:lpstr>
      <vt:lpstr>v_24_SMg</vt:lpstr>
      <vt:lpstr>v_24_SN_B</vt:lpstr>
      <vt:lpstr>v_24_SN2</vt:lpstr>
      <vt:lpstr>v_24_SNHx</vt:lpstr>
      <vt:lpstr>v_24_SNO2</vt:lpstr>
      <vt:lpstr>v_24_SNO3</vt:lpstr>
      <vt:lpstr>v_24_SO2</vt:lpstr>
      <vt:lpstr>v_24_SORPswitch</vt:lpstr>
      <vt:lpstr>v_24_SP_B</vt:lpstr>
      <vt:lpstr>v_24_SPFOA</vt:lpstr>
      <vt:lpstr>v_24_SPFOS</vt:lpstr>
      <vt:lpstr>v_24_SPO4</vt:lpstr>
      <vt:lpstr>v_24_SU</vt:lpstr>
      <vt:lpstr>v_24_SVFA</vt:lpstr>
      <vt:lpstr>v_24_XACP</vt:lpstr>
      <vt:lpstr>v_24_XAHO</vt:lpstr>
      <vt:lpstr>v_24_XALGAE</vt:lpstr>
      <vt:lpstr>v_24_XAMETO</vt:lpstr>
      <vt:lpstr>v_24_XAMX</vt:lpstr>
      <vt:lpstr>v_24_XAOB</vt:lpstr>
      <vt:lpstr>v_24_XB</vt:lpstr>
      <vt:lpstr>v_24_XB_e</vt:lpstr>
      <vt:lpstr>v_24_XBSH</vt:lpstr>
      <vt:lpstr>v_24_XCaCO3</vt:lpstr>
      <vt:lpstr>v_24_XCASTO</vt:lpstr>
      <vt:lpstr>v_24_XE</vt:lpstr>
      <vt:lpstr>v_24_XE_ana</vt:lpstr>
      <vt:lpstr>v_24_XHAO_H</vt:lpstr>
      <vt:lpstr>v_24_XHAO_H_P</vt:lpstr>
      <vt:lpstr>v_24_XHAO_H_P_old</vt:lpstr>
      <vt:lpstr>v_24_XHAO_L</vt:lpstr>
      <vt:lpstr>v_24_XHAO_L_P</vt:lpstr>
      <vt:lpstr>v_24_XHAO_L_P_old</vt:lpstr>
      <vt:lpstr>v_24_XHAO_old</vt:lpstr>
      <vt:lpstr>v_24_XHFO_H</vt:lpstr>
      <vt:lpstr>v_24_XHFO_H_P</vt:lpstr>
      <vt:lpstr>v_24_XHFO_H_P_old</vt:lpstr>
      <vt:lpstr>v_24_XHFO_L</vt:lpstr>
      <vt:lpstr>v_24_XHFO_L_P</vt:lpstr>
      <vt:lpstr>v_24_XHFO_L_P_old</vt:lpstr>
      <vt:lpstr>v_24_XHFO_old</vt:lpstr>
      <vt:lpstr>v_24_XHMETO</vt:lpstr>
      <vt:lpstr>v_24_XINORG</vt:lpstr>
      <vt:lpstr>v_24_XMEOLO</vt:lpstr>
      <vt:lpstr>v_24_XN_B</vt:lpstr>
      <vt:lpstr>v_24_XN_Be</vt:lpstr>
      <vt:lpstr>v_24_XN_U</vt:lpstr>
      <vt:lpstr>v_24_XNOB</vt:lpstr>
      <vt:lpstr>v_24_XOHO</vt:lpstr>
      <vt:lpstr>v_24_XP_B</vt:lpstr>
      <vt:lpstr>v_24_XP_Be</vt:lpstr>
      <vt:lpstr>v_24_XP_U</vt:lpstr>
      <vt:lpstr>v_24_XPFOA</vt:lpstr>
      <vt:lpstr>v_24_XPFOS</vt:lpstr>
      <vt:lpstr>v_24_XPHA_GAO</vt:lpstr>
      <vt:lpstr>v_24_XPHA_PAO</vt:lpstr>
      <vt:lpstr>v_24_XPP</vt:lpstr>
      <vt:lpstr>v_24_XSTO</vt:lpstr>
      <vt:lpstr>v_24_XSTR</vt:lpstr>
      <vt:lpstr>v_24_XU</vt:lpstr>
      <vt:lpstr>v_24_XVivi</vt:lpstr>
      <vt:lpstr>v_25_CB</vt:lpstr>
      <vt:lpstr>v_25_CU</vt:lpstr>
      <vt:lpstr>v_25_GCH4</vt:lpstr>
      <vt:lpstr>v_25_GCH4_atm</vt:lpstr>
      <vt:lpstr>v_25_GCO2</vt:lpstr>
      <vt:lpstr>v_25_GCO2_atm</vt:lpstr>
      <vt:lpstr>v_25_GH2</vt:lpstr>
      <vt:lpstr>v_25_GH2_atm</vt:lpstr>
      <vt:lpstr>v_25_GN2</vt:lpstr>
      <vt:lpstr>v_25_GN2_atm</vt:lpstr>
      <vt:lpstr>v_25_GNH3</vt:lpstr>
      <vt:lpstr>v_25_GNH3_atm</vt:lpstr>
      <vt:lpstr>v_25_GO2</vt:lpstr>
      <vt:lpstr>v_25_GO2_atm</vt:lpstr>
      <vt:lpstr>v_25_SALPHA</vt:lpstr>
      <vt:lpstr>v_25_SAN</vt:lpstr>
      <vt:lpstr>v_25_SB_mono</vt:lpstr>
      <vt:lpstr>v_25_SB_poly</vt:lpstr>
      <vt:lpstr>v_25_SCa</vt:lpstr>
      <vt:lpstr>v_25_SCAT</vt:lpstr>
      <vt:lpstr>v_25_SCH4</vt:lpstr>
      <vt:lpstr>v_25_SCO2</vt:lpstr>
      <vt:lpstr>v_25_SFe2</vt:lpstr>
      <vt:lpstr>v_25_SH</vt:lpstr>
      <vt:lpstr>v_25_SH2</vt:lpstr>
      <vt:lpstr>v_25_SK</vt:lpstr>
      <vt:lpstr>v_25_SMEOL</vt:lpstr>
      <vt:lpstr>v_25_SMg</vt:lpstr>
      <vt:lpstr>v_25_SN_B</vt:lpstr>
      <vt:lpstr>v_25_SN2</vt:lpstr>
      <vt:lpstr>v_25_SNHx</vt:lpstr>
      <vt:lpstr>v_25_SNO2</vt:lpstr>
      <vt:lpstr>v_25_SNO3</vt:lpstr>
      <vt:lpstr>v_25_SO2</vt:lpstr>
      <vt:lpstr>v_25_SORPswitch</vt:lpstr>
      <vt:lpstr>v_25_SP_B</vt:lpstr>
      <vt:lpstr>v_25_SPFOA</vt:lpstr>
      <vt:lpstr>v_25_SPFOS</vt:lpstr>
      <vt:lpstr>v_25_SPO4</vt:lpstr>
      <vt:lpstr>v_25_SU</vt:lpstr>
      <vt:lpstr>v_25_SVFA</vt:lpstr>
      <vt:lpstr>v_25_XACP</vt:lpstr>
      <vt:lpstr>v_25_XAHO</vt:lpstr>
      <vt:lpstr>v_25_XALGAE</vt:lpstr>
      <vt:lpstr>v_25_XAMETO</vt:lpstr>
      <vt:lpstr>v_25_XAMX</vt:lpstr>
      <vt:lpstr>v_25_XAOB</vt:lpstr>
      <vt:lpstr>v_25_XB</vt:lpstr>
      <vt:lpstr>v_25_XB_e</vt:lpstr>
      <vt:lpstr>v_25_XBSH</vt:lpstr>
      <vt:lpstr>v_25_XCaCO3</vt:lpstr>
      <vt:lpstr>v_25_XCASTO</vt:lpstr>
      <vt:lpstr>v_25_XE</vt:lpstr>
      <vt:lpstr>v_25_XE_ana</vt:lpstr>
      <vt:lpstr>v_25_XHAO_H</vt:lpstr>
      <vt:lpstr>v_25_XHAO_H_P</vt:lpstr>
      <vt:lpstr>v_25_XHAO_H_P_old</vt:lpstr>
      <vt:lpstr>v_25_XHAO_L</vt:lpstr>
      <vt:lpstr>v_25_XHAO_L_P</vt:lpstr>
      <vt:lpstr>v_25_XHAO_L_P_old</vt:lpstr>
      <vt:lpstr>v_25_XHAO_old</vt:lpstr>
      <vt:lpstr>v_25_XHFO_H</vt:lpstr>
      <vt:lpstr>v_25_XHFO_H_P</vt:lpstr>
      <vt:lpstr>v_25_XHFO_H_P_old</vt:lpstr>
      <vt:lpstr>v_25_XHFO_L</vt:lpstr>
      <vt:lpstr>v_25_XHFO_L_P</vt:lpstr>
      <vt:lpstr>v_25_XHFO_L_P_old</vt:lpstr>
      <vt:lpstr>v_25_XHFO_old</vt:lpstr>
      <vt:lpstr>v_25_XHMETO</vt:lpstr>
      <vt:lpstr>v_25_XINORG</vt:lpstr>
      <vt:lpstr>v_25_XMEOLO</vt:lpstr>
      <vt:lpstr>v_25_XN_B</vt:lpstr>
      <vt:lpstr>v_25_XN_Be</vt:lpstr>
      <vt:lpstr>v_25_XN_U</vt:lpstr>
      <vt:lpstr>v_25_XNOB</vt:lpstr>
      <vt:lpstr>v_25_XOHO</vt:lpstr>
      <vt:lpstr>v_25_XP_B</vt:lpstr>
      <vt:lpstr>v_25_XP_Be</vt:lpstr>
      <vt:lpstr>v_25_XP_U</vt:lpstr>
      <vt:lpstr>v_25_XPFOA</vt:lpstr>
      <vt:lpstr>v_25_XPFOS</vt:lpstr>
      <vt:lpstr>v_25_XPHA_GAO</vt:lpstr>
      <vt:lpstr>v_25_XPHA_PAO</vt:lpstr>
      <vt:lpstr>v_25_XPP</vt:lpstr>
      <vt:lpstr>v_25_XSTO</vt:lpstr>
      <vt:lpstr>v_25_XSTR</vt:lpstr>
      <vt:lpstr>v_25_XU</vt:lpstr>
      <vt:lpstr>v_25_XVivi</vt:lpstr>
      <vt:lpstr>v_26_CB</vt:lpstr>
      <vt:lpstr>v_26_CU</vt:lpstr>
      <vt:lpstr>v_26_GCH4</vt:lpstr>
      <vt:lpstr>v_26_GCH4_atm</vt:lpstr>
      <vt:lpstr>v_26_GCO2</vt:lpstr>
      <vt:lpstr>v_26_GCO2_atm</vt:lpstr>
      <vt:lpstr>v_26_GH2</vt:lpstr>
      <vt:lpstr>v_26_GH2_atm</vt:lpstr>
      <vt:lpstr>v_26_GN2</vt:lpstr>
      <vt:lpstr>v_26_GN2_atm</vt:lpstr>
      <vt:lpstr>v_26_GNH3</vt:lpstr>
      <vt:lpstr>v_26_GNH3_atm</vt:lpstr>
      <vt:lpstr>v_26_GO2</vt:lpstr>
      <vt:lpstr>v_26_GO2_atm</vt:lpstr>
      <vt:lpstr>v_26_SALPHA</vt:lpstr>
      <vt:lpstr>v_26_SAN</vt:lpstr>
      <vt:lpstr>v_26_SB_mono</vt:lpstr>
      <vt:lpstr>v_26_SB_poly</vt:lpstr>
      <vt:lpstr>v_26_SCa</vt:lpstr>
      <vt:lpstr>v_26_SCAT</vt:lpstr>
      <vt:lpstr>v_26_SCH4</vt:lpstr>
      <vt:lpstr>v_26_SCO2</vt:lpstr>
      <vt:lpstr>v_26_SFe2</vt:lpstr>
      <vt:lpstr>v_26_SH</vt:lpstr>
      <vt:lpstr>v_26_SH2</vt:lpstr>
      <vt:lpstr>v_26_SK</vt:lpstr>
      <vt:lpstr>v_26_SMEOL</vt:lpstr>
      <vt:lpstr>v_26_SMg</vt:lpstr>
      <vt:lpstr>v_26_SN_B</vt:lpstr>
      <vt:lpstr>v_26_SN2</vt:lpstr>
      <vt:lpstr>v_26_SNHx</vt:lpstr>
      <vt:lpstr>v_26_SNO2</vt:lpstr>
      <vt:lpstr>v_26_SNO3</vt:lpstr>
      <vt:lpstr>v_26_SO2</vt:lpstr>
      <vt:lpstr>v_26_SORPswitch</vt:lpstr>
      <vt:lpstr>v_26_SP_B</vt:lpstr>
      <vt:lpstr>v_26_SPFOA</vt:lpstr>
      <vt:lpstr>v_26_SPFOS</vt:lpstr>
      <vt:lpstr>v_26_SPO4</vt:lpstr>
      <vt:lpstr>v_26_SU</vt:lpstr>
      <vt:lpstr>v_26_SVFA</vt:lpstr>
      <vt:lpstr>v_26_XACP</vt:lpstr>
      <vt:lpstr>v_26_XAHO</vt:lpstr>
      <vt:lpstr>v_26_XALGAE</vt:lpstr>
      <vt:lpstr>v_26_XAMETO</vt:lpstr>
      <vt:lpstr>v_26_XAMX</vt:lpstr>
      <vt:lpstr>v_26_XAOB</vt:lpstr>
      <vt:lpstr>v_26_XB</vt:lpstr>
      <vt:lpstr>v_26_XB_e</vt:lpstr>
      <vt:lpstr>v_26_XBSH</vt:lpstr>
      <vt:lpstr>v_26_XCaCO3</vt:lpstr>
      <vt:lpstr>v_26_XCASTO</vt:lpstr>
      <vt:lpstr>v_26_XE</vt:lpstr>
      <vt:lpstr>v_26_XE_ana</vt:lpstr>
      <vt:lpstr>v_26_XHAO_H</vt:lpstr>
      <vt:lpstr>v_26_XHAO_H_P</vt:lpstr>
      <vt:lpstr>v_26_XHAO_H_P_old</vt:lpstr>
      <vt:lpstr>v_26_XHAO_L</vt:lpstr>
      <vt:lpstr>v_26_XHAO_L_P</vt:lpstr>
      <vt:lpstr>v_26_XHAO_L_P_old</vt:lpstr>
      <vt:lpstr>v_26_XHAO_old</vt:lpstr>
      <vt:lpstr>v_26_XHFO_H</vt:lpstr>
      <vt:lpstr>v_26_XHFO_H_P</vt:lpstr>
      <vt:lpstr>v_26_XHFO_H_P_old</vt:lpstr>
      <vt:lpstr>v_26_XHFO_L</vt:lpstr>
      <vt:lpstr>v_26_XHFO_L_P</vt:lpstr>
      <vt:lpstr>v_26_XHFO_L_P_old</vt:lpstr>
      <vt:lpstr>v_26_XHFO_old</vt:lpstr>
      <vt:lpstr>v_26_XHMETO</vt:lpstr>
      <vt:lpstr>v_26_XINORG</vt:lpstr>
      <vt:lpstr>v_26_XMEOLO</vt:lpstr>
      <vt:lpstr>v_26_XN_B</vt:lpstr>
      <vt:lpstr>v_26_XN_Be</vt:lpstr>
      <vt:lpstr>v_26_XN_U</vt:lpstr>
      <vt:lpstr>v_26_XNOB</vt:lpstr>
      <vt:lpstr>v_26_XOHO</vt:lpstr>
      <vt:lpstr>v_26_XP_B</vt:lpstr>
      <vt:lpstr>v_26_XP_Be</vt:lpstr>
      <vt:lpstr>v_26_XP_U</vt:lpstr>
      <vt:lpstr>v_26_XPFOA</vt:lpstr>
      <vt:lpstr>v_26_XPFOS</vt:lpstr>
      <vt:lpstr>v_26_XPHA_GAO</vt:lpstr>
      <vt:lpstr>v_26_XPHA_PAO</vt:lpstr>
      <vt:lpstr>v_26_XPP</vt:lpstr>
      <vt:lpstr>v_26_XSTO</vt:lpstr>
      <vt:lpstr>v_26_XSTR</vt:lpstr>
      <vt:lpstr>v_26_XU</vt:lpstr>
      <vt:lpstr>v_26_XVivi</vt:lpstr>
      <vt:lpstr>v_27_CB</vt:lpstr>
      <vt:lpstr>v_27_CU</vt:lpstr>
      <vt:lpstr>v_27_GCH4</vt:lpstr>
      <vt:lpstr>v_27_GCH4_atm</vt:lpstr>
      <vt:lpstr>v_27_GCO2</vt:lpstr>
      <vt:lpstr>v_27_GCO2_atm</vt:lpstr>
      <vt:lpstr>v_27_GH2</vt:lpstr>
      <vt:lpstr>v_27_GH2_atm</vt:lpstr>
      <vt:lpstr>v_27_GN2</vt:lpstr>
      <vt:lpstr>v_27_GN2_atm</vt:lpstr>
      <vt:lpstr>v_27_GNH3</vt:lpstr>
      <vt:lpstr>v_27_GNH3_atm</vt:lpstr>
      <vt:lpstr>v_27_GO2</vt:lpstr>
      <vt:lpstr>v_27_GO2_atm</vt:lpstr>
      <vt:lpstr>v_27_SALPHA</vt:lpstr>
      <vt:lpstr>v_27_SAN</vt:lpstr>
      <vt:lpstr>v_27_SB_mono</vt:lpstr>
      <vt:lpstr>v_27_SB_poly</vt:lpstr>
      <vt:lpstr>v_27_SCa</vt:lpstr>
      <vt:lpstr>v_27_SCAT</vt:lpstr>
      <vt:lpstr>v_27_SCH4</vt:lpstr>
      <vt:lpstr>v_27_SCO2</vt:lpstr>
      <vt:lpstr>v_27_SFe2</vt:lpstr>
      <vt:lpstr>v_27_SH</vt:lpstr>
      <vt:lpstr>v_27_SH2</vt:lpstr>
      <vt:lpstr>v_27_SK</vt:lpstr>
      <vt:lpstr>v_27_SMEOL</vt:lpstr>
      <vt:lpstr>v_27_SMg</vt:lpstr>
      <vt:lpstr>v_27_SN_B</vt:lpstr>
      <vt:lpstr>v_27_SN2</vt:lpstr>
      <vt:lpstr>v_27_SNHx</vt:lpstr>
      <vt:lpstr>v_27_SNO2</vt:lpstr>
      <vt:lpstr>v_27_SNO3</vt:lpstr>
      <vt:lpstr>v_27_SO2</vt:lpstr>
      <vt:lpstr>v_27_SORPswitch</vt:lpstr>
      <vt:lpstr>v_27_SP_B</vt:lpstr>
      <vt:lpstr>v_27_SPFOA</vt:lpstr>
      <vt:lpstr>v_27_SPFOS</vt:lpstr>
      <vt:lpstr>v_27_SPO4</vt:lpstr>
      <vt:lpstr>v_27_SU</vt:lpstr>
      <vt:lpstr>v_27_SVFA</vt:lpstr>
      <vt:lpstr>v_27_XACP</vt:lpstr>
      <vt:lpstr>v_27_XAHO</vt:lpstr>
      <vt:lpstr>v_27_XALGAE</vt:lpstr>
      <vt:lpstr>v_27_XAMETO</vt:lpstr>
      <vt:lpstr>v_27_XAMX</vt:lpstr>
      <vt:lpstr>v_27_XAOB</vt:lpstr>
      <vt:lpstr>v_27_XB</vt:lpstr>
      <vt:lpstr>v_27_XB_e</vt:lpstr>
      <vt:lpstr>v_27_XBSH</vt:lpstr>
      <vt:lpstr>v_27_XCaCO3</vt:lpstr>
      <vt:lpstr>v_27_XCASTO</vt:lpstr>
      <vt:lpstr>v_27_XE</vt:lpstr>
      <vt:lpstr>v_27_XE_ana</vt:lpstr>
      <vt:lpstr>v_27_XHAO_H</vt:lpstr>
      <vt:lpstr>v_27_XHAO_H_P</vt:lpstr>
      <vt:lpstr>v_27_XHAO_H_P_old</vt:lpstr>
      <vt:lpstr>v_27_XHAO_L</vt:lpstr>
      <vt:lpstr>v_27_XHAO_L_P</vt:lpstr>
      <vt:lpstr>v_27_XHAO_L_P_old</vt:lpstr>
      <vt:lpstr>v_27_XHAO_old</vt:lpstr>
      <vt:lpstr>v_27_XHFO_H</vt:lpstr>
      <vt:lpstr>v_27_XHFO_H_P</vt:lpstr>
      <vt:lpstr>v_27_XHFO_H_P_old</vt:lpstr>
      <vt:lpstr>v_27_XHFO_L</vt:lpstr>
      <vt:lpstr>v_27_XHFO_L_P</vt:lpstr>
      <vt:lpstr>v_27_XHFO_L_P_old</vt:lpstr>
      <vt:lpstr>v_27_XHFO_old</vt:lpstr>
      <vt:lpstr>v_27_XHMETO</vt:lpstr>
      <vt:lpstr>v_27_XINORG</vt:lpstr>
      <vt:lpstr>v_27_XMEOLO</vt:lpstr>
      <vt:lpstr>v_27_XN_B</vt:lpstr>
      <vt:lpstr>v_27_XN_Be</vt:lpstr>
      <vt:lpstr>v_27_XN_U</vt:lpstr>
      <vt:lpstr>v_27_XNOB</vt:lpstr>
      <vt:lpstr>v_27_XOHO</vt:lpstr>
      <vt:lpstr>v_27_XP_B</vt:lpstr>
      <vt:lpstr>v_27_XP_Be</vt:lpstr>
      <vt:lpstr>v_27_XP_U</vt:lpstr>
      <vt:lpstr>v_27_XPFOA</vt:lpstr>
      <vt:lpstr>v_27_XPFOS</vt:lpstr>
      <vt:lpstr>v_27_XPHA_GAO</vt:lpstr>
      <vt:lpstr>v_27_XPHA_PAO</vt:lpstr>
      <vt:lpstr>v_27_XPP</vt:lpstr>
      <vt:lpstr>v_27_XSTO</vt:lpstr>
      <vt:lpstr>v_27_XSTR</vt:lpstr>
      <vt:lpstr>v_27_XU</vt:lpstr>
      <vt:lpstr>v_27_XVivi</vt:lpstr>
      <vt:lpstr>v_28_CB</vt:lpstr>
      <vt:lpstr>v_28_CU</vt:lpstr>
      <vt:lpstr>v_28_GCH4</vt:lpstr>
      <vt:lpstr>v_28_GCH4_atm</vt:lpstr>
      <vt:lpstr>v_28_GCO2</vt:lpstr>
      <vt:lpstr>v_28_GCO2_atm</vt:lpstr>
      <vt:lpstr>v_28_GH2</vt:lpstr>
      <vt:lpstr>v_28_GH2_atm</vt:lpstr>
      <vt:lpstr>v_28_GN2</vt:lpstr>
      <vt:lpstr>v_28_GN2_atm</vt:lpstr>
      <vt:lpstr>v_28_GNH3</vt:lpstr>
      <vt:lpstr>v_28_GNH3_atm</vt:lpstr>
      <vt:lpstr>v_28_GO2</vt:lpstr>
      <vt:lpstr>v_28_GO2_atm</vt:lpstr>
      <vt:lpstr>v_28_SALPHA</vt:lpstr>
      <vt:lpstr>v_28_SAN</vt:lpstr>
      <vt:lpstr>v_28_SB_mono</vt:lpstr>
      <vt:lpstr>v_28_SB_poly</vt:lpstr>
      <vt:lpstr>v_28_SCa</vt:lpstr>
      <vt:lpstr>v_28_SCAT</vt:lpstr>
      <vt:lpstr>v_28_SCH4</vt:lpstr>
      <vt:lpstr>v_28_SCO2</vt:lpstr>
      <vt:lpstr>v_28_SFe2</vt:lpstr>
      <vt:lpstr>v_28_SH</vt:lpstr>
      <vt:lpstr>v_28_SH2</vt:lpstr>
      <vt:lpstr>v_28_SK</vt:lpstr>
      <vt:lpstr>v_28_SMEOL</vt:lpstr>
      <vt:lpstr>v_28_SMg</vt:lpstr>
      <vt:lpstr>v_28_SN_B</vt:lpstr>
      <vt:lpstr>v_28_SN2</vt:lpstr>
      <vt:lpstr>v_28_SNHx</vt:lpstr>
      <vt:lpstr>v_28_SNO2</vt:lpstr>
      <vt:lpstr>v_28_SNO3</vt:lpstr>
      <vt:lpstr>v_28_SO2</vt:lpstr>
      <vt:lpstr>v_28_SORPswitch</vt:lpstr>
      <vt:lpstr>v_28_SP_B</vt:lpstr>
      <vt:lpstr>v_28_SPFOA</vt:lpstr>
      <vt:lpstr>v_28_SPFOS</vt:lpstr>
      <vt:lpstr>v_28_SPO4</vt:lpstr>
      <vt:lpstr>v_28_SU</vt:lpstr>
      <vt:lpstr>v_28_SVFA</vt:lpstr>
      <vt:lpstr>v_28_XACP</vt:lpstr>
      <vt:lpstr>v_28_XAHO</vt:lpstr>
      <vt:lpstr>v_28_XALGAE</vt:lpstr>
      <vt:lpstr>v_28_XAMETO</vt:lpstr>
      <vt:lpstr>v_28_XAMX</vt:lpstr>
      <vt:lpstr>v_28_XAOB</vt:lpstr>
      <vt:lpstr>v_28_XB</vt:lpstr>
      <vt:lpstr>v_28_XB_e</vt:lpstr>
      <vt:lpstr>v_28_XBSH</vt:lpstr>
      <vt:lpstr>v_28_XCaCO3</vt:lpstr>
      <vt:lpstr>v_28_XCASTO</vt:lpstr>
      <vt:lpstr>v_28_XE</vt:lpstr>
      <vt:lpstr>v_28_XE_ana</vt:lpstr>
      <vt:lpstr>v_28_XHAO_H</vt:lpstr>
      <vt:lpstr>v_28_XHAO_H_P</vt:lpstr>
      <vt:lpstr>v_28_XHAO_H_P_old</vt:lpstr>
      <vt:lpstr>v_28_XHAO_L</vt:lpstr>
      <vt:lpstr>v_28_XHAO_L_P</vt:lpstr>
      <vt:lpstr>v_28_XHAO_L_P_old</vt:lpstr>
      <vt:lpstr>v_28_XHAO_old</vt:lpstr>
      <vt:lpstr>v_28_XHFO_H</vt:lpstr>
      <vt:lpstr>v_28_XHFO_H_P</vt:lpstr>
      <vt:lpstr>v_28_XHFO_H_P_old</vt:lpstr>
      <vt:lpstr>v_28_XHFO_L</vt:lpstr>
      <vt:lpstr>v_28_XHFO_L_P</vt:lpstr>
      <vt:lpstr>v_28_XHFO_L_P_old</vt:lpstr>
      <vt:lpstr>v_28_XHFO_old</vt:lpstr>
      <vt:lpstr>v_28_XHMETO</vt:lpstr>
      <vt:lpstr>v_28_XINORG</vt:lpstr>
      <vt:lpstr>v_28_XMEOLO</vt:lpstr>
      <vt:lpstr>v_28_XN_B</vt:lpstr>
      <vt:lpstr>v_28_XN_Be</vt:lpstr>
      <vt:lpstr>v_28_XN_U</vt:lpstr>
      <vt:lpstr>v_28_XNOB</vt:lpstr>
      <vt:lpstr>v_28_XOHO</vt:lpstr>
      <vt:lpstr>v_28_XP_B</vt:lpstr>
      <vt:lpstr>v_28_XP_Be</vt:lpstr>
      <vt:lpstr>v_28_XP_U</vt:lpstr>
      <vt:lpstr>v_28_XPFOA</vt:lpstr>
      <vt:lpstr>v_28_XPFOS</vt:lpstr>
      <vt:lpstr>v_28_XPHA_GAO</vt:lpstr>
      <vt:lpstr>v_28_XPHA_PAO</vt:lpstr>
      <vt:lpstr>v_28_XPP</vt:lpstr>
      <vt:lpstr>v_28_XSTO</vt:lpstr>
      <vt:lpstr>v_28_XSTR</vt:lpstr>
      <vt:lpstr>v_28_XU</vt:lpstr>
      <vt:lpstr>v_28_XVivi</vt:lpstr>
      <vt:lpstr>v_29_CB</vt:lpstr>
      <vt:lpstr>v_29_CU</vt:lpstr>
      <vt:lpstr>v_29_GCH4</vt:lpstr>
      <vt:lpstr>v_29_GCH4_atm</vt:lpstr>
      <vt:lpstr>v_29_GCO2</vt:lpstr>
      <vt:lpstr>v_29_GCO2_atm</vt:lpstr>
      <vt:lpstr>v_29_GH2</vt:lpstr>
      <vt:lpstr>v_29_GH2_atm</vt:lpstr>
      <vt:lpstr>v_29_GN2</vt:lpstr>
      <vt:lpstr>v_29_GN2_atm</vt:lpstr>
      <vt:lpstr>v_29_GNH3</vt:lpstr>
      <vt:lpstr>v_29_GNH3_atm</vt:lpstr>
      <vt:lpstr>v_29_GO2</vt:lpstr>
      <vt:lpstr>v_29_GO2_atm</vt:lpstr>
      <vt:lpstr>v_29_SALPHA</vt:lpstr>
      <vt:lpstr>v_29_SAN</vt:lpstr>
      <vt:lpstr>v_29_SB_mono</vt:lpstr>
      <vt:lpstr>v_29_SB_poly</vt:lpstr>
      <vt:lpstr>v_29_SCa</vt:lpstr>
      <vt:lpstr>v_29_SCAT</vt:lpstr>
      <vt:lpstr>v_29_SCH4</vt:lpstr>
      <vt:lpstr>v_29_SCO2</vt:lpstr>
      <vt:lpstr>v_29_SFe2</vt:lpstr>
      <vt:lpstr>v_29_SH</vt:lpstr>
      <vt:lpstr>v_29_SH2</vt:lpstr>
      <vt:lpstr>v_29_SK</vt:lpstr>
      <vt:lpstr>v_29_SMEOL</vt:lpstr>
      <vt:lpstr>v_29_SMg</vt:lpstr>
      <vt:lpstr>v_29_SN_B</vt:lpstr>
      <vt:lpstr>v_29_SN2</vt:lpstr>
      <vt:lpstr>v_29_SNHx</vt:lpstr>
      <vt:lpstr>v_29_SNO2</vt:lpstr>
      <vt:lpstr>v_29_SNO3</vt:lpstr>
      <vt:lpstr>v_29_SO2</vt:lpstr>
      <vt:lpstr>v_29_SORPswitch</vt:lpstr>
      <vt:lpstr>v_29_SP_B</vt:lpstr>
      <vt:lpstr>v_29_SPFOA</vt:lpstr>
      <vt:lpstr>v_29_SPFOS</vt:lpstr>
      <vt:lpstr>v_29_SPO4</vt:lpstr>
      <vt:lpstr>v_29_SU</vt:lpstr>
      <vt:lpstr>v_29_SVFA</vt:lpstr>
      <vt:lpstr>v_29_XACP</vt:lpstr>
      <vt:lpstr>v_29_XAHO</vt:lpstr>
      <vt:lpstr>v_29_XALGAE</vt:lpstr>
      <vt:lpstr>v_29_XAMETO</vt:lpstr>
      <vt:lpstr>v_29_XAMX</vt:lpstr>
      <vt:lpstr>v_29_XAOB</vt:lpstr>
      <vt:lpstr>v_29_XB</vt:lpstr>
      <vt:lpstr>v_29_XB_e</vt:lpstr>
      <vt:lpstr>v_29_XBSH</vt:lpstr>
      <vt:lpstr>v_29_XCaCO3</vt:lpstr>
      <vt:lpstr>v_29_XCASTO</vt:lpstr>
      <vt:lpstr>v_29_XE</vt:lpstr>
      <vt:lpstr>v_29_XE_ana</vt:lpstr>
      <vt:lpstr>v_29_XHAO_H</vt:lpstr>
      <vt:lpstr>v_29_XHAO_H_P</vt:lpstr>
      <vt:lpstr>v_29_XHAO_H_P_old</vt:lpstr>
      <vt:lpstr>v_29_XHAO_L</vt:lpstr>
      <vt:lpstr>v_29_XHAO_L_P</vt:lpstr>
      <vt:lpstr>v_29_XHAO_L_P_old</vt:lpstr>
      <vt:lpstr>v_29_XHAO_old</vt:lpstr>
      <vt:lpstr>v_29_XHFO_H</vt:lpstr>
      <vt:lpstr>v_29_XHFO_H_P</vt:lpstr>
      <vt:lpstr>v_29_XHFO_H_P_old</vt:lpstr>
      <vt:lpstr>v_29_XHFO_L</vt:lpstr>
      <vt:lpstr>v_29_XHFO_L_P</vt:lpstr>
      <vt:lpstr>v_29_XHFO_L_P_old</vt:lpstr>
      <vt:lpstr>v_29_XHFO_old</vt:lpstr>
      <vt:lpstr>v_29_XHMETO</vt:lpstr>
      <vt:lpstr>v_29_XINORG</vt:lpstr>
      <vt:lpstr>v_29_XMEOLO</vt:lpstr>
      <vt:lpstr>v_29_XN_B</vt:lpstr>
      <vt:lpstr>v_29_XN_Be</vt:lpstr>
      <vt:lpstr>v_29_XN_U</vt:lpstr>
      <vt:lpstr>v_29_XNOB</vt:lpstr>
      <vt:lpstr>v_29_XOHO</vt:lpstr>
      <vt:lpstr>v_29_XP_B</vt:lpstr>
      <vt:lpstr>v_29_XP_Be</vt:lpstr>
      <vt:lpstr>v_29_XP_U</vt:lpstr>
      <vt:lpstr>v_29_XPFOA</vt:lpstr>
      <vt:lpstr>v_29_XPFOS</vt:lpstr>
      <vt:lpstr>v_29_XPHA_GAO</vt:lpstr>
      <vt:lpstr>v_29_XPHA_PAO</vt:lpstr>
      <vt:lpstr>v_29_XPP</vt:lpstr>
      <vt:lpstr>v_29_XSTO</vt:lpstr>
      <vt:lpstr>v_29_XSTR</vt:lpstr>
      <vt:lpstr>v_29_XU</vt:lpstr>
      <vt:lpstr>v_29_XVivi</vt:lpstr>
      <vt:lpstr>v_3_CB</vt:lpstr>
      <vt:lpstr>v_3_CU</vt:lpstr>
      <vt:lpstr>v_3_GCH4</vt:lpstr>
      <vt:lpstr>v_3_GCH4_atm</vt:lpstr>
      <vt:lpstr>v_3_GCO2</vt:lpstr>
      <vt:lpstr>v_3_GCO2_atm</vt:lpstr>
      <vt:lpstr>v_3_GH2</vt:lpstr>
      <vt:lpstr>v_3_GH2_atm</vt:lpstr>
      <vt:lpstr>v_3_GN2</vt:lpstr>
      <vt:lpstr>v_3_GN2_atm</vt:lpstr>
      <vt:lpstr>v_3_GNH3</vt:lpstr>
      <vt:lpstr>v_3_GNH3_atm</vt:lpstr>
      <vt:lpstr>v_3_GO2</vt:lpstr>
      <vt:lpstr>v_3_GO2_atm</vt:lpstr>
      <vt:lpstr>v_3_SALPHA</vt:lpstr>
      <vt:lpstr>v_3_SAN</vt:lpstr>
      <vt:lpstr>v_3_SB_mono</vt:lpstr>
      <vt:lpstr>v_3_SB_poly</vt:lpstr>
      <vt:lpstr>v_3_SCa</vt:lpstr>
      <vt:lpstr>v_3_SCAT</vt:lpstr>
      <vt:lpstr>v_3_SCH4</vt:lpstr>
      <vt:lpstr>v_3_SCO2</vt:lpstr>
      <vt:lpstr>v_3_SFe2</vt:lpstr>
      <vt:lpstr>v_3_SH</vt:lpstr>
      <vt:lpstr>v_3_SH2</vt:lpstr>
      <vt:lpstr>v_3_SK</vt:lpstr>
      <vt:lpstr>v_3_SMEOL</vt:lpstr>
      <vt:lpstr>v_3_SMg</vt:lpstr>
      <vt:lpstr>v_3_SN_B</vt:lpstr>
      <vt:lpstr>v_3_SN2</vt:lpstr>
      <vt:lpstr>v_3_SNHx</vt:lpstr>
      <vt:lpstr>v_3_SNO2</vt:lpstr>
      <vt:lpstr>v_3_SNO3</vt:lpstr>
      <vt:lpstr>v_3_SO2</vt:lpstr>
      <vt:lpstr>v_3_SORPswitch</vt:lpstr>
      <vt:lpstr>v_3_SP_B</vt:lpstr>
      <vt:lpstr>v_3_SPFOA</vt:lpstr>
      <vt:lpstr>v_3_SPFOS</vt:lpstr>
      <vt:lpstr>v_3_SPO4</vt:lpstr>
      <vt:lpstr>v_3_SU</vt:lpstr>
      <vt:lpstr>v_3_SVFA</vt:lpstr>
      <vt:lpstr>v_3_XACP</vt:lpstr>
      <vt:lpstr>v_3_XAHO</vt:lpstr>
      <vt:lpstr>v_3_XALGAE</vt:lpstr>
      <vt:lpstr>v_3_XAMETO</vt:lpstr>
      <vt:lpstr>v_3_XAMX</vt:lpstr>
      <vt:lpstr>v_3_XAOB</vt:lpstr>
      <vt:lpstr>v_3_XB</vt:lpstr>
      <vt:lpstr>v_3_XB_e</vt:lpstr>
      <vt:lpstr>v_3_XBSH</vt:lpstr>
      <vt:lpstr>v_3_XCaCO3</vt:lpstr>
      <vt:lpstr>v_3_XCASTO</vt:lpstr>
      <vt:lpstr>v_3_XE</vt:lpstr>
      <vt:lpstr>v_3_XE_ana</vt:lpstr>
      <vt:lpstr>v_3_XHAO_H</vt:lpstr>
      <vt:lpstr>v_3_XHAO_H_P</vt:lpstr>
      <vt:lpstr>v_3_XHAO_H_P_old</vt:lpstr>
      <vt:lpstr>v_3_XHAO_L</vt:lpstr>
      <vt:lpstr>v_3_XHAO_L_P</vt:lpstr>
      <vt:lpstr>v_3_XHAO_L_P_old</vt:lpstr>
      <vt:lpstr>v_3_XHAO_old</vt:lpstr>
      <vt:lpstr>v_3_XHFO_H</vt:lpstr>
      <vt:lpstr>v_3_XHFO_H_P</vt:lpstr>
      <vt:lpstr>v_3_XHFO_H_P_old</vt:lpstr>
      <vt:lpstr>v_3_XHFO_L</vt:lpstr>
      <vt:lpstr>v_3_XHFO_L_P</vt:lpstr>
      <vt:lpstr>v_3_XHFO_L_P_old</vt:lpstr>
      <vt:lpstr>v_3_XHFO_old</vt:lpstr>
      <vt:lpstr>v_3_XHMETO</vt:lpstr>
      <vt:lpstr>v_3_XINORG</vt:lpstr>
      <vt:lpstr>v_3_XMEOLO</vt:lpstr>
      <vt:lpstr>v_3_XN_B</vt:lpstr>
      <vt:lpstr>v_3_XN_Be</vt:lpstr>
      <vt:lpstr>v_3_XN_U</vt:lpstr>
      <vt:lpstr>v_3_XNOB</vt:lpstr>
      <vt:lpstr>v_3_XOHO</vt:lpstr>
      <vt:lpstr>v_3_XP_B</vt:lpstr>
      <vt:lpstr>v_3_XP_Be</vt:lpstr>
      <vt:lpstr>v_3_XP_U</vt:lpstr>
      <vt:lpstr>v_3_XPFOA</vt:lpstr>
      <vt:lpstr>v_3_XPFOS</vt:lpstr>
      <vt:lpstr>v_3_XPHA_GAO</vt:lpstr>
      <vt:lpstr>v_3_XPHA_PAO</vt:lpstr>
      <vt:lpstr>v_3_XPP</vt:lpstr>
      <vt:lpstr>v_3_XSTO</vt:lpstr>
      <vt:lpstr>v_3_XSTR</vt:lpstr>
      <vt:lpstr>v_3_XU</vt:lpstr>
      <vt:lpstr>v_3_XVivi</vt:lpstr>
      <vt:lpstr>v_30_CB</vt:lpstr>
      <vt:lpstr>v_30_CU</vt:lpstr>
      <vt:lpstr>v_30_GCH4</vt:lpstr>
      <vt:lpstr>v_30_GCH4_atm</vt:lpstr>
      <vt:lpstr>v_30_GCO2</vt:lpstr>
      <vt:lpstr>v_30_GCO2_atm</vt:lpstr>
      <vt:lpstr>v_30_GH2</vt:lpstr>
      <vt:lpstr>v_30_GH2_atm</vt:lpstr>
      <vt:lpstr>v_30_GN2</vt:lpstr>
      <vt:lpstr>v_30_GN2_atm</vt:lpstr>
      <vt:lpstr>v_30_GNH3</vt:lpstr>
      <vt:lpstr>v_30_GNH3_atm</vt:lpstr>
      <vt:lpstr>v_30_GO2</vt:lpstr>
      <vt:lpstr>v_30_GO2_atm</vt:lpstr>
      <vt:lpstr>v_30_SALPHA</vt:lpstr>
      <vt:lpstr>v_30_SAN</vt:lpstr>
      <vt:lpstr>v_30_SB_mono</vt:lpstr>
      <vt:lpstr>v_30_SB_poly</vt:lpstr>
      <vt:lpstr>v_30_SCa</vt:lpstr>
      <vt:lpstr>v_30_SCAT</vt:lpstr>
      <vt:lpstr>v_30_SCH4</vt:lpstr>
      <vt:lpstr>v_30_SCO2</vt:lpstr>
      <vt:lpstr>v_30_SFe2</vt:lpstr>
      <vt:lpstr>v_30_SH</vt:lpstr>
      <vt:lpstr>v_30_SH2</vt:lpstr>
      <vt:lpstr>v_30_SK</vt:lpstr>
      <vt:lpstr>v_30_SMEOL</vt:lpstr>
      <vt:lpstr>v_30_SMg</vt:lpstr>
      <vt:lpstr>v_30_SN_B</vt:lpstr>
      <vt:lpstr>v_30_SN2</vt:lpstr>
      <vt:lpstr>v_30_SNHx</vt:lpstr>
      <vt:lpstr>v_30_SNO2</vt:lpstr>
      <vt:lpstr>v_30_SNO3</vt:lpstr>
      <vt:lpstr>v_30_SO2</vt:lpstr>
      <vt:lpstr>v_30_SORPswitch</vt:lpstr>
      <vt:lpstr>v_30_SP_B</vt:lpstr>
      <vt:lpstr>v_30_SPFOA</vt:lpstr>
      <vt:lpstr>v_30_SPFOS</vt:lpstr>
      <vt:lpstr>v_30_SPO4</vt:lpstr>
      <vt:lpstr>v_30_SU</vt:lpstr>
      <vt:lpstr>v_30_SVFA</vt:lpstr>
      <vt:lpstr>v_30_XACP</vt:lpstr>
      <vt:lpstr>v_30_XAHO</vt:lpstr>
      <vt:lpstr>v_30_XALGAE</vt:lpstr>
      <vt:lpstr>v_30_XAMETO</vt:lpstr>
      <vt:lpstr>v_30_XAMX</vt:lpstr>
      <vt:lpstr>v_30_XAOB</vt:lpstr>
      <vt:lpstr>v_30_XB</vt:lpstr>
      <vt:lpstr>v_30_XB_e</vt:lpstr>
      <vt:lpstr>v_30_XBSH</vt:lpstr>
      <vt:lpstr>v_30_XCaCO3</vt:lpstr>
      <vt:lpstr>v_30_XCASTO</vt:lpstr>
      <vt:lpstr>v_30_XE</vt:lpstr>
      <vt:lpstr>v_30_XE_ana</vt:lpstr>
      <vt:lpstr>v_30_XHAO_H</vt:lpstr>
      <vt:lpstr>v_30_XHAO_H_P</vt:lpstr>
      <vt:lpstr>v_30_XHAO_H_P_old</vt:lpstr>
      <vt:lpstr>v_30_XHAO_L</vt:lpstr>
      <vt:lpstr>v_30_XHAO_L_P</vt:lpstr>
      <vt:lpstr>v_30_XHAO_L_P_old</vt:lpstr>
      <vt:lpstr>v_30_XHAO_old</vt:lpstr>
      <vt:lpstr>v_30_XHFO_H</vt:lpstr>
      <vt:lpstr>v_30_XHFO_H_P</vt:lpstr>
      <vt:lpstr>v_30_XHFO_H_P_old</vt:lpstr>
      <vt:lpstr>v_30_XHFO_L</vt:lpstr>
      <vt:lpstr>v_30_XHFO_L_P</vt:lpstr>
      <vt:lpstr>v_30_XHFO_L_P_old</vt:lpstr>
      <vt:lpstr>v_30_XHFO_old</vt:lpstr>
      <vt:lpstr>v_30_XHMETO</vt:lpstr>
      <vt:lpstr>v_30_XINORG</vt:lpstr>
      <vt:lpstr>v_30_XMEOLO</vt:lpstr>
      <vt:lpstr>v_30_XN_B</vt:lpstr>
      <vt:lpstr>v_30_XN_Be</vt:lpstr>
      <vt:lpstr>v_30_XN_U</vt:lpstr>
      <vt:lpstr>v_30_XNOB</vt:lpstr>
      <vt:lpstr>v_30_XOHO</vt:lpstr>
      <vt:lpstr>v_30_XP_B</vt:lpstr>
      <vt:lpstr>v_30_XP_Be</vt:lpstr>
      <vt:lpstr>v_30_XP_U</vt:lpstr>
      <vt:lpstr>v_30_XPFOA</vt:lpstr>
      <vt:lpstr>v_30_XPFOS</vt:lpstr>
      <vt:lpstr>v_30_XPHA_GAO</vt:lpstr>
      <vt:lpstr>v_30_XPHA_PAO</vt:lpstr>
      <vt:lpstr>v_30_XPP</vt:lpstr>
      <vt:lpstr>v_30_XSTO</vt:lpstr>
      <vt:lpstr>v_30_XSTR</vt:lpstr>
      <vt:lpstr>v_30_XU</vt:lpstr>
      <vt:lpstr>v_30_XVivi</vt:lpstr>
      <vt:lpstr>v_31_CB</vt:lpstr>
      <vt:lpstr>v_31_CU</vt:lpstr>
      <vt:lpstr>v_31_GCH4</vt:lpstr>
      <vt:lpstr>v_31_GCH4_atm</vt:lpstr>
      <vt:lpstr>v_31_GCO2</vt:lpstr>
      <vt:lpstr>v_31_GCO2_atm</vt:lpstr>
      <vt:lpstr>v_31_GH2</vt:lpstr>
      <vt:lpstr>v_31_GH2_atm</vt:lpstr>
      <vt:lpstr>v_31_GN2</vt:lpstr>
      <vt:lpstr>v_31_GN2_atm</vt:lpstr>
      <vt:lpstr>v_31_GNH3</vt:lpstr>
      <vt:lpstr>v_31_GNH3_atm</vt:lpstr>
      <vt:lpstr>v_31_GO2</vt:lpstr>
      <vt:lpstr>v_31_GO2_atm</vt:lpstr>
      <vt:lpstr>v_31_SALPHA</vt:lpstr>
      <vt:lpstr>v_31_SAN</vt:lpstr>
      <vt:lpstr>v_31_SB_mono</vt:lpstr>
      <vt:lpstr>v_31_SB_poly</vt:lpstr>
      <vt:lpstr>v_31_SCa</vt:lpstr>
      <vt:lpstr>v_31_SCAT</vt:lpstr>
      <vt:lpstr>v_31_SCH4</vt:lpstr>
      <vt:lpstr>v_31_SCO2</vt:lpstr>
      <vt:lpstr>v_31_SFe2</vt:lpstr>
      <vt:lpstr>v_31_SH</vt:lpstr>
      <vt:lpstr>v_31_SH2</vt:lpstr>
      <vt:lpstr>v_31_SK</vt:lpstr>
      <vt:lpstr>v_31_SMEOL</vt:lpstr>
      <vt:lpstr>v_31_SMg</vt:lpstr>
      <vt:lpstr>v_31_SN_B</vt:lpstr>
      <vt:lpstr>v_31_SN2</vt:lpstr>
      <vt:lpstr>v_31_SNHx</vt:lpstr>
      <vt:lpstr>v_31_SNO2</vt:lpstr>
      <vt:lpstr>v_31_SNO3</vt:lpstr>
      <vt:lpstr>v_31_SO2</vt:lpstr>
      <vt:lpstr>v_31_SORPswitch</vt:lpstr>
      <vt:lpstr>v_31_SP_B</vt:lpstr>
      <vt:lpstr>v_31_SPFOA</vt:lpstr>
      <vt:lpstr>v_31_SPFOS</vt:lpstr>
      <vt:lpstr>v_31_SPO4</vt:lpstr>
      <vt:lpstr>v_31_SU</vt:lpstr>
      <vt:lpstr>v_31_SVFA</vt:lpstr>
      <vt:lpstr>v_31_XACP</vt:lpstr>
      <vt:lpstr>v_31_XAHO</vt:lpstr>
      <vt:lpstr>v_31_XALGAE</vt:lpstr>
      <vt:lpstr>v_31_XAMETO</vt:lpstr>
      <vt:lpstr>v_31_XAMX</vt:lpstr>
      <vt:lpstr>v_31_XAOB</vt:lpstr>
      <vt:lpstr>v_31_XB</vt:lpstr>
      <vt:lpstr>v_31_XB_e</vt:lpstr>
      <vt:lpstr>v_31_XBSH</vt:lpstr>
      <vt:lpstr>v_31_XCaCO3</vt:lpstr>
      <vt:lpstr>v_31_XCASTO</vt:lpstr>
      <vt:lpstr>v_31_XE</vt:lpstr>
      <vt:lpstr>v_31_XE_ana</vt:lpstr>
      <vt:lpstr>v_31_XHAO_H</vt:lpstr>
      <vt:lpstr>v_31_XHAO_H_P</vt:lpstr>
      <vt:lpstr>v_31_XHAO_H_P_old</vt:lpstr>
      <vt:lpstr>v_31_XHAO_L</vt:lpstr>
      <vt:lpstr>v_31_XHAO_L_P</vt:lpstr>
      <vt:lpstr>v_31_XHAO_L_P_old</vt:lpstr>
      <vt:lpstr>v_31_XHAO_old</vt:lpstr>
      <vt:lpstr>v_31_XHFO_H</vt:lpstr>
      <vt:lpstr>v_31_XHFO_H_P</vt:lpstr>
      <vt:lpstr>v_31_XHFO_H_P_old</vt:lpstr>
      <vt:lpstr>v_31_XHFO_L</vt:lpstr>
      <vt:lpstr>v_31_XHFO_L_P</vt:lpstr>
      <vt:lpstr>v_31_XHFO_L_P_old</vt:lpstr>
      <vt:lpstr>v_31_XHFO_old</vt:lpstr>
      <vt:lpstr>v_31_XHMETO</vt:lpstr>
      <vt:lpstr>v_31_XINORG</vt:lpstr>
      <vt:lpstr>v_31_XMEOLO</vt:lpstr>
      <vt:lpstr>v_31_XN_B</vt:lpstr>
      <vt:lpstr>v_31_XN_Be</vt:lpstr>
      <vt:lpstr>v_31_XN_U</vt:lpstr>
      <vt:lpstr>v_31_XNOB</vt:lpstr>
      <vt:lpstr>v_31_XOHO</vt:lpstr>
      <vt:lpstr>v_31_XP_B</vt:lpstr>
      <vt:lpstr>v_31_XP_Be</vt:lpstr>
      <vt:lpstr>v_31_XP_U</vt:lpstr>
      <vt:lpstr>v_31_XPFOA</vt:lpstr>
      <vt:lpstr>v_31_XPFOS</vt:lpstr>
      <vt:lpstr>v_31_XPHA_GAO</vt:lpstr>
      <vt:lpstr>v_31_XPHA_PAO</vt:lpstr>
      <vt:lpstr>v_31_XPP</vt:lpstr>
      <vt:lpstr>v_31_XSTO</vt:lpstr>
      <vt:lpstr>v_31_XSTR</vt:lpstr>
      <vt:lpstr>v_31_XU</vt:lpstr>
      <vt:lpstr>v_31_XVivi</vt:lpstr>
      <vt:lpstr>v_32_CB</vt:lpstr>
      <vt:lpstr>v_32_CU</vt:lpstr>
      <vt:lpstr>v_32_GCH4</vt:lpstr>
      <vt:lpstr>v_32_GCH4_atm</vt:lpstr>
      <vt:lpstr>v_32_GCO2</vt:lpstr>
      <vt:lpstr>v_32_GCO2_atm</vt:lpstr>
      <vt:lpstr>v_32_GH2</vt:lpstr>
      <vt:lpstr>v_32_GH2_atm</vt:lpstr>
      <vt:lpstr>v_32_GN2</vt:lpstr>
      <vt:lpstr>v_32_GN2_atm</vt:lpstr>
      <vt:lpstr>v_32_GNH3</vt:lpstr>
      <vt:lpstr>v_32_GNH3_atm</vt:lpstr>
      <vt:lpstr>v_32_GO2</vt:lpstr>
      <vt:lpstr>v_32_GO2_atm</vt:lpstr>
      <vt:lpstr>v_32_SALPHA</vt:lpstr>
      <vt:lpstr>v_32_SAN</vt:lpstr>
      <vt:lpstr>v_32_SB_mono</vt:lpstr>
      <vt:lpstr>v_32_SB_poly</vt:lpstr>
      <vt:lpstr>v_32_SCa</vt:lpstr>
      <vt:lpstr>v_32_SCAT</vt:lpstr>
      <vt:lpstr>v_32_SCH4</vt:lpstr>
      <vt:lpstr>v_32_SCO2</vt:lpstr>
      <vt:lpstr>v_32_SFe2</vt:lpstr>
      <vt:lpstr>v_32_SH</vt:lpstr>
      <vt:lpstr>v_32_SH2</vt:lpstr>
      <vt:lpstr>v_32_SK</vt:lpstr>
      <vt:lpstr>v_32_SMEOL</vt:lpstr>
      <vt:lpstr>v_32_SMg</vt:lpstr>
      <vt:lpstr>v_32_SN_B</vt:lpstr>
      <vt:lpstr>v_32_SN2</vt:lpstr>
      <vt:lpstr>v_32_SNHx</vt:lpstr>
      <vt:lpstr>v_32_SNO2</vt:lpstr>
      <vt:lpstr>v_32_SNO3</vt:lpstr>
      <vt:lpstr>v_32_SO2</vt:lpstr>
      <vt:lpstr>v_32_SORPswitch</vt:lpstr>
      <vt:lpstr>v_32_SP_B</vt:lpstr>
      <vt:lpstr>v_32_SPFOA</vt:lpstr>
      <vt:lpstr>v_32_SPFOS</vt:lpstr>
      <vt:lpstr>v_32_SPO4</vt:lpstr>
      <vt:lpstr>v_32_SU</vt:lpstr>
      <vt:lpstr>v_32_SVFA</vt:lpstr>
      <vt:lpstr>v_32_XACP</vt:lpstr>
      <vt:lpstr>v_32_XAHO</vt:lpstr>
      <vt:lpstr>v_32_XALGAE</vt:lpstr>
      <vt:lpstr>v_32_XAMETO</vt:lpstr>
      <vt:lpstr>v_32_XAMX</vt:lpstr>
      <vt:lpstr>v_32_XAOB</vt:lpstr>
      <vt:lpstr>v_32_XB</vt:lpstr>
      <vt:lpstr>v_32_XB_e</vt:lpstr>
      <vt:lpstr>v_32_XBSH</vt:lpstr>
      <vt:lpstr>v_32_XCaCO3</vt:lpstr>
      <vt:lpstr>v_32_XCASTO</vt:lpstr>
      <vt:lpstr>v_32_XE</vt:lpstr>
      <vt:lpstr>v_32_XE_ana</vt:lpstr>
      <vt:lpstr>v_32_XHAO_H</vt:lpstr>
      <vt:lpstr>v_32_XHAO_H_P</vt:lpstr>
      <vt:lpstr>v_32_XHAO_H_P_old</vt:lpstr>
      <vt:lpstr>v_32_XHAO_L</vt:lpstr>
      <vt:lpstr>v_32_XHAO_L_P</vt:lpstr>
      <vt:lpstr>v_32_XHAO_L_P_old</vt:lpstr>
      <vt:lpstr>v_32_XHAO_old</vt:lpstr>
      <vt:lpstr>v_32_XHFO_H</vt:lpstr>
      <vt:lpstr>v_32_XHFO_H_P</vt:lpstr>
      <vt:lpstr>v_32_XHFO_H_P_old</vt:lpstr>
      <vt:lpstr>v_32_XHFO_L</vt:lpstr>
      <vt:lpstr>v_32_XHFO_L_P</vt:lpstr>
      <vt:lpstr>v_32_XHFO_L_P_old</vt:lpstr>
      <vt:lpstr>v_32_XHFO_old</vt:lpstr>
      <vt:lpstr>v_32_XHMETO</vt:lpstr>
      <vt:lpstr>v_32_XINORG</vt:lpstr>
      <vt:lpstr>v_32_XMEOLO</vt:lpstr>
      <vt:lpstr>v_32_XN_B</vt:lpstr>
      <vt:lpstr>v_32_XN_Be</vt:lpstr>
      <vt:lpstr>v_32_XN_U</vt:lpstr>
      <vt:lpstr>v_32_XNOB</vt:lpstr>
      <vt:lpstr>v_32_XOHO</vt:lpstr>
      <vt:lpstr>v_32_XP_B</vt:lpstr>
      <vt:lpstr>v_32_XP_Be</vt:lpstr>
      <vt:lpstr>v_32_XP_U</vt:lpstr>
      <vt:lpstr>v_32_XPFOA</vt:lpstr>
      <vt:lpstr>v_32_XPFOS</vt:lpstr>
      <vt:lpstr>v_32_XPHA_GAO</vt:lpstr>
      <vt:lpstr>v_32_XPHA_PAO</vt:lpstr>
      <vt:lpstr>v_32_XPP</vt:lpstr>
      <vt:lpstr>v_32_XSTO</vt:lpstr>
      <vt:lpstr>v_32_XSTR</vt:lpstr>
      <vt:lpstr>v_32_XU</vt:lpstr>
      <vt:lpstr>v_32_XVivi</vt:lpstr>
      <vt:lpstr>v_33_CB</vt:lpstr>
      <vt:lpstr>v_33_CU</vt:lpstr>
      <vt:lpstr>v_33_GCH4</vt:lpstr>
      <vt:lpstr>v_33_GCH4_atm</vt:lpstr>
      <vt:lpstr>v_33_GCO2</vt:lpstr>
      <vt:lpstr>v_33_GCO2_atm</vt:lpstr>
      <vt:lpstr>v_33_GH2</vt:lpstr>
      <vt:lpstr>v_33_GH2_atm</vt:lpstr>
      <vt:lpstr>v_33_GN2</vt:lpstr>
      <vt:lpstr>v_33_GN2_atm</vt:lpstr>
      <vt:lpstr>v_33_GNH3</vt:lpstr>
      <vt:lpstr>v_33_GNH3_atm</vt:lpstr>
      <vt:lpstr>v_33_GO2</vt:lpstr>
      <vt:lpstr>v_33_GO2_atm</vt:lpstr>
      <vt:lpstr>v_33_SALPHA</vt:lpstr>
      <vt:lpstr>v_33_SAN</vt:lpstr>
      <vt:lpstr>v_33_SB_mono</vt:lpstr>
      <vt:lpstr>v_33_SB_poly</vt:lpstr>
      <vt:lpstr>v_33_SCa</vt:lpstr>
      <vt:lpstr>v_33_SCAT</vt:lpstr>
      <vt:lpstr>v_33_SCH4</vt:lpstr>
      <vt:lpstr>v_33_SCO2</vt:lpstr>
      <vt:lpstr>v_33_SFe2</vt:lpstr>
      <vt:lpstr>v_33_SH</vt:lpstr>
      <vt:lpstr>v_33_SH2</vt:lpstr>
      <vt:lpstr>v_33_SK</vt:lpstr>
      <vt:lpstr>v_33_SMEOL</vt:lpstr>
      <vt:lpstr>v_33_SMg</vt:lpstr>
      <vt:lpstr>v_33_SN_B</vt:lpstr>
      <vt:lpstr>v_33_SN2</vt:lpstr>
      <vt:lpstr>v_33_SNHx</vt:lpstr>
      <vt:lpstr>v_33_SNO2</vt:lpstr>
      <vt:lpstr>v_33_SNO3</vt:lpstr>
      <vt:lpstr>v_33_SO2</vt:lpstr>
      <vt:lpstr>v_33_SORPswitch</vt:lpstr>
      <vt:lpstr>v_33_SP_B</vt:lpstr>
      <vt:lpstr>v_33_SPFOA</vt:lpstr>
      <vt:lpstr>v_33_SPFOS</vt:lpstr>
      <vt:lpstr>v_33_SPO4</vt:lpstr>
      <vt:lpstr>v_33_SU</vt:lpstr>
      <vt:lpstr>v_33_SVFA</vt:lpstr>
      <vt:lpstr>v_33_XACP</vt:lpstr>
      <vt:lpstr>v_33_XAHO</vt:lpstr>
      <vt:lpstr>v_33_XALGAE</vt:lpstr>
      <vt:lpstr>v_33_XAMETO</vt:lpstr>
      <vt:lpstr>v_33_XAMX</vt:lpstr>
      <vt:lpstr>v_33_XAOB</vt:lpstr>
      <vt:lpstr>v_33_XB</vt:lpstr>
      <vt:lpstr>v_33_XB_e</vt:lpstr>
      <vt:lpstr>v_33_XBSH</vt:lpstr>
      <vt:lpstr>v_33_XCaCO3</vt:lpstr>
      <vt:lpstr>v_33_XCASTO</vt:lpstr>
      <vt:lpstr>v_33_XE</vt:lpstr>
      <vt:lpstr>v_33_XE_ana</vt:lpstr>
      <vt:lpstr>v_33_XHAO_H</vt:lpstr>
      <vt:lpstr>v_33_XHAO_H_P</vt:lpstr>
      <vt:lpstr>v_33_XHAO_H_P_old</vt:lpstr>
      <vt:lpstr>v_33_XHAO_L</vt:lpstr>
      <vt:lpstr>v_33_XHAO_L_P</vt:lpstr>
      <vt:lpstr>v_33_XHAO_L_P_old</vt:lpstr>
      <vt:lpstr>v_33_XHAO_old</vt:lpstr>
      <vt:lpstr>v_33_XHFO_H</vt:lpstr>
      <vt:lpstr>v_33_XHFO_H_P</vt:lpstr>
      <vt:lpstr>v_33_XHFO_H_P_old</vt:lpstr>
      <vt:lpstr>v_33_XHFO_L</vt:lpstr>
      <vt:lpstr>v_33_XHFO_L_P</vt:lpstr>
      <vt:lpstr>v_33_XHFO_L_P_old</vt:lpstr>
      <vt:lpstr>v_33_XHFO_old</vt:lpstr>
      <vt:lpstr>v_33_XHMETO</vt:lpstr>
      <vt:lpstr>v_33_XINORG</vt:lpstr>
      <vt:lpstr>v_33_XMEOLO</vt:lpstr>
      <vt:lpstr>v_33_XN_B</vt:lpstr>
      <vt:lpstr>v_33_XN_Be</vt:lpstr>
      <vt:lpstr>v_33_XN_U</vt:lpstr>
      <vt:lpstr>v_33_XNOB</vt:lpstr>
      <vt:lpstr>v_33_XOHO</vt:lpstr>
      <vt:lpstr>v_33_XP_B</vt:lpstr>
      <vt:lpstr>v_33_XP_Be</vt:lpstr>
      <vt:lpstr>v_33_XP_U</vt:lpstr>
      <vt:lpstr>v_33_XPFOA</vt:lpstr>
      <vt:lpstr>v_33_XPFOS</vt:lpstr>
      <vt:lpstr>v_33_XPHA_GAO</vt:lpstr>
      <vt:lpstr>v_33_XPHA_PAO</vt:lpstr>
      <vt:lpstr>v_33_XPP</vt:lpstr>
      <vt:lpstr>v_33_XSTO</vt:lpstr>
      <vt:lpstr>v_33_XSTR</vt:lpstr>
      <vt:lpstr>v_33_XU</vt:lpstr>
      <vt:lpstr>v_33_XVivi</vt:lpstr>
      <vt:lpstr>v_34_CB</vt:lpstr>
      <vt:lpstr>v_34_CU</vt:lpstr>
      <vt:lpstr>v_34_GCH4</vt:lpstr>
      <vt:lpstr>v_34_GCH4_atm</vt:lpstr>
      <vt:lpstr>v_34_GCO2</vt:lpstr>
      <vt:lpstr>v_34_GCO2_atm</vt:lpstr>
      <vt:lpstr>v_34_GH2</vt:lpstr>
      <vt:lpstr>v_34_GH2_atm</vt:lpstr>
      <vt:lpstr>v_34_GN2</vt:lpstr>
      <vt:lpstr>v_34_GN2_atm</vt:lpstr>
      <vt:lpstr>v_34_GNH3</vt:lpstr>
      <vt:lpstr>v_34_GNH3_atm</vt:lpstr>
      <vt:lpstr>v_34_GO2</vt:lpstr>
      <vt:lpstr>v_34_GO2_atm</vt:lpstr>
      <vt:lpstr>v_34_SALPHA</vt:lpstr>
      <vt:lpstr>v_34_SAN</vt:lpstr>
      <vt:lpstr>v_34_SB_mono</vt:lpstr>
      <vt:lpstr>v_34_SB_poly</vt:lpstr>
      <vt:lpstr>v_34_SCa</vt:lpstr>
      <vt:lpstr>v_34_SCAT</vt:lpstr>
      <vt:lpstr>v_34_SCH4</vt:lpstr>
      <vt:lpstr>v_34_SCO2</vt:lpstr>
      <vt:lpstr>v_34_SFe2</vt:lpstr>
      <vt:lpstr>v_34_SH</vt:lpstr>
      <vt:lpstr>v_34_SH2</vt:lpstr>
      <vt:lpstr>v_34_SK</vt:lpstr>
      <vt:lpstr>v_34_SMEOL</vt:lpstr>
      <vt:lpstr>v_34_SMg</vt:lpstr>
      <vt:lpstr>v_34_SN_B</vt:lpstr>
      <vt:lpstr>v_34_SN2</vt:lpstr>
      <vt:lpstr>v_34_SNHx</vt:lpstr>
      <vt:lpstr>v_34_SNO2</vt:lpstr>
      <vt:lpstr>v_34_SNO3</vt:lpstr>
      <vt:lpstr>v_34_SO2</vt:lpstr>
      <vt:lpstr>v_34_SORPswitch</vt:lpstr>
      <vt:lpstr>v_34_SP_B</vt:lpstr>
      <vt:lpstr>v_34_SPFOA</vt:lpstr>
      <vt:lpstr>v_34_SPFOS</vt:lpstr>
      <vt:lpstr>v_34_SPO4</vt:lpstr>
      <vt:lpstr>v_34_SU</vt:lpstr>
      <vt:lpstr>v_34_SVFA</vt:lpstr>
      <vt:lpstr>v_34_XACP</vt:lpstr>
      <vt:lpstr>v_34_XAHO</vt:lpstr>
      <vt:lpstr>v_34_XALGAE</vt:lpstr>
      <vt:lpstr>v_34_XAMETO</vt:lpstr>
      <vt:lpstr>v_34_XAMX</vt:lpstr>
      <vt:lpstr>v_34_XAOB</vt:lpstr>
      <vt:lpstr>v_34_XB</vt:lpstr>
      <vt:lpstr>v_34_XB_e</vt:lpstr>
      <vt:lpstr>v_34_XBSH</vt:lpstr>
      <vt:lpstr>v_34_XCaCO3</vt:lpstr>
      <vt:lpstr>v_34_XCASTO</vt:lpstr>
      <vt:lpstr>v_34_XE</vt:lpstr>
      <vt:lpstr>v_34_XE_ana</vt:lpstr>
      <vt:lpstr>v_34_XHAO_H</vt:lpstr>
      <vt:lpstr>v_34_XHAO_H_P</vt:lpstr>
      <vt:lpstr>v_34_XHAO_H_P_old</vt:lpstr>
      <vt:lpstr>v_34_XHAO_L</vt:lpstr>
      <vt:lpstr>v_34_XHAO_L_P</vt:lpstr>
      <vt:lpstr>v_34_XHAO_L_P_old</vt:lpstr>
      <vt:lpstr>v_34_XHAO_old</vt:lpstr>
      <vt:lpstr>v_34_XHFO_H</vt:lpstr>
      <vt:lpstr>v_34_XHFO_H_P</vt:lpstr>
      <vt:lpstr>v_34_XHFO_H_P_old</vt:lpstr>
      <vt:lpstr>v_34_XHFO_L</vt:lpstr>
      <vt:lpstr>v_34_XHFO_L_P</vt:lpstr>
      <vt:lpstr>v_34_XHFO_L_P_old</vt:lpstr>
      <vt:lpstr>v_34_XHFO_old</vt:lpstr>
      <vt:lpstr>v_34_XHMETO</vt:lpstr>
      <vt:lpstr>v_34_XINORG</vt:lpstr>
      <vt:lpstr>v_34_XMEOLO</vt:lpstr>
      <vt:lpstr>v_34_XN_B</vt:lpstr>
      <vt:lpstr>v_34_XN_Be</vt:lpstr>
      <vt:lpstr>v_34_XN_U</vt:lpstr>
      <vt:lpstr>v_34_XNOB</vt:lpstr>
      <vt:lpstr>v_34_XOHO</vt:lpstr>
      <vt:lpstr>v_34_XP_B</vt:lpstr>
      <vt:lpstr>v_34_XP_Be</vt:lpstr>
      <vt:lpstr>v_34_XP_U</vt:lpstr>
      <vt:lpstr>v_34_XPFOA</vt:lpstr>
      <vt:lpstr>v_34_XPFOS</vt:lpstr>
      <vt:lpstr>v_34_XPHA_GAO</vt:lpstr>
      <vt:lpstr>v_34_XPHA_PAO</vt:lpstr>
      <vt:lpstr>v_34_XPP</vt:lpstr>
      <vt:lpstr>v_34_XSTO</vt:lpstr>
      <vt:lpstr>v_34_XSTR</vt:lpstr>
      <vt:lpstr>v_34_XU</vt:lpstr>
      <vt:lpstr>v_34_XVivi</vt:lpstr>
      <vt:lpstr>v_35_CB</vt:lpstr>
      <vt:lpstr>v_35_CU</vt:lpstr>
      <vt:lpstr>v_35_GCH4</vt:lpstr>
      <vt:lpstr>v_35_GCH4_atm</vt:lpstr>
      <vt:lpstr>v_35_GCO2</vt:lpstr>
      <vt:lpstr>v_35_GCO2_atm</vt:lpstr>
      <vt:lpstr>v_35_GH2</vt:lpstr>
      <vt:lpstr>v_35_GH2_atm</vt:lpstr>
      <vt:lpstr>v_35_GN2</vt:lpstr>
      <vt:lpstr>v_35_GN2_atm</vt:lpstr>
      <vt:lpstr>v_35_GNH3</vt:lpstr>
      <vt:lpstr>v_35_GNH3_atm</vt:lpstr>
      <vt:lpstr>v_35_GO2</vt:lpstr>
      <vt:lpstr>v_35_GO2_atm</vt:lpstr>
      <vt:lpstr>v_35_SALPHA</vt:lpstr>
      <vt:lpstr>v_35_SAN</vt:lpstr>
      <vt:lpstr>v_35_SB_mono</vt:lpstr>
      <vt:lpstr>v_35_SB_poly</vt:lpstr>
      <vt:lpstr>v_35_SCa</vt:lpstr>
      <vt:lpstr>v_35_SCAT</vt:lpstr>
      <vt:lpstr>v_35_SCH4</vt:lpstr>
      <vt:lpstr>v_35_SCO2</vt:lpstr>
      <vt:lpstr>v_35_SFe2</vt:lpstr>
      <vt:lpstr>v_35_SH</vt:lpstr>
      <vt:lpstr>v_35_SH2</vt:lpstr>
      <vt:lpstr>v_35_SK</vt:lpstr>
      <vt:lpstr>v_35_SMEOL</vt:lpstr>
      <vt:lpstr>v_35_SMg</vt:lpstr>
      <vt:lpstr>v_35_SN_B</vt:lpstr>
      <vt:lpstr>v_35_SN2</vt:lpstr>
      <vt:lpstr>v_35_SNHx</vt:lpstr>
      <vt:lpstr>v_35_SNO2</vt:lpstr>
      <vt:lpstr>v_35_SNO3</vt:lpstr>
      <vt:lpstr>v_35_SO2</vt:lpstr>
      <vt:lpstr>v_35_SORPswitch</vt:lpstr>
      <vt:lpstr>v_35_SP_B</vt:lpstr>
      <vt:lpstr>v_35_SPFOA</vt:lpstr>
      <vt:lpstr>v_35_SPFOS</vt:lpstr>
      <vt:lpstr>v_35_SPO4</vt:lpstr>
      <vt:lpstr>v_35_SU</vt:lpstr>
      <vt:lpstr>v_35_SVFA</vt:lpstr>
      <vt:lpstr>v_35_XACP</vt:lpstr>
      <vt:lpstr>v_35_XAHO</vt:lpstr>
      <vt:lpstr>v_35_XALGAE</vt:lpstr>
      <vt:lpstr>v_35_XAMETO</vt:lpstr>
      <vt:lpstr>v_35_XAMX</vt:lpstr>
      <vt:lpstr>v_35_XAOB</vt:lpstr>
      <vt:lpstr>v_35_XB</vt:lpstr>
      <vt:lpstr>v_35_XB_e</vt:lpstr>
      <vt:lpstr>v_35_XBSH</vt:lpstr>
      <vt:lpstr>v_35_XCaCO3</vt:lpstr>
      <vt:lpstr>v_35_XCASTO</vt:lpstr>
      <vt:lpstr>v_35_XE</vt:lpstr>
      <vt:lpstr>v_35_XE_ana</vt:lpstr>
      <vt:lpstr>v_35_XHAO_H</vt:lpstr>
      <vt:lpstr>v_35_XHAO_H_P</vt:lpstr>
      <vt:lpstr>v_35_XHAO_H_P_old</vt:lpstr>
      <vt:lpstr>v_35_XHAO_L</vt:lpstr>
      <vt:lpstr>v_35_XHAO_L_P</vt:lpstr>
      <vt:lpstr>v_35_XHAO_L_P_old</vt:lpstr>
      <vt:lpstr>v_35_XHAO_old</vt:lpstr>
      <vt:lpstr>v_35_XHFO_H</vt:lpstr>
      <vt:lpstr>v_35_XHFO_H_P</vt:lpstr>
      <vt:lpstr>v_35_XHFO_H_P_old</vt:lpstr>
      <vt:lpstr>v_35_XHFO_L</vt:lpstr>
      <vt:lpstr>v_35_XHFO_L_P</vt:lpstr>
      <vt:lpstr>v_35_XHFO_L_P_old</vt:lpstr>
      <vt:lpstr>v_35_XHFO_old</vt:lpstr>
      <vt:lpstr>v_35_XHMETO</vt:lpstr>
      <vt:lpstr>v_35_XINORG</vt:lpstr>
      <vt:lpstr>v_35_XMEOLO</vt:lpstr>
      <vt:lpstr>v_35_XN_B</vt:lpstr>
      <vt:lpstr>v_35_XN_Be</vt:lpstr>
      <vt:lpstr>v_35_XN_U</vt:lpstr>
      <vt:lpstr>v_35_XNOB</vt:lpstr>
      <vt:lpstr>v_35_XOHO</vt:lpstr>
      <vt:lpstr>v_35_XP_B</vt:lpstr>
      <vt:lpstr>v_35_XP_Be</vt:lpstr>
      <vt:lpstr>v_35_XP_U</vt:lpstr>
      <vt:lpstr>v_35_XPFOA</vt:lpstr>
      <vt:lpstr>v_35_XPFOS</vt:lpstr>
      <vt:lpstr>v_35_XPHA_GAO</vt:lpstr>
      <vt:lpstr>v_35_XPHA_PAO</vt:lpstr>
      <vt:lpstr>v_35_XPP</vt:lpstr>
      <vt:lpstr>v_35_XSTO</vt:lpstr>
      <vt:lpstr>v_35_XSTR</vt:lpstr>
      <vt:lpstr>v_35_XU</vt:lpstr>
      <vt:lpstr>v_35_XVivi</vt:lpstr>
      <vt:lpstr>v_36_CB</vt:lpstr>
      <vt:lpstr>v_36_CU</vt:lpstr>
      <vt:lpstr>v_36_GCH4</vt:lpstr>
      <vt:lpstr>v_36_GCH4_atm</vt:lpstr>
      <vt:lpstr>v_36_GCO2</vt:lpstr>
      <vt:lpstr>v_36_GCO2_atm</vt:lpstr>
      <vt:lpstr>v_36_GH2</vt:lpstr>
      <vt:lpstr>v_36_GH2_atm</vt:lpstr>
      <vt:lpstr>v_36_GN2</vt:lpstr>
      <vt:lpstr>v_36_GN2_atm</vt:lpstr>
      <vt:lpstr>v_36_GNH3</vt:lpstr>
      <vt:lpstr>v_36_GNH3_atm</vt:lpstr>
      <vt:lpstr>v_36_GO2</vt:lpstr>
      <vt:lpstr>v_36_GO2_atm</vt:lpstr>
      <vt:lpstr>v_36_SALPHA</vt:lpstr>
      <vt:lpstr>v_36_SAN</vt:lpstr>
      <vt:lpstr>v_36_SB_mono</vt:lpstr>
      <vt:lpstr>v_36_SB_poly</vt:lpstr>
      <vt:lpstr>v_36_SCa</vt:lpstr>
      <vt:lpstr>v_36_SCAT</vt:lpstr>
      <vt:lpstr>v_36_SCH4</vt:lpstr>
      <vt:lpstr>v_36_SCO2</vt:lpstr>
      <vt:lpstr>v_36_SFe2</vt:lpstr>
      <vt:lpstr>v_36_SH</vt:lpstr>
      <vt:lpstr>v_36_SH2</vt:lpstr>
      <vt:lpstr>v_36_SK</vt:lpstr>
      <vt:lpstr>v_36_SMEOL</vt:lpstr>
      <vt:lpstr>v_36_SMg</vt:lpstr>
      <vt:lpstr>v_36_SN_B</vt:lpstr>
      <vt:lpstr>v_36_SN2</vt:lpstr>
      <vt:lpstr>v_36_SNHx</vt:lpstr>
      <vt:lpstr>v_36_SNO2</vt:lpstr>
      <vt:lpstr>v_36_SNO3</vt:lpstr>
      <vt:lpstr>v_36_SO2</vt:lpstr>
      <vt:lpstr>v_36_SORPswitch</vt:lpstr>
      <vt:lpstr>v_36_SP_B</vt:lpstr>
      <vt:lpstr>v_36_SPFOA</vt:lpstr>
      <vt:lpstr>v_36_SPFOS</vt:lpstr>
      <vt:lpstr>v_36_SPO4</vt:lpstr>
      <vt:lpstr>v_36_SU</vt:lpstr>
      <vt:lpstr>v_36_SVFA</vt:lpstr>
      <vt:lpstr>v_36_XACP</vt:lpstr>
      <vt:lpstr>v_36_XAHO</vt:lpstr>
      <vt:lpstr>v_36_XALGAE</vt:lpstr>
      <vt:lpstr>v_36_XAMETO</vt:lpstr>
      <vt:lpstr>v_36_XAMX</vt:lpstr>
      <vt:lpstr>v_36_XAOB</vt:lpstr>
      <vt:lpstr>v_36_XB</vt:lpstr>
      <vt:lpstr>v_36_XB_e</vt:lpstr>
      <vt:lpstr>v_36_XBSH</vt:lpstr>
      <vt:lpstr>v_36_XCaCO3</vt:lpstr>
      <vt:lpstr>v_36_XCASTO</vt:lpstr>
      <vt:lpstr>v_36_XE</vt:lpstr>
      <vt:lpstr>v_36_XE_ana</vt:lpstr>
      <vt:lpstr>v_36_XHAO_H</vt:lpstr>
      <vt:lpstr>v_36_XHAO_H_P</vt:lpstr>
      <vt:lpstr>v_36_XHAO_H_P_old</vt:lpstr>
      <vt:lpstr>v_36_XHAO_L</vt:lpstr>
      <vt:lpstr>v_36_XHAO_L_P</vt:lpstr>
      <vt:lpstr>v_36_XHAO_L_P_old</vt:lpstr>
      <vt:lpstr>v_36_XHAO_old</vt:lpstr>
      <vt:lpstr>v_36_XHFO_H</vt:lpstr>
      <vt:lpstr>v_36_XHFO_H_P</vt:lpstr>
      <vt:lpstr>v_36_XHFO_H_P_old</vt:lpstr>
      <vt:lpstr>v_36_XHFO_L</vt:lpstr>
      <vt:lpstr>v_36_XHFO_L_P</vt:lpstr>
      <vt:lpstr>v_36_XHFO_L_P_old</vt:lpstr>
      <vt:lpstr>v_36_XHFO_old</vt:lpstr>
      <vt:lpstr>v_36_XHMETO</vt:lpstr>
      <vt:lpstr>v_36_XINORG</vt:lpstr>
      <vt:lpstr>v_36_XMEOLO</vt:lpstr>
      <vt:lpstr>v_36_XN_B</vt:lpstr>
      <vt:lpstr>v_36_XN_Be</vt:lpstr>
      <vt:lpstr>v_36_XN_U</vt:lpstr>
      <vt:lpstr>v_36_XNOB</vt:lpstr>
      <vt:lpstr>v_36_XOHO</vt:lpstr>
      <vt:lpstr>v_36_XP_B</vt:lpstr>
      <vt:lpstr>v_36_XP_Be</vt:lpstr>
      <vt:lpstr>v_36_XP_U</vt:lpstr>
      <vt:lpstr>v_36_XPFOA</vt:lpstr>
      <vt:lpstr>v_36_XPFOS</vt:lpstr>
      <vt:lpstr>v_36_XPHA_GAO</vt:lpstr>
      <vt:lpstr>v_36_XPHA_PAO</vt:lpstr>
      <vt:lpstr>v_36_XPP</vt:lpstr>
      <vt:lpstr>v_36_XSTO</vt:lpstr>
      <vt:lpstr>v_36_XSTR</vt:lpstr>
      <vt:lpstr>v_36_XU</vt:lpstr>
      <vt:lpstr>v_36_XVivi</vt:lpstr>
      <vt:lpstr>v_37_CB</vt:lpstr>
      <vt:lpstr>v_37_CU</vt:lpstr>
      <vt:lpstr>v_37_GCH4</vt:lpstr>
      <vt:lpstr>v_37_GCH4_atm</vt:lpstr>
      <vt:lpstr>v_37_GCO2</vt:lpstr>
      <vt:lpstr>v_37_GCO2_atm</vt:lpstr>
      <vt:lpstr>v_37_GH2</vt:lpstr>
      <vt:lpstr>v_37_GH2_atm</vt:lpstr>
      <vt:lpstr>v_37_GN2</vt:lpstr>
      <vt:lpstr>v_37_GN2_atm</vt:lpstr>
      <vt:lpstr>v_37_GNH3</vt:lpstr>
      <vt:lpstr>v_37_GNH3_atm</vt:lpstr>
      <vt:lpstr>v_37_GO2</vt:lpstr>
      <vt:lpstr>v_37_GO2_atm</vt:lpstr>
      <vt:lpstr>v_37_SALPHA</vt:lpstr>
      <vt:lpstr>v_37_SAN</vt:lpstr>
      <vt:lpstr>v_37_SB_mono</vt:lpstr>
      <vt:lpstr>v_37_SB_poly</vt:lpstr>
      <vt:lpstr>v_37_SCa</vt:lpstr>
      <vt:lpstr>v_37_SCAT</vt:lpstr>
      <vt:lpstr>v_37_SCH4</vt:lpstr>
      <vt:lpstr>v_37_SCO2</vt:lpstr>
      <vt:lpstr>v_37_SFe2</vt:lpstr>
      <vt:lpstr>v_37_SH</vt:lpstr>
      <vt:lpstr>v_37_SH2</vt:lpstr>
      <vt:lpstr>v_37_SK</vt:lpstr>
      <vt:lpstr>v_37_SMEOL</vt:lpstr>
      <vt:lpstr>v_37_SMg</vt:lpstr>
      <vt:lpstr>v_37_SN_B</vt:lpstr>
      <vt:lpstr>v_37_SN2</vt:lpstr>
      <vt:lpstr>v_37_SNHx</vt:lpstr>
      <vt:lpstr>v_37_SNO2</vt:lpstr>
      <vt:lpstr>v_37_SNO3</vt:lpstr>
      <vt:lpstr>v_37_SO2</vt:lpstr>
      <vt:lpstr>v_37_SORPswitch</vt:lpstr>
      <vt:lpstr>v_37_SP_B</vt:lpstr>
      <vt:lpstr>v_37_SPFOA</vt:lpstr>
      <vt:lpstr>v_37_SPFOS</vt:lpstr>
      <vt:lpstr>v_37_SPO4</vt:lpstr>
      <vt:lpstr>v_37_SU</vt:lpstr>
      <vt:lpstr>v_37_SVFA</vt:lpstr>
      <vt:lpstr>v_37_XACP</vt:lpstr>
      <vt:lpstr>v_37_XAHO</vt:lpstr>
      <vt:lpstr>v_37_XALGAE</vt:lpstr>
      <vt:lpstr>v_37_XAMETO</vt:lpstr>
      <vt:lpstr>v_37_XAMX</vt:lpstr>
      <vt:lpstr>v_37_XAOB</vt:lpstr>
      <vt:lpstr>v_37_XB</vt:lpstr>
      <vt:lpstr>v_37_XB_e</vt:lpstr>
      <vt:lpstr>v_37_XBSH</vt:lpstr>
      <vt:lpstr>v_37_XCaCO3</vt:lpstr>
      <vt:lpstr>v_37_XCASTO</vt:lpstr>
      <vt:lpstr>v_37_XE</vt:lpstr>
      <vt:lpstr>v_37_XE_ana</vt:lpstr>
      <vt:lpstr>v_37_XHAO_H</vt:lpstr>
      <vt:lpstr>v_37_XHAO_H_P</vt:lpstr>
      <vt:lpstr>v_37_XHAO_H_P_old</vt:lpstr>
      <vt:lpstr>v_37_XHAO_L</vt:lpstr>
      <vt:lpstr>v_37_XHAO_L_P</vt:lpstr>
      <vt:lpstr>v_37_XHAO_L_P_old</vt:lpstr>
      <vt:lpstr>v_37_XHAO_old</vt:lpstr>
      <vt:lpstr>v_37_XHFO_H</vt:lpstr>
      <vt:lpstr>v_37_XHFO_H_P</vt:lpstr>
      <vt:lpstr>v_37_XHFO_H_P_old</vt:lpstr>
      <vt:lpstr>v_37_XHFO_L</vt:lpstr>
      <vt:lpstr>v_37_XHFO_L_P</vt:lpstr>
      <vt:lpstr>v_37_XHFO_L_P_old</vt:lpstr>
      <vt:lpstr>v_37_XHFO_old</vt:lpstr>
      <vt:lpstr>v_37_XHMETO</vt:lpstr>
      <vt:lpstr>v_37_XINORG</vt:lpstr>
      <vt:lpstr>v_37_XMEOLO</vt:lpstr>
      <vt:lpstr>v_37_XN_B</vt:lpstr>
      <vt:lpstr>v_37_XN_Be</vt:lpstr>
      <vt:lpstr>v_37_XN_U</vt:lpstr>
      <vt:lpstr>v_37_XNOB</vt:lpstr>
      <vt:lpstr>v_37_XOHO</vt:lpstr>
      <vt:lpstr>v_37_XP_B</vt:lpstr>
      <vt:lpstr>v_37_XP_Be</vt:lpstr>
      <vt:lpstr>v_37_XP_U</vt:lpstr>
      <vt:lpstr>v_37_XPFOA</vt:lpstr>
      <vt:lpstr>v_37_XPFOS</vt:lpstr>
      <vt:lpstr>v_37_XPHA_GAO</vt:lpstr>
      <vt:lpstr>v_37_XPHA_PAO</vt:lpstr>
      <vt:lpstr>v_37_XPP</vt:lpstr>
      <vt:lpstr>v_37_XSTO</vt:lpstr>
      <vt:lpstr>v_37_XSTR</vt:lpstr>
      <vt:lpstr>v_37_XU</vt:lpstr>
      <vt:lpstr>v_37_XVivi</vt:lpstr>
      <vt:lpstr>v_38_CB</vt:lpstr>
      <vt:lpstr>v_38_CU</vt:lpstr>
      <vt:lpstr>v_38_GCH4</vt:lpstr>
      <vt:lpstr>v_38_GCH4_atm</vt:lpstr>
      <vt:lpstr>v_38_GCO2</vt:lpstr>
      <vt:lpstr>v_38_GCO2_atm</vt:lpstr>
      <vt:lpstr>v_38_GH2</vt:lpstr>
      <vt:lpstr>v_38_GH2_atm</vt:lpstr>
      <vt:lpstr>v_38_GN2</vt:lpstr>
      <vt:lpstr>v_38_GN2_atm</vt:lpstr>
      <vt:lpstr>v_38_GNH3</vt:lpstr>
      <vt:lpstr>v_38_GNH3_atm</vt:lpstr>
      <vt:lpstr>v_38_GO2</vt:lpstr>
      <vt:lpstr>v_38_GO2_atm</vt:lpstr>
      <vt:lpstr>v_38_SALPHA</vt:lpstr>
      <vt:lpstr>v_38_SAN</vt:lpstr>
      <vt:lpstr>v_38_SB_mono</vt:lpstr>
      <vt:lpstr>v_38_SB_poly</vt:lpstr>
      <vt:lpstr>v_38_SCa</vt:lpstr>
      <vt:lpstr>v_38_SCAT</vt:lpstr>
      <vt:lpstr>v_38_SCH4</vt:lpstr>
      <vt:lpstr>v_38_SCO2</vt:lpstr>
      <vt:lpstr>v_38_SFe2</vt:lpstr>
      <vt:lpstr>v_38_SH</vt:lpstr>
      <vt:lpstr>v_38_SH2</vt:lpstr>
      <vt:lpstr>v_38_SK</vt:lpstr>
      <vt:lpstr>v_38_SMEOL</vt:lpstr>
      <vt:lpstr>v_38_SMg</vt:lpstr>
      <vt:lpstr>v_38_SN_B</vt:lpstr>
      <vt:lpstr>v_38_SN2</vt:lpstr>
      <vt:lpstr>v_38_SNHx</vt:lpstr>
      <vt:lpstr>v_38_SNO2</vt:lpstr>
      <vt:lpstr>v_38_SNO3</vt:lpstr>
      <vt:lpstr>v_38_SO2</vt:lpstr>
      <vt:lpstr>v_38_SORPswitch</vt:lpstr>
      <vt:lpstr>v_38_SP_B</vt:lpstr>
      <vt:lpstr>v_38_SPFOA</vt:lpstr>
      <vt:lpstr>v_38_SPFOS</vt:lpstr>
      <vt:lpstr>v_38_SPO4</vt:lpstr>
      <vt:lpstr>v_38_SU</vt:lpstr>
      <vt:lpstr>v_38_SVFA</vt:lpstr>
      <vt:lpstr>v_38_XACP</vt:lpstr>
      <vt:lpstr>v_38_XAHO</vt:lpstr>
      <vt:lpstr>v_38_XALGAE</vt:lpstr>
      <vt:lpstr>v_38_XAMETO</vt:lpstr>
      <vt:lpstr>v_38_XAMX</vt:lpstr>
      <vt:lpstr>v_38_XAOB</vt:lpstr>
      <vt:lpstr>v_38_XB</vt:lpstr>
      <vt:lpstr>v_38_XB_e</vt:lpstr>
      <vt:lpstr>v_38_XBSH</vt:lpstr>
      <vt:lpstr>v_38_XCaCO3</vt:lpstr>
      <vt:lpstr>v_38_XCASTO</vt:lpstr>
      <vt:lpstr>v_38_XE</vt:lpstr>
      <vt:lpstr>v_38_XE_ana</vt:lpstr>
      <vt:lpstr>v_38_XHAO_H</vt:lpstr>
      <vt:lpstr>v_38_XHAO_H_P</vt:lpstr>
      <vt:lpstr>v_38_XHAO_H_P_old</vt:lpstr>
      <vt:lpstr>v_38_XHAO_L</vt:lpstr>
      <vt:lpstr>v_38_XHAO_L_P</vt:lpstr>
      <vt:lpstr>v_38_XHAO_L_P_old</vt:lpstr>
      <vt:lpstr>v_38_XHAO_old</vt:lpstr>
      <vt:lpstr>v_38_XHFO_H</vt:lpstr>
      <vt:lpstr>v_38_XHFO_H_P</vt:lpstr>
      <vt:lpstr>v_38_XHFO_H_P_old</vt:lpstr>
      <vt:lpstr>v_38_XHFO_L</vt:lpstr>
      <vt:lpstr>v_38_XHFO_L_P</vt:lpstr>
      <vt:lpstr>v_38_XHFO_L_P_old</vt:lpstr>
      <vt:lpstr>v_38_XHFO_old</vt:lpstr>
      <vt:lpstr>v_38_XHMETO</vt:lpstr>
      <vt:lpstr>v_38_XINORG</vt:lpstr>
      <vt:lpstr>v_38_XMEOLO</vt:lpstr>
      <vt:lpstr>v_38_XN_B</vt:lpstr>
      <vt:lpstr>v_38_XN_Be</vt:lpstr>
      <vt:lpstr>v_38_XN_U</vt:lpstr>
      <vt:lpstr>v_38_XNOB</vt:lpstr>
      <vt:lpstr>v_38_XOHO</vt:lpstr>
      <vt:lpstr>v_38_XP_B</vt:lpstr>
      <vt:lpstr>v_38_XP_Be</vt:lpstr>
      <vt:lpstr>v_38_XP_U</vt:lpstr>
      <vt:lpstr>v_38_XPFOA</vt:lpstr>
      <vt:lpstr>v_38_XPFOS</vt:lpstr>
      <vt:lpstr>v_38_XPHA_GAO</vt:lpstr>
      <vt:lpstr>v_38_XPHA_PAO</vt:lpstr>
      <vt:lpstr>v_38_XPP</vt:lpstr>
      <vt:lpstr>v_38_XSTO</vt:lpstr>
      <vt:lpstr>v_38_XSTR</vt:lpstr>
      <vt:lpstr>v_38_XU</vt:lpstr>
      <vt:lpstr>v_38_XVivi</vt:lpstr>
      <vt:lpstr>v_39_CB</vt:lpstr>
      <vt:lpstr>v_39_CU</vt:lpstr>
      <vt:lpstr>v_39_GCH4</vt:lpstr>
      <vt:lpstr>v_39_GCH4_atm</vt:lpstr>
      <vt:lpstr>v_39_GCO2</vt:lpstr>
      <vt:lpstr>v_39_GCO2_atm</vt:lpstr>
      <vt:lpstr>v_39_GH2</vt:lpstr>
      <vt:lpstr>v_39_GH2_atm</vt:lpstr>
      <vt:lpstr>v_39_GN2</vt:lpstr>
      <vt:lpstr>v_39_GN2_atm</vt:lpstr>
      <vt:lpstr>v_39_GNH3</vt:lpstr>
      <vt:lpstr>v_39_GNH3_atm</vt:lpstr>
      <vt:lpstr>v_39_GO2</vt:lpstr>
      <vt:lpstr>v_39_GO2_atm</vt:lpstr>
      <vt:lpstr>v_39_SALPHA</vt:lpstr>
      <vt:lpstr>v_39_SAN</vt:lpstr>
      <vt:lpstr>v_39_SB_mono</vt:lpstr>
      <vt:lpstr>v_39_SB_poly</vt:lpstr>
      <vt:lpstr>v_39_SCa</vt:lpstr>
      <vt:lpstr>v_39_SCAT</vt:lpstr>
      <vt:lpstr>v_39_SCH4</vt:lpstr>
      <vt:lpstr>v_39_SCO2</vt:lpstr>
      <vt:lpstr>v_39_SFe2</vt:lpstr>
      <vt:lpstr>v_39_SH</vt:lpstr>
      <vt:lpstr>v_39_SH2</vt:lpstr>
      <vt:lpstr>v_39_SK</vt:lpstr>
      <vt:lpstr>v_39_SMEOL</vt:lpstr>
      <vt:lpstr>v_39_SMg</vt:lpstr>
      <vt:lpstr>v_39_SN_B</vt:lpstr>
      <vt:lpstr>v_39_SN2</vt:lpstr>
      <vt:lpstr>v_39_SNHx</vt:lpstr>
      <vt:lpstr>v_39_SNO2</vt:lpstr>
      <vt:lpstr>v_39_SNO3</vt:lpstr>
      <vt:lpstr>v_39_SO2</vt:lpstr>
      <vt:lpstr>v_39_SORPswitch</vt:lpstr>
      <vt:lpstr>v_39_SP_B</vt:lpstr>
      <vt:lpstr>v_39_SPFOA</vt:lpstr>
      <vt:lpstr>v_39_SPFOS</vt:lpstr>
      <vt:lpstr>v_39_SPO4</vt:lpstr>
      <vt:lpstr>v_39_SU</vt:lpstr>
      <vt:lpstr>v_39_SVFA</vt:lpstr>
      <vt:lpstr>v_39_XACP</vt:lpstr>
      <vt:lpstr>v_39_XAHO</vt:lpstr>
      <vt:lpstr>v_39_XALGAE</vt:lpstr>
      <vt:lpstr>v_39_XAMETO</vt:lpstr>
      <vt:lpstr>v_39_XAMX</vt:lpstr>
      <vt:lpstr>v_39_XAOB</vt:lpstr>
      <vt:lpstr>v_39_XB</vt:lpstr>
      <vt:lpstr>v_39_XB_e</vt:lpstr>
      <vt:lpstr>v_39_XBSH</vt:lpstr>
      <vt:lpstr>v_39_XCaCO3</vt:lpstr>
      <vt:lpstr>v_39_XCASTO</vt:lpstr>
      <vt:lpstr>v_39_XE</vt:lpstr>
      <vt:lpstr>v_39_XE_ana</vt:lpstr>
      <vt:lpstr>v_39_XHAO_H</vt:lpstr>
      <vt:lpstr>v_39_XHAO_H_P</vt:lpstr>
      <vt:lpstr>v_39_XHAO_H_P_old</vt:lpstr>
      <vt:lpstr>v_39_XHAO_L</vt:lpstr>
      <vt:lpstr>v_39_XHAO_L_P</vt:lpstr>
      <vt:lpstr>v_39_XHAO_L_P_old</vt:lpstr>
      <vt:lpstr>v_39_XHAO_old</vt:lpstr>
      <vt:lpstr>v_39_XHFO_H</vt:lpstr>
      <vt:lpstr>v_39_XHFO_H_P</vt:lpstr>
      <vt:lpstr>v_39_XHFO_H_P_old</vt:lpstr>
      <vt:lpstr>v_39_XHFO_L</vt:lpstr>
      <vt:lpstr>v_39_XHFO_L_P</vt:lpstr>
      <vt:lpstr>v_39_XHFO_L_P_old</vt:lpstr>
      <vt:lpstr>v_39_XHFO_old</vt:lpstr>
      <vt:lpstr>v_39_XHMETO</vt:lpstr>
      <vt:lpstr>v_39_XINORG</vt:lpstr>
      <vt:lpstr>v_39_XMEOLO</vt:lpstr>
      <vt:lpstr>v_39_XN_B</vt:lpstr>
      <vt:lpstr>v_39_XN_Be</vt:lpstr>
      <vt:lpstr>v_39_XN_U</vt:lpstr>
      <vt:lpstr>v_39_XNOB</vt:lpstr>
      <vt:lpstr>v_39_XOHO</vt:lpstr>
      <vt:lpstr>v_39_XP_B</vt:lpstr>
      <vt:lpstr>v_39_XP_Be</vt:lpstr>
      <vt:lpstr>v_39_XP_U</vt:lpstr>
      <vt:lpstr>v_39_XPFOA</vt:lpstr>
      <vt:lpstr>v_39_XPFOS</vt:lpstr>
      <vt:lpstr>v_39_XPHA_GAO</vt:lpstr>
      <vt:lpstr>v_39_XPHA_PAO</vt:lpstr>
      <vt:lpstr>v_39_XPP</vt:lpstr>
      <vt:lpstr>v_39_XSTO</vt:lpstr>
      <vt:lpstr>v_39_XSTR</vt:lpstr>
      <vt:lpstr>v_39_XU</vt:lpstr>
      <vt:lpstr>v_39_XVivi</vt:lpstr>
      <vt:lpstr>v_4_CB</vt:lpstr>
      <vt:lpstr>v_4_CU</vt:lpstr>
      <vt:lpstr>v_4_GCH4</vt:lpstr>
      <vt:lpstr>v_4_GCH4_atm</vt:lpstr>
      <vt:lpstr>v_4_GCO2</vt:lpstr>
      <vt:lpstr>v_4_GCO2_atm</vt:lpstr>
      <vt:lpstr>v_4_GH2</vt:lpstr>
      <vt:lpstr>v_4_GH2_atm</vt:lpstr>
      <vt:lpstr>v_4_GN2</vt:lpstr>
      <vt:lpstr>v_4_GN2_atm</vt:lpstr>
      <vt:lpstr>v_4_GNH3</vt:lpstr>
      <vt:lpstr>v_4_GNH3_atm</vt:lpstr>
      <vt:lpstr>v_4_GO2</vt:lpstr>
      <vt:lpstr>v_4_GO2_atm</vt:lpstr>
      <vt:lpstr>v_4_SALPHA</vt:lpstr>
      <vt:lpstr>v_4_SAN</vt:lpstr>
      <vt:lpstr>v_4_SB_mono</vt:lpstr>
      <vt:lpstr>v_4_SB_poly</vt:lpstr>
      <vt:lpstr>v_4_SCa</vt:lpstr>
      <vt:lpstr>v_4_SCAT</vt:lpstr>
      <vt:lpstr>v_4_SCH4</vt:lpstr>
      <vt:lpstr>v_4_SCO2</vt:lpstr>
      <vt:lpstr>v_4_SFe2</vt:lpstr>
      <vt:lpstr>v_4_SH</vt:lpstr>
      <vt:lpstr>v_4_SH2</vt:lpstr>
      <vt:lpstr>v_4_SK</vt:lpstr>
      <vt:lpstr>v_4_SMEOL</vt:lpstr>
      <vt:lpstr>v_4_SMg</vt:lpstr>
      <vt:lpstr>v_4_SN_B</vt:lpstr>
      <vt:lpstr>v_4_SN2</vt:lpstr>
      <vt:lpstr>v_4_SNHx</vt:lpstr>
      <vt:lpstr>v_4_SNO2</vt:lpstr>
      <vt:lpstr>v_4_SNO3</vt:lpstr>
      <vt:lpstr>v_4_SO2</vt:lpstr>
      <vt:lpstr>v_4_SORPswitch</vt:lpstr>
      <vt:lpstr>v_4_SP_B</vt:lpstr>
      <vt:lpstr>v_4_SPFOA</vt:lpstr>
      <vt:lpstr>v_4_SPFOS</vt:lpstr>
      <vt:lpstr>v_4_SPO4</vt:lpstr>
      <vt:lpstr>v_4_SU</vt:lpstr>
      <vt:lpstr>v_4_SVFA</vt:lpstr>
      <vt:lpstr>v_4_XACP</vt:lpstr>
      <vt:lpstr>v_4_XAHO</vt:lpstr>
      <vt:lpstr>v_4_XALGAE</vt:lpstr>
      <vt:lpstr>v_4_XAMETO</vt:lpstr>
      <vt:lpstr>v_4_XAMX</vt:lpstr>
      <vt:lpstr>v_4_XAOB</vt:lpstr>
      <vt:lpstr>v_4_XB</vt:lpstr>
      <vt:lpstr>v_4_XB_e</vt:lpstr>
      <vt:lpstr>v_4_XBSH</vt:lpstr>
      <vt:lpstr>v_4_XCaCO3</vt:lpstr>
      <vt:lpstr>v_4_XCASTO</vt:lpstr>
      <vt:lpstr>v_4_XE</vt:lpstr>
      <vt:lpstr>v_4_XE_ana</vt:lpstr>
      <vt:lpstr>v_4_XHAO_H</vt:lpstr>
      <vt:lpstr>v_4_XHAO_H_P</vt:lpstr>
      <vt:lpstr>v_4_XHAO_H_P_old</vt:lpstr>
      <vt:lpstr>v_4_XHAO_L</vt:lpstr>
      <vt:lpstr>v_4_XHAO_L_P</vt:lpstr>
      <vt:lpstr>v_4_XHAO_L_P_old</vt:lpstr>
      <vt:lpstr>v_4_XHAO_old</vt:lpstr>
      <vt:lpstr>v_4_XHFO_H</vt:lpstr>
      <vt:lpstr>v_4_XHFO_H_P</vt:lpstr>
      <vt:lpstr>v_4_XHFO_H_P_old</vt:lpstr>
      <vt:lpstr>v_4_XHFO_L</vt:lpstr>
      <vt:lpstr>v_4_XHFO_L_P</vt:lpstr>
      <vt:lpstr>v_4_XHFO_L_P_old</vt:lpstr>
      <vt:lpstr>v_4_XHFO_old</vt:lpstr>
      <vt:lpstr>v_4_XHMETO</vt:lpstr>
      <vt:lpstr>v_4_XINORG</vt:lpstr>
      <vt:lpstr>v_4_XMEOLO</vt:lpstr>
      <vt:lpstr>v_4_XN_B</vt:lpstr>
      <vt:lpstr>v_4_XN_Be</vt:lpstr>
      <vt:lpstr>v_4_XN_U</vt:lpstr>
      <vt:lpstr>v_4_XNOB</vt:lpstr>
      <vt:lpstr>v_4_XOHO</vt:lpstr>
      <vt:lpstr>v_4_XP_B</vt:lpstr>
      <vt:lpstr>v_4_XP_Be</vt:lpstr>
      <vt:lpstr>v_4_XP_U</vt:lpstr>
      <vt:lpstr>v_4_XPFOA</vt:lpstr>
      <vt:lpstr>v_4_XPFOS</vt:lpstr>
      <vt:lpstr>v_4_XPHA_GAO</vt:lpstr>
      <vt:lpstr>v_4_XPHA_PAO</vt:lpstr>
      <vt:lpstr>v_4_XPP</vt:lpstr>
      <vt:lpstr>v_4_XSTO</vt:lpstr>
      <vt:lpstr>v_4_XSTR</vt:lpstr>
      <vt:lpstr>v_4_XU</vt:lpstr>
      <vt:lpstr>v_4_XVivi</vt:lpstr>
      <vt:lpstr>v_40_CB</vt:lpstr>
      <vt:lpstr>v_40_CU</vt:lpstr>
      <vt:lpstr>v_40_GCH4</vt:lpstr>
      <vt:lpstr>v_40_GCH4_atm</vt:lpstr>
      <vt:lpstr>v_40_GCO2</vt:lpstr>
      <vt:lpstr>v_40_GCO2_atm</vt:lpstr>
      <vt:lpstr>v_40_GH2</vt:lpstr>
      <vt:lpstr>v_40_GH2_atm</vt:lpstr>
      <vt:lpstr>v_40_GN2</vt:lpstr>
      <vt:lpstr>v_40_GN2_atm</vt:lpstr>
      <vt:lpstr>v_40_GNH3</vt:lpstr>
      <vt:lpstr>v_40_GNH3_atm</vt:lpstr>
      <vt:lpstr>v_40_GO2</vt:lpstr>
      <vt:lpstr>v_40_GO2_atm</vt:lpstr>
      <vt:lpstr>v_40_SALPHA</vt:lpstr>
      <vt:lpstr>v_40_SAN</vt:lpstr>
      <vt:lpstr>v_40_SB_mono</vt:lpstr>
      <vt:lpstr>v_40_SB_poly</vt:lpstr>
      <vt:lpstr>v_40_SCa</vt:lpstr>
      <vt:lpstr>v_40_SCAT</vt:lpstr>
      <vt:lpstr>v_40_SCH4</vt:lpstr>
      <vt:lpstr>v_40_SCO2</vt:lpstr>
      <vt:lpstr>v_40_SFe2</vt:lpstr>
      <vt:lpstr>v_40_SH</vt:lpstr>
      <vt:lpstr>v_40_SH2</vt:lpstr>
      <vt:lpstr>v_40_SK</vt:lpstr>
      <vt:lpstr>v_40_SMEOL</vt:lpstr>
      <vt:lpstr>v_40_SMg</vt:lpstr>
      <vt:lpstr>v_40_SN_B</vt:lpstr>
      <vt:lpstr>v_40_SN2</vt:lpstr>
      <vt:lpstr>v_40_SNHx</vt:lpstr>
      <vt:lpstr>v_40_SNO2</vt:lpstr>
      <vt:lpstr>v_40_SNO3</vt:lpstr>
      <vt:lpstr>v_40_SO2</vt:lpstr>
      <vt:lpstr>v_40_SORPswitch</vt:lpstr>
      <vt:lpstr>v_40_SP_B</vt:lpstr>
      <vt:lpstr>v_40_SPFOA</vt:lpstr>
      <vt:lpstr>v_40_SPFOS</vt:lpstr>
      <vt:lpstr>v_40_SPO4</vt:lpstr>
      <vt:lpstr>v_40_SU</vt:lpstr>
      <vt:lpstr>v_40_SVFA</vt:lpstr>
      <vt:lpstr>v_40_XACP</vt:lpstr>
      <vt:lpstr>v_40_XAHO</vt:lpstr>
      <vt:lpstr>v_40_XALGAE</vt:lpstr>
      <vt:lpstr>v_40_XAMETO</vt:lpstr>
      <vt:lpstr>v_40_XAMX</vt:lpstr>
      <vt:lpstr>v_40_XAOB</vt:lpstr>
      <vt:lpstr>v_40_XB</vt:lpstr>
      <vt:lpstr>v_40_XB_e</vt:lpstr>
      <vt:lpstr>v_40_XBSH</vt:lpstr>
      <vt:lpstr>v_40_XCaCO3</vt:lpstr>
      <vt:lpstr>v_40_XCASTO</vt:lpstr>
      <vt:lpstr>v_40_XE</vt:lpstr>
      <vt:lpstr>v_40_XE_ana</vt:lpstr>
      <vt:lpstr>v_40_XHAO_H</vt:lpstr>
      <vt:lpstr>v_40_XHAO_H_P</vt:lpstr>
      <vt:lpstr>v_40_XHAO_H_P_old</vt:lpstr>
      <vt:lpstr>v_40_XHAO_L</vt:lpstr>
      <vt:lpstr>v_40_XHAO_L_P</vt:lpstr>
      <vt:lpstr>v_40_XHAO_L_P_old</vt:lpstr>
      <vt:lpstr>v_40_XHAO_old</vt:lpstr>
      <vt:lpstr>v_40_XHFO_H</vt:lpstr>
      <vt:lpstr>v_40_XHFO_H_P</vt:lpstr>
      <vt:lpstr>v_40_XHFO_H_P_old</vt:lpstr>
      <vt:lpstr>v_40_XHFO_L</vt:lpstr>
      <vt:lpstr>v_40_XHFO_L_P</vt:lpstr>
      <vt:lpstr>v_40_XHFO_L_P_old</vt:lpstr>
      <vt:lpstr>v_40_XHFO_old</vt:lpstr>
      <vt:lpstr>v_40_XHMETO</vt:lpstr>
      <vt:lpstr>v_40_XINORG</vt:lpstr>
      <vt:lpstr>v_40_XMEOLO</vt:lpstr>
      <vt:lpstr>v_40_XN_B</vt:lpstr>
      <vt:lpstr>v_40_XN_Be</vt:lpstr>
      <vt:lpstr>v_40_XN_U</vt:lpstr>
      <vt:lpstr>v_40_XNOB</vt:lpstr>
      <vt:lpstr>v_40_XOHO</vt:lpstr>
      <vt:lpstr>v_40_XP_B</vt:lpstr>
      <vt:lpstr>v_40_XP_Be</vt:lpstr>
      <vt:lpstr>v_40_XP_U</vt:lpstr>
      <vt:lpstr>v_40_XPFOA</vt:lpstr>
      <vt:lpstr>v_40_XPFOS</vt:lpstr>
      <vt:lpstr>v_40_XPHA_GAO</vt:lpstr>
      <vt:lpstr>v_40_XPHA_PAO</vt:lpstr>
      <vt:lpstr>v_40_XPP</vt:lpstr>
      <vt:lpstr>v_40_XSTO</vt:lpstr>
      <vt:lpstr>v_40_XSTR</vt:lpstr>
      <vt:lpstr>v_40_XU</vt:lpstr>
      <vt:lpstr>v_40_XVivi</vt:lpstr>
      <vt:lpstr>v_41_CB</vt:lpstr>
      <vt:lpstr>v_41_CU</vt:lpstr>
      <vt:lpstr>v_41_GCH4</vt:lpstr>
      <vt:lpstr>v_41_GCH4_atm</vt:lpstr>
      <vt:lpstr>v_41_GCO2</vt:lpstr>
      <vt:lpstr>v_41_GCO2_atm</vt:lpstr>
      <vt:lpstr>v_41_GH2</vt:lpstr>
      <vt:lpstr>v_41_GH2_atm</vt:lpstr>
      <vt:lpstr>v_41_GN2</vt:lpstr>
      <vt:lpstr>v_41_GN2_atm</vt:lpstr>
      <vt:lpstr>v_41_GNH3</vt:lpstr>
      <vt:lpstr>v_41_GNH3_atm</vt:lpstr>
      <vt:lpstr>v_41_GO2</vt:lpstr>
      <vt:lpstr>v_41_GO2_atm</vt:lpstr>
      <vt:lpstr>v_41_SALPHA</vt:lpstr>
      <vt:lpstr>v_41_SAN</vt:lpstr>
      <vt:lpstr>v_41_SB_mono</vt:lpstr>
      <vt:lpstr>v_41_SB_poly</vt:lpstr>
      <vt:lpstr>v_41_SCa</vt:lpstr>
      <vt:lpstr>v_41_SCAT</vt:lpstr>
      <vt:lpstr>v_41_SCH4</vt:lpstr>
      <vt:lpstr>v_41_SCO2</vt:lpstr>
      <vt:lpstr>v_41_SFe2</vt:lpstr>
      <vt:lpstr>v_41_SH</vt:lpstr>
      <vt:lpstr>v_41_SH2</vt:lpstr>
      <vt:lpstr>v_41_SK</vt:lpstr>
      <vt:lpstr>v_41_SMEOL</vt:lpstr>
      <vt:lpstr>v_41_SMg</vt:lpstr>
      <vt:lpstr>v_41_SN_B</vt:lpstr>
      <vt:lpstr>v_41_SN2</vt:lpstr>
      <vt:lpstr>v_41_SNHx</vt:lpstr>
      <vt:lpstr>v_41_SNO2</vt:lpstr>
      <vt:lpstr>v_41_SNO3</vt:lpstr>
      <vt:lpstr>v_41_SO2</vt:lpstr>
      <vt:lpstr>v_41_SORPswitch</vt:lpstr>
      <vt:lpstr>v_41_SP_B</vt:lpstr>
      <vt:lpstr>v_41_SPFOA</vt:lpstr>
      <vt:lpstr>v_41_SPFOS</vt:lpstr>
      <vt:lpstr>v_41_SPO4</vt:lpstr>
      <vt:lpstr>v_41_SU</vt:lpstr>
      <vt:lpstr>v_41_SVFA</vt:lpstr>
      <vt:lpstr>v_41_XACP</vt:lpstr>
      <vt:lpstr>v_41_XAHO</vt:lpstr>
      <vt:lpstr>v_41_XALGAE</vt:lpstr>
      <vt:lpstr>v_41_XAMETO</vt:lpstr>
      <vt:lpstr>v_41_XAMX</vt:lpstr>
      <vt:lpstr>v_41_XAOB</vt:lpstr>
      <vt:lpstr>v_41_XB</vt:lpstr>
      <vt:lpstr>v_41_XB_e</vt:lpstr>
      <vt:lpstr>v_41_XBSH</vt:lpstr>
      <vt:lpstr>v_41_XCaCO3</vt:lpstr>
      <vt:lpstr>v_41_XCASTO</vt:lpstr>
      <vt:lpstr>v_41_XE</vt:lpstr>
      <vt:lpstr>v_41_XE_ana</vt:lpstr>
      <vt:lpstr>v_41_XHAO_H</vt:lpstr>
      <vt:lpstr>v_41_XHAO_H_P</vt:lpstr>
      <vt:lpstr>v_41_XHAO_H_P_old</vt:lpstr>
      <vt:lpstr>v_41_XHAO_L</vt:lpstr>
      <vt:lpstr>v_41_XHAO_L_P</vt:lpstr>
      <vt:lpstr>v_41_XHAO_L_P_old</vt:lpstr>
      <vt:lpstr>v_41_XHAO_old</vt:lpstr>
      <vt:lpstr>v_41_XHFO_H</vt:lpstr>
      <vt:lpstr>v_41_XHFO_H_P</vt:lpstr>
      <vt:lpstr>v_41_XHFO_H_P_old</vt:lpstr>
      <vt:lpstr>v_41_XHFO_L</vt:lpstr>
      <vt:lpstr>v_41_XHFO_L_P</vt:lpstr>
      <vt:lpstr>v_41_XHFO_L_P_old</vt:lpstr>
      <vt:lpstr>v_41_XHFO_old</vt:lpstr>
      <vt:lpstr>v_41_XHMETO</vt:lpstr>
      <vt:lpstr>v_41_XINORG</vt:lpstr>
      <vt:lpstr>v_41_XMEOLO</vt:lpstr>
      <vt:lpstr>v_41_XN_B</vt:lpstr>
      <vt:lpstr>v_41_XN_Be</vt:lpstr>
      <vt:lpstr>v_41_XN_U</vt:lpstr>
      <vt:lpstr>v_41_XNOB</vt:lpstr>
      <vt:lpstr>v_41_XOHO</vt:lpstr>
      <vt:lpstr>v_41_XP_B</vt:lpstr>
      <vt:lpstr>v_41_XP_Be</vt:lpstr>
      <vt:lpstr>v_41_XP_U</vt:lpstr>
      <vt:lpstr>v_41_XPFOA</vt:lpstr>
      <vt:lpstr>v_41_XPFOS</vt:lpstr>
      <vt:lpstr>v_41_XPHA_GAO</vt:lpstr>
      <vt:lpstr>v_41_XPHA_PAO</vt:lpstr>
      <vt:lpstr>v_41_XPP</vt:lpstr>
      <vt:lpstr>v_41_XSTO</vt:lpstr>
      <vt:lpstr>v_41_XSTR</vt:lpstr>
      <vt:lpstr>v_41_XU</vt:lpstr>
      <vt:lpstr>v_41_XVivi</vt:lpstr>
      <vt:lpstr>v_42_CB</vt:lpstr>
      <vt:lpstr>v_42_CU</vt:lpstr>
      <vt:lpstr>v_42_GCH4</vt:lpstr>
      <vt:lpstr>v_42_GCH4_atm</vt:lpstr>
      <vt:lpstr>v_42_GCO2</vt:lpstr>
      <vt:lpstr>v_42_GCO2_atm</vt:lpstr>
      <vt:lpstr>v_42_GH2</vt:lpstr>
      <vt:lpstr>v_42_GH2_atm</vt:lpstr>
      <vt:lpstr>v_42_GN2</vt:lpstr>
      <vt:lpstr>v_42_GN2_atm</vt:lpstr>
      <vt:lpstr>v_42_GNH3</vt:lpstr>
      <vt:lpstr>v_42_GNH3_atm</vt:lpstr>
      <vt:lpstr>v_42_GO2</vt:lpstr>
      <vt:lpstr>v_42_GO2_atm</vt:lpstr>
      <vt:lpstr>v_42_SALPHA</vt:lpstr>
      <vt:lpstr>v_42_SAN</vt:lpstr>
      <vt:lpstr>v_42_SB_mono</vt:lpstr>
      <vt:lpstr>v_42_SB_poly</vt:lpstr>
      <vt:lpstr>v_42_SCa</vt:lpstr>
      <vt:lpstr>v_42_SCAT</vt:lpstr>
      <vt:lpstr>v_42_SCH4</vt:lpstr>
      <vt:lpstr>v_42_SCO2</vt:lpstr>
      <vt:lpstr>v_42_SFe2</vt:lpstr>
      <vt:lpstr>v_42_SH</vt:lpstr>
      <vt:lpstr>v_42_SH2</vt:lpstr>
      <vt:lpstr>v_42_SK</vt:lpstr>
      <vt:lpstr>v_42_SMEOL</vt:lpstr>
      <vt:lpstr>v_42_SMg</vt:lpstr>
      <vt:lpstr>v_42_SN_B</vt:lpstr>
      <vt:lpstr>v_42_SN2</vt:lpstr>
      <vt:lpstr>v_42_SNHx</vt:lpstr>
      <vt:lpstr>v_42_SNO2</vt:lpstr>
      <vt:lpstr>v_42_SNO3</vt:lpstr>
      <vt:lpstr>v_42_SO2</vt:lpstr>
      <vt:lpstr>v_42_SORPswitch</vt:lpstr>
      <vt:lpstr>v_42_SP_B</vt:lpstr>
      <vt:lpstr>v_42_SPFOA</vt:lpstr>
      <vt:lpstr>v_42_SPFOS</vt:lpstr>
      <vt:lpstr>v_42_SPO4</vt:lpstr>
      <vt:lpstr>v_42_SU</vt:lpstr>
      <vt:lpstr>v_42_SVFA</vt:lpstr>
      <vt:lpstr>v_42_XACP</vt:lpstr>
      <vt:lpstr>v_42_XAHO</vt:lpstr>
      <vt:lpstr>v_42_XALGAE</vt:lpstr>
      <vt:lpstr>v_42_XAMETO</vt:lpstr>
      <vt:lpstr>v_42_XAMX</vt:lpstr>
      <vt:lpstr>v_42_XAOB</vt:lpstr>
      <vt:lpstr>v_42_XB</vt:lpstr>
      <vt:lpstr>v_42_XB_e</vt:lpstr>
      <vt:lpstr>v_42_XBSH</vt:lpstr>
      <vt:lpstr>v_42_XCaCO3</vt:lpstr>
      <vt:lpstr>v_42_XCASTO</vt:lpstr>
      <vt:lpstr>v_42_XE</vt:lpstr>
      <vt:lpstr>v_42_XE_ana</vt:lpstr>
      <vt:lpstr>v_42_XHAO_H</vt:lpstr>
      <vt:lpstr>v_42_XHAO_H_P</vt:lpstr>
      <vt:lpstr>v_42_XHAO_H_P_old</vt:lpstr>
      <vt:lpstr>v_42_XHAO_L</vt:lpstr>
      <vt:lpstr>v_42_XHAO_L_P</vt:lpstr>
      <vt:lpstr>v_42_XHAO_L_P_old</vt:lpstr>
      <vt:lpstr>v_42_XHAO_old</vt:lpstr>
      <vt:lpstr>v_42_XHFO_H</vt:lpstr>
      <vt:lpstr>v_42_XHFO_H_P</vt:lpstr>
      <vt:lpstr>v_42_XHFO_H_P_old</vt:lpstr>
      <vt:lpstr>v_42_XHFO_L</vt:lpstr>
      <vt:lpstr>v_42_XHFO_L_P</vt:lpstr>
      <vt:lpstr>v_42_XHFO_L_P_old</vt:lpstr>
      <vt:lpstr>v_42_XHFO_old</vt:lpstr>
      <vt:lpstr>v_42_XHMETO</vt:lpstr>
      <vt:lpstr>v_42_XINORG</vt:lpstr>
      <vt:lpstr>v_42_XMEOLO</vt:lpstr>
      <vt:lpstr>v_42_XN_B</vt:lpstr>
      <vt:lpstr>v_42_XN_Be</vt:lpstr>
      <vt:lpstr>v_42_XN_U</vt:lpstr>
      <vt:lpstr>v_42_XNOB</vt:lpstr>
      <vt:lpstr>v_42_XOHO</vt:lpstr>
      <vt:lpstr>v_42_XP_B</vt:lpstr>
      <vt:lpstr>v_42_XP_Be</vt:lpstr>
      <vt:lpstr>v_42_XP_U</vt:lpstr>
      <vt:lpstr>v_42_XPFOA</vt:lpstr>
      <vt:lpstr>v_42_XPFOS</vt:lpstr>
      <vt:lpstr>v_42_XPHA_GAO</vt:lpstr>
      <vt:lpstr>v_42_XPHA_PAO</vt:lpstr>
      <vt:lpstr>v_42_XPP</vt:lpstr>
      <vt:lpstr>v_42_XSTO</vt:lpstr>
      <vt:lpstr>v_42_XSTR</vt:lpstr>
      <vt:lpstr>v_42_XU</vt:lpstr>
      <vt:lpstr>v_42_XVivi</vt:lpstr>
      <vt:lpstr>v_43_CB</vt:lpstr>
      <vt:lpstr>v_43_CU</vt:lpstr>
      <vt:lpstr>v_43_GCH4</vt:lpstr>
      <vt:lpstr>v_43_GCH4_atm</vt:lpstr>
      <vt:lpstr>v_43_GCO2</vt:lpstr>
      <vt:lpstr>v_43_GCO2_atm</vt:lpstr>
      <vt:lpstr>v_43_GH2</vt:lpstr>
      <vt:lpstr>v_43_GH2_atm</vt:lpstr>
      <vt:lpstr>v_43_GN2</vt:lpstr>
      <vt:lpstr>v_43_GN2_atm</vt:lpstr>
      <vt:lpstr>v_43_GNH3</vt:lpstr>
      <vt:lpstr>v_43_GNH3_atm</vt:lpstr>
      <vt:lpstr>v_43_GO2</vt:lpstr>
      <vt:lpstr>v_43_GO2_atm</vt:lpstr>
      <vt:lpstr>v_43_SALPHA</vt:lpstr>
      <vt:lpstr>v_43_SAN</vt:lpstr>
      <vt:lpstr>v_43_SB_mono</vt:lpstr>
      <vt:lpstr>v_43_SB_poly</vt:lpstr>
      <vt:lpstr>v_43_SCa</vt:lpstr>
      <vt:lpstr>v_43_SCAT</vt:lpstr>
      <vt:lpstr>v_43_SCH4</vt:lpstr>
      <vt:lpstr>v_43_SCO2</vt:lpstr>
      <vt:lpstr>v_43_SFe2</vt:lpstr>
      <vt:lpstr>v_43_SH</vt:lpstr>
      <vt:lpstr>v_43_SH2</vt:lpstr>
      <vt:lpstr>v_43_SK</vt:lpstr>
      <vt:lpstr>v_43_SMEOL</vt:lpstr>
      <vt:lpstr>v_43_SMg</vt:lpstr>
      <vt:lpstr>v_43_SN_B</vt:lpstr>
      <vt:lpstr>v_43_SN2</vt:lpstr>
      <vt:lpstr>v_43_SNHx</vt:lpstr>
      <vt:lpstr>v_43_SNO2</vt:lpstr>
      <vt:lpstr>v_43_SNO3</vt:lpstr>
      <vt:lpstr>v_43_SO2</vt:lpstr>
      <vt:lpstr>v_43_SORPswitch</vt:lpstr>
      <vt:lpstr>v_43_SP_B</vt:lpstr>
      <vt:lpstr>v_43_SPFOA</vt:lpstr>
      <vt:lpstr>v_43_SPFOS</vt:lpstr>
      <vt:lpstr>v_43_SPO4</vt:lpstr>
      <vt:lpstr>v_43_SU</vt:lpstr>
      <vt:lpstr>v_43_SVFA</vt:lpstr>
      <vt:lpstr>v_43_XACP</vt:lpstr>
      <vt:lpstr>v_43_XAHO</vt:lpstr>
      <vt:lpstr>v_43_XALGAE</vt:lpstr>
      <vt:lpstr>v_43_XAMETO</vt:lpstr>
      <vt:lpstr>v_43_XAMX</vt:lpstr>
      <vt:lpstr>v_43_XAOB</vt:lpstr>
      <vt:lpstr>v_43_XB</vt:lpstr>
      <vt:lpstr>v_43_XB_e</vt:lpstr>
      <vt:lpstr>v_43_XBSH</vt:lpstr>
      <vt:lpstr>v_43_XCaCO3</vt:lpstr>
      <vt:lpstr>v_43_XCASTO</vt:lpstr>
      <vt:lpstr>v_43_XE</vt:lpstr>
      <vt:lpstr>v_43_XE_ana</vt:lpstr>
      <vt:lpstr>v_43_XHAO_H</vt:lpstr>
      <vt:lpstr>v_43_XHAO_H_P</vt:lpstr>
      <vt:lpstr>v_43_XHAO_H_P_old</vt:lpstr>
      <vt:lpstr>v_43_XHAO_L</vt:lpstr>
      <vt:lpstr>v_43_XHAO_L_P</vt:lpstr>
      <vt:lpstr>v_43_XHAO_L_P_old</vt:lpstr>
      <vt:lpstr>v_43_XHAO_old</vt:lpstr>
      <vt:lpstr>v_43_XHFO_H</vt:lpstr>
      <vt:lpstr>v_43_XHFO_H_P</vt:lpstr>
      <vt:lpstr>v_43_XHFO_H_P_old</vt:lpstr>
      <vt:lpstr>v_43_XHFO_L</vt:lpstr>
      <vt:lpstr>v_43_XHFO_L_P</vt:lpstr>
      <vt:lpstr>v_43_XHFO_L_P_old</vt:lpstr>
      <vt:lpstr>v_43_XHFO_old</vt:lpstr>
      <vt:lpstr>v_43_XHMETO</vt:lpstr>
      <vt:lpstr>v_43_XINORG</vt:lpstr>
      <vt:lpstr>v_43_XMEOLO</vt:lpstr>
      <vt:lpstr>v_43_XN_B</vt:lpstr>
      <vt:lpstr>v_43_XN_Be</vt:lpstr>
      <vt:lpstr>v_43_XN_U</vt:lpstr>
      <vt:lpstr>v_43_XNOB</vt:lpstr>
      <vt:lpstr>v_43_XOHO</vt:lpstr>
      <vt:lpstr>v_43_XP_B</vt:lpstr>
      <vt:lpstr>v_43_XP_Be</vt:lpstr>
      <vt:lpstr>v_43_XP_U</vt:lpstr>
      <vt:lpstr>v_43_XPFOA</vt:lpstr>
      <vt:lpstr>v_43_XPFOS</vt:lpstr>
      <vt:lpstr>v_43_XPHA_GAO</vt:lpstr>
      <vt:lpstr>v_43_XPHA_PAO</vt:lpstr>
      <vt:lpstr>v_43_XPP</vt:lpstr>
      <vt:lpstr>v_43_XSTO</vt:lpstr>
      <vt:lpstr>v_43_XSTR</vt:lpstr>
      <vt:lpstr>v_43_XU</vt:lpstr>
      <vt:lpstr>v_43_XVivi</vt:lpstr>
      <vt:lpstr>v_44_CB</vt:lpstr>
      <vt:lpstr>v_44_CU</vt:lpstr>
      <vt:lpstr>v_44_GCH4</vt:lpstr>
      <vt:lpstr>v_44_GCH4_atm</vt:lpstr>
      <vt:lpstr>v_44_GCO2</vt:lpstr>
      <vt:lpstr>v_44_GCO2_atm</vt:lpstr>
      <vt:lpstr>v_44_GH2</vt:lpstr>
      <vt:lpstr>v_44_GH2_atm</vt:lpstr>
      <vt:lpstr>v_44_GN2</vt:lpstr>
      <vt:lpstr>v_44_GN2_atm</vt:lpstr>
      <vt:lpstr>v_44_GNH3</vt:lpstr>
      <vt:lpstr>v_44_GNH3_atm</vt:lpstr>
      <vt:lpstr>v_44_GO2</vt:lpstr>
      <vt:lpstr>v_44_GO2_atm</vt:lpstr>
      <vt:lpstr>v_44_SALPHA</vt:lpstr>
      <vt:lpstr>v_44_SAN</vt:lpstr>
      <vt:lpstr>v_44_SB_mono</vt:lpstr>
      <vt:lpstr>v_44_SB_poly</vt:lpstr>
      <vt:lpstr>v_44_SCa</vt:lpstr>
      <vt:lpstr>v_44_SCAT</vt:lpstr>
      <vt:lpstr>v_44_SCH4</vt:lpstr>
      <vt:lpstr>v_44_SCO2</vt:lpstr>
      <vt:lpstr>v_44_SFe2</vt:lpstr>
      <vt:lpstr>v_44_SH</vt:lpstr>
      <vt:lpstr>v_44_SH2</vt:lpstr>
      <vt:lpstr>v_44_SK</vt:lpstr>
      <vt:lpstr>v_44_SMEOL</vt:lpstr>
      <vt:lpstr>v_44_SMg</vt:lpstr>
      <vt:lpstr>v_44_SN_B</vt:lpstr>
      <vt:lpstr>v_44_SN2</vt:lpstr>
      <vt:lpstr>v_44_SNHx</vt:lpstr>
      <vt:lpstr>v_44_SNO2</vt:lpstr>
      <vt:lpstr>v_44_SNO3</vt:lpstr>
      <vt:lpstr>v_44_SO2</vt:lpstr>
      <vt:lpstr>v_44_SORPswitch</vt:lpstr>
      <vt:lpstr>v_44_SP_B</vt:lpstr>
      <vt:lpstr>v_44_SPFOA</vt:lpstr>
      <vt:lpstr>v_44_SPFOS</vt:lpstr>
      <vt:lpstr>v_44_SPO4</vt:lpstr>
      <vt:lpstr>v_44_SU</vt:lpstr>
      <vt:lpstr>v_44_SVFA</vt:lpstr>
      <vt:lpstr>v_44_XACP</vt:lpstr>
      <vt:lpstr>v_44_XAHO</vt:lpstr>
      <vt:lpstr>v_44_XALGAE</vt:lpstr>
      <vt:lpstr>v_44_XAMETO</vt:lpstr>
      <vt:lpstr>v_44_XAMX</vt:lpstr>
      <vt:lpstr>v_44_XAOB</vt:lpstr>
      <vt:lpstr>v_44_XB</vt:lpstr>
      <vt:lpstr>v_44_XB_e</vt:lpstr>
      <vt:lpstr>v_44_XBSH</vt:lpstr>
      <vt:lpstr>v_44_XCaCO3</vt:lpstr>
      <vt:lpstr>v_44_XCASTO</vt:lpstr>
      <vt:lpstr>v_44_XE</vt:lpstr>
      <vt:lpstr>v_44_XE_ana</vt:lpstr>
      <vt:lpstr>v_44_XHAO_H</vt:lpstr>
      <vt:lpstr>v_44_XHAO_H_P</vt:lpstr>
      <vt:lpstr>v_44_XHAO_H_P_old</vt:lpstr>
      <vt:lpstr>v_44_XHAO_L</vt:lpstr>
      <vt:lpstr>v_44_XHAO_L_P</vt:lpstr>
      <vt:lpstr>v_44_XHAO_L_P_old</vt:lpstr>
      <vt:lpstr>v_44_XHAO_old</vt:lpstr>
      <vt:lpstr>v_44_XHFO_H</vt:lpstr>
      <vt:lpstr>v_44_XHFO_H_P</vt:lpstr>
      <vt:lpstr>v_44_XHFO_H_P_old</vt:lpstr>
      <vt:lpstr>v_44_XHFO_L</vt:lpstr>
      <vt:lpstr>v_44_XHFO_L_P</vt:lpstr>
      <vt:lpstr>v_44_XHFO_L_P_old</vt:lpstr>
      <vt:lpstr>v_44_XHFO_old</vt:lpstr>
      <vt:lpstr>v_44_XHMETO</vt:lpstr>
      <vt:lpstr>v_44_XINORG</vt:lpstr>
      <vt:lpstr>v_44_XMEOLO</vt:lpstr>
      <vt:lpstr>v_44_XN_B</vt:lpstr>
      <vt:lpstr>v_44_XN_Be</vt:lpstr>
      <vt:lpstr>v_44_XN_U</vt:lpstr>
      <vt:lpstr>v_44_XNOB</vt:lpstr>
      <vt:lpstr>v_44_XOHO</vt:lpstr>
      <vt:lpstr>v_44_XP_B</vt:lpstr>
      <vt:lpstr>v_44_XP_Be</vt:lpstr>
      <vt:lpstr>v_44_XP_U</vt:lpstr>
      <vt:lpstr>v_44_XPFOA</vt:lpstr>
      <vt:lpstr>v_44_XPFOS</vt:lpstr>
      <vt:lpstr>v_44_XPHA_GAO</vt:lpstr>
      <vt:lpstr>v_44_XPHA_PAO</vt:lpstr>
      <vt:lpstr>v_44_XPP</vt:lpstr>
      <vt:lpstr>v_44_XSTO</vt:lpstr>
      <vt:lpstr>v_44_XSTR</vt:lpstr>
      <vt:lpstr>v_44_XU</vt:lpstr>
      <vt:lpstr>v_44_XVivi</vt:lpstr>
      <vt:lpstr>v_45_CB</vt:lpstr>
      <vt:lpstr>v_45_CU</vt:lpstr>
      <vt:lpstr>v_45_GCH4</vt:lpstr>
      <vt:lpstr>v_45_GCH4_atm</vt:lpstr>
      <vt:lpstr>v_45_GCO2</vt:lpstr>
      <vt:lpstr>v_45_GCO2_atm</vt:lpstr>
      <vt:lpstr>v_45_GH2</vt:lpstr>
      <vt:lpstr>v_45_GH2_atm</vt:lpstr>
      <vt:lpstr>v_45_GN2</vt:lpstr>
      <vt:lpstr>v_45_GN2_atm</vt:lpstr>
      <vt:lpstr>v_45_GNH3</vt:lpstr>
      <vt:lpstr>v_45_GNH3_atm</vt:lpstr>
      <vt:lpstr>v_45_GO2</vt:lpstr>
      <vt:lpstr>v_45_GO2_atm</vt:lpstr>
      <vt:lpstr>v_45_SALPHA</vt:lpstr>
      <vt:lpstr>v_45_SAN</vt:lpstr>
      <vt:lpstr>v_45_SB_mono</vt:lpstr>
      <vt:lpstr>v_45_SB_poly</vt:lpstr>
      <vt:lpstr>v_45_SCa</vt:lpstr>
      <vt:lpstr>v_45_SCAT</vt:lpstr>
      <vt:lpstr>v_45_SCH4</vt:lpstr>
      <vt:lpstr>v_45_SCO2</vt:lpstr>
      <vt:lpstr>v_45_SFe2</vt:lpstr>
      <vt:lpstr>v_45_SH</vt:lpstr>
      <vt:lpstr>v_45_SH2</vt:lpstr>
      <vt:lpstr>v_45_SK</vt:lpstr>
      <vt:lpstr>v_45_SMEOL</vt:lpstr>
      <vt:lpstr>v_45_SMg</vt:lpstr>
      <vt:lpstr>v_45_SN_B</vt:lpstr>
      <vt:lpstr>v_45_SN2</vt:lpstr>
      <vt:lpstr>v_45_SNHx</vt:lpstr>
      <vt:lpstr>v_45_SNO2</vt:lpstr>
      <vt:lpstr>v_45_SNO3</vt:lpstr>
      <vt:lpstr>v_45_SO2</vt:lpstr>
      <vt:lpstr>v_45_SORPswitch</vt:lpstr>
      <vt:lpstr>v_45_SP_B</vt:lpstr>
      <vt:lpstr>v_45_SPFOA</vt:lpstr>
      <vt:lpstr>v_45_SPFOS</vt:lpstr>
      <vt:lpstr>v_45_SPO4</vt:lpstr>
      <vt:lpstr>v_45_SU</vt:lpstr>
      <vt:lpstr>v_45_SVFA</vt:lpstr>
      <vt:lpstr>v_45_XACP</vt:lpstr>
      <vt:lpstr>v_45_XAHO</vt:lpstr>
      <vt:lpstr>v_45_XALGAE</vt:lpstr>
      <vt:lpstr>v_45_XAMETO</vt:lpstr>
      <vt:lpstr>v_45_XAMX</vt:lpstr>
      <vt:lpstr>v_45_XAOB</vt:lpstr>
      <vt:lpstr>v_45_XB</vt:lpstr>
      <vt:lpstr>v_45_XB_e</vt:lpstr>
      <vt:lpstr>v_45_XBSH</vt:lpstr>
      <vt:lpstr>v_45_XCaCO3</vt:lpstr>
      <vt:lpstr>v_45_XCASTO</vt:lpstr>
      <vt:lpstr>v_45_XE</vt:lpstr>
      <vt:lpstr>v_45_XE_ana</vt:lpstr>
      <vt:lpstr>v_45_XHAO_H</vt:lpstr>
      <vt:lpstr>v_45_XHAO_H_P</vt:lpstr>
      <vt:lpstr>v_45_XHAO_H_P_old</vt:lpstr>
      <vt:lpstr>v_45_XHAO_L</vt:lpstr>
      <vt:lpstr>v_45_XHAO_L_P</vt:lpstr>
      <vt:lpstr>v_45_XHAO_L_P_old</vt:lpstr>
      <vt:lpstr>v_45_XHAO_old</vt:lpstr>
      <vt:lpstr>v_45_XHFO_H</vt:lpstr>
      <vt:lpstr>v_45_XHFO_H_P</vt:lpstr>
      <vt:lpstr>v_45_XHFO_H_P_old</vt:lpstr>
      <vt:lpstr>v_45_XHFO_L</vt:lpstr>
      <vt:lpstr>v_45_XHFO_L_P</vt:lpstr>
      <vt:lpstr>v_45_XHFO_L_P_old</vt:lpstr>
      <vt:lpstr>v_45_XHFO_old</vt:lpstr>
      <vt:lpstr>v_45_XHMETO</vt:lpstr>
      <vt:lpstr>v_45_XINORG</vt:lpstr>
      <vt:lpstr>v_45_XMEOLO</vt:lpstr>
      <vt:lpstr>v_45_XN_B</vt:lpstr>
      <vt:lpstr>v_45_XN_Be</vt:lpstr>
      <vt:lpstr>v_45_XN_U</vt:lpstr>
      <vt:lpstr>v_45_XNOB</vt:lpstr>
      <vt:lpstr>v_45_XOHO</vt:lpstr>
      <vt:lpstr>v_45_XP_B</vt:lpstr>
      <vt:lpstr>v_45_XP_Be</vt:lpstr>
      <vt:lpstr>v_45_XP_U</vt:lpstr>
      <vt:lpstr>v_45_XPFOA</vt:lpstr>
      <vt:lpstr>v_45_XPFOS</vt:lpstr>
      <vt:lpstr>v_45_XPHA_GAO</vt:lpstr>
      <vt:lpstr>v_45_XPHA_PAO</vt:lpstr>
      <vt:lpstr>v_45_XPP</vt:lpstr>
      <vt:lpstr>v_45_XSTO</vt:lpstr>
      <vt:lpstr>v_45_XSTR</vt:lpstr>
      <vt:lpstr>v_45_XU</vt:lpstr>
      <vt:lpstr>v_45_XVivi</vt:lpstr>
      <vt:lpstr>v_46_CB</vt:lpstr>
      <vt:lpstr>v_46_CU</vt:lpstr>
      <vt:lpstr>v_46_GCH4</vt:lpstr>
      <vt:lpstr>v_46_GCH4_atm</vt:lpstr>
      <vt:lpstr>v_46_GCO2</vt:lpstr>
      <vt:lpstr>v_46_GCO2_atm</vt:lpstr>
      <vt:lpstr>v_46_GH2</vt:lpstr>
      <vt:lpstr>v_46_GH2_atm</vt:lpstr>
      <vt:lpstr>v_46_GN2</vt:lpstr>
      <vt:lpstr>v_46_GN2_atm</vt:lpstr>
      <vt:lpstr>v_46_GNH3</vt:lpstr>
      <vt:lpstr>v_46_GNH3_atm</vt:lpstr>
      <vt:lpstr>v_46_GO2</vt:lpstr>
      <vt:lpstr>v_46_GO2_atm</vt:lpstr>
      <vt:lpstr>v_46_SALPHA</vt:lpstr>
      <vt:lpstr>v_46_SAN</vt:lpstr>
      <vt:lpstr>v_46_SB_mono</vt:lpstr>
      <vt:lpstr>v_46_SB_poly</vt:lpstr>
      <vt:lpstr>v_46_SCa</vt:lpstr>
      <vt:lpstr>v_46_SCAT</vt:lpstr>
      <vt:lpstr>v_46_SCH4</vt:lpstr>
      <vt:lpstr>v_46_SCO2</vt:lpstr>
      <vt:lpstr>v_46_SFe2</vt:lpstr>
      <vt:lpstr>v_46_SH</vt:lpstr>
      <vt:lpstr>v_46_SH2</vt:lpstr>
      <vt:lpstr>v_46_SK</vt:lpstr>
      <vt:lpstr>v_46_SMEOL</vt:lpstr>
      <vt:lpstr>v_46_SMg</vt:lpstr>
      <vt:lpstr>v_46_SN_B</vt:lpstr>
      <vt:lpstr>v_46_SN2</vt:lpstr>
      <vt:lpstr>v_46_SNHx</vt:lpstr>
      <vt:lpstr>v_46_SNO2</vt:lpstr>
      <vt:lpstr>v_46_SNO3</vt:lpstr>
      <vt:lpstr>v_46_SO2</vt:lpstr>
      <vt:lpstr>v_46_SORPswitch</vt:lpstr>
      <vt:lpstr>v_46_SP_B</vt:lpstr>
      <vt:lpstr>v_46_SPFOA</vt:lpstr>
      <vt:lpstr>v_46_SPFOS</vt:lpstr>
      <vt:lpstr>v_46_SPO4</vt:lpstr>
      <vt:lpstr>v_46_SU</vt:lpstr>
      <vt:lpstr>v_46_SVFA</vt:lpstr>
      <vt:lpstr>v_46_XACP</vt:lpstr>
      <vt:lpstr>v_46_XAHO</vt:lpstr>
      <vt:lpstr>v_46_XALGAE</vt:lpstr>
      <vt:lpstr>v_46_XAMETO</vt:lpstr>
      <vt:lpstr>v_46_XAMX</vt:lpstr>
      <vt:lpstr>v_46_XAOB</vt:lpstr>
      <vt:lpstr>v_46_XB</vt:lpstr>
      <vt:lpstr>v_46_XB_e</vt:lpstr>
      <vt:lpstr>v_46_XBSH</vt:lpstr>
      <vt:lpstr>v_46_XCaCO3</vt:lpstr>
      <vt:lpstr>v_46_XCASTO</vt:lpstr>
      <vt:lpstr>v_46_XE</vt:lpstr>
      <vt:lpstr>v_46_XE_ana</vt:lpstr>
      <vt:lpstr>v_46_XHAO_H</vt:lpstr>
      <vt:lpstr>v_46_XHAO_H_P</vt:lpstr>
      <vt:lpstr>v_46_XHAO_H_P_old</vt:lpstr>
      <vt:lpstr>v_46_XHAO_L</vt:lpstr>
      <vt:lpstr>v_46_XHAO_L_P</vt:lpstr>
      <vt:lpstr>v_46_XHAO_L_P_old</vt:lpstr>
      <vt:lpstr>v_46_XHAO_old</vt:lpstr>
      <vt:lpstr>v_46_XHFO_H</vt:lpstr>
      <vt:lpstr>v_46_XHFO_H_P</vt:lpstr>
      <vt:lpstr>v_46_XHFO_H_P_old</vt:lpstr>
      <vt:lpstr>v_46_XHFO_L</vt:lpstr>
      <vt:lpstr>v_46_XHFO_L_P</vt:lpstr>
      <vt:lpstr>v_46_XHFO_L_P_old</vt:lpstr>
      <vt:lpstr>v_46_XHFO_old</vt:lpstr>
      <vt:lpstr>v_46_XHMETO</vt:lpstr>
      <vt:lpstr>v_46_XINORG</vt:lpstr>
      <vt:lpstr>v_46_XMEOLO</vt:lpstr>
      <vt:lpstr>v_46_XN_B</vt:lpstr>
      <vt:lpstr>v_46_XN_Be</vt:lpstr>
      <vt:lpstr>v_46_XN_U</vt:lpstr>
      <vt:lpstr>v_46_XNOB</vt:lpstr>
      <vt:lpstr>v_46_XOHO</vt:lpstr>
      <vt:lpstr>v_46_XP_B</vt:lpstr>
      <vt:lpstr>v_46_XP_Be</vt:lpstr>
      <vt:lpstr>v_46_XP_U</vt:lpstr>
      <vt:lpstr>v_46_XPFOA</vt:lpstr>
      <vt:lpstr>v_46_XPFOS</vt:lpstr>
      <vt:lpstr>v_46_XPHA_GAO</vt:lpstr>
      <vt:lpstr>v_46_XPHA_PAO</vt:lpstr>
      <vt:lpstr>v_46_XPP</vt:lpstr>
      <vt:lpstr>v_46_XSTO</vt:lpstr>
      <vt:lpstr>v_46_XSTR</vt:lpstr>
      <vt:lpstr>v_46_XU</vt:lpstr>
      <vt:lpstr>v_46_XVivi</vt:lpstr>
      <vt:lpstr>v_47_CB</vt:lpstr>
      <vt:lpstr>v_47_CU</vt:lpstr>
      <vt:lpstr>v_47_GCH4</vt:lpstr>
      <vt:lpstr>v_47_GCH4_atm</vt:lpstr>
      <vt:lpstr>v_47_GCO2</vt:lpstr>
      <vt:lpstr>v_47_GCO2_atm</vt:lpstr>
      <vt:lpstr>v_47_GH2</vt:lpstr>
      <vt:lpstr>v_47_GH2_atm</vt:lpstr>
      <vt:lpstr>v_47_GN2</vt:lpstr>
      <vt:lpstr>v_47_GN2_atm</vt:lpstr>
      <vt:lpstr>v_47_GNH3</vt:lpstr>
      <vt:lpstr>v_47_GNH3_atm</vt:lpstr>
      <vt:lpstr>v_47_GO2</vt:lpstr>
      <vt:lpstr>v_47_GO2_atm</vt:lpstr>
      <vt:lpstr>v_47_SALPHA</vt:lpstr>
      <vt:lpstr>v_47_SAN</vt:lpstr>
      <vt:lpstr>v_47_SB_mono</vt:lpstr>
      <vt:lpstr>v_47_SB_poly</vt:lpstr>
      <vt:lpstr>v_47_SCa</vt:lpstr>
      <vt:lpstr>v_47_SCAT</vt:lpstr>
      <vt:lpstr>v_47_SCH4</vt:lpstr>
      <vt:lpstr>v_47_SCO2</vt:lpstr>
      <vt:lpstr>v_47_SFe2</vt:lpstr>
      <vt:lpstr>v_47_SH</vt:lpstr>
      <vt:lpstr>v_47_SH2</vt:lpstr>
      <vt:lpstr>v_47_SK</vt:lpstr>
      <vt:lpstr>v_47_SMEOL</vt:lpstr>
      <vt:lpstr>v_47_SMg</vt:lpstr>
      <vt:lpstr>v_47_SN_B</vt:lpstr>
      <vt:lpstr>v_47_SN2</vt:lpstr>
      <vt:lpstr>v_47_SNHx</vt:lpstr>
      <vt:lpstr>v_47_SNO2</vt:lpstr>
      <vt:lpstr>v_47_SNO3</vt:lpstr>
      <vt:lpstr>v_47_SO2</vt:lpstr>
      <vt:lpstr>v_47_SORPswitch</vt:lpstr>
      <vt:lpstr>v_47_SP_B</vt:lpstr>
      <vt:lpstr>v_47_SPFOA</vt:lpstr>
      <vt:lpstr>v_47_SPFOS</vt:lpstr>
      <vt:lpstr>v_47_SPO4</vt:lpstr>
      <vt:lpstr>v_47_SU</vt:lpstr>
      <vt:lpstr>v_47_SVFA</vt:lpstr>
      <vt:lpstr>v_47_XACP</vt:lpstr>
      <vt:lpstr>v_47_XAHO</vt:lpstr>
      <vt:lpstr>v_47_XALGAE</vt:lpstr>
      <vt:lpstr>v_47_XAMETO</vt:lpstr>
      <vt:lpstr>v_47_XAMX</vt:lpstr>
      <vt:lpstr>v_47_XAOB</vt:lpstr>
      <vt:lpstr>v_47_XB</vt:lpstr>
      <vt:lpstr>v_47_XB_e</vt:lpstr>
      <vt:lpstr>v_47_XBSH</vt:lpstr>
      <vt:lpstr>v_47_XCaCO3</vt:lpstr>
      <vt:lpstr>v_47_XCASTO</vt:lpstr>
      <vt:lpstr>v_47_XE</vt:lpstr>
      <vt:lpstr>v_47_XE_ana</vt:lpstr>
      <vt:lpstr>v_47_XHAO_H</vt:lpstr>
      <vt:lpstr>v_47_XHAO_H_P</vt:lpstr>
      <vt:lpstr>v_47_XHAO_H_P_old</vt:lpstr>
      <vt:lpstr>v_47_XHAO_L</vt:lpstr>
      <vt:lpstr>v_47_XHAO_L_P</vt:lpstr>
      <vt:lpstr>v_47_XHAO_L_P_old</vt:lpstr>
      <vt:lpstr>v_47_XHAO_old</vt:lpstr>
      <vt:lpstr>v_47_XHFO_H</vt:lpstr>
      <vt:lpstr>v_47_XHFO_H_P</vt:lpstr>
      <vt:lpstr>v_47_XHFO_H_P_old</vt:lpstr>
      <vt:lpstr>v_47_XHFO_L</vt:lpstr>
      <vt:lpstr>v_47_XHFO_L_P</vt:lpstr>
      <vt:lpstr>v_47_XHFO_L_P_old</vt:lpstr>
      <vt:lpstr>v_47_XHFO_old</vt:lpstr>
      <vt:lpstr>v_47_XHMETO</vt:lpstr>
      <vt:lpstr>v_47_XINORG</vt:lpstr>
      <vt:lpstr>v_47_XMEOLO</vt:lpstr>
      <vt:lpstr>v_47_XN_B</vt:lpstr>
      <vt:lpstr>v_47_XN_Be</vt:lpstr>
      <vt:lpstr>v_47_XN_U</vt:lpstr>
      <vt:lpstr>v_47_XNOB</vt:lpstr>
      <vt:lpstr>v_47_XOHO</vt:lpstr>
      <vt:lpstr>v_47_XP_B</vt:lpstr>
      <vt:lpstr>v_47_XP_Be</vt:lpstr>
      <vt:lpstr>v_47_XP_U</vt:lpstr>
      <vt:lpstr>v_47_XPFOA</vt:lpstr>
      <vt:lpstr>v_47_XPFOS</vt:lpstr>
      <vt:lpstr>v_47_XPHA_GAO</vt:lpstr>
      <vt:lpstr>v_47_XPHA_PAO</vt:lpstr>
      <vt:lpstr>v_47_XPP</vt:lpstr>
      <vt:lpstr>v_47_XSTO</vt:lpstr>
      <vt:lpstr>v_47_XSTR</vt:lpstr>
      <vt:lpstr>v_47_XU</vt:lpstr>
      <vt:lpstr>v_47_XVivi</vt:lpstr>
      <vt:lpstr>v_48_CB</vt:lpstr>
      <vt:lpstr>v_48_CU</vt:lpstr>
      <vt:lpstr>v_48_GCH4</vt:lpstr>
      <vt:lpstr>v_48_GCH4_atm</vt:lpstr>
      <vt:lpstr>v_48_GCO2</vt:lpstr>
      <vt:lpstr>v_48_GCO2_atm</vt:lpstr>
      <vt:lpstr>v_48_GH2</vt:lpstr>
      <vt:lpstr>v_48_GH2_atm</vt:lpstr>
      <vt:lpstr>v_48_GN2</vt:lpstr>
      <vt:lpstr>v_48_GN2_atm</vt:lpstr>
      <vt:lpstr>v_48_GNH3</vt:lpstr>
      <vt:lpstr>v_48_GNH3_atm</vt:lpstr>
      <vt:lpstr>v_48_GO2</vt:lpstr>
      <vt:lpstr>v_48_GO2_atm</vt:lpstr>
      <vt:lpstr>v_48_SALPHA</vt:lpstr>
      <vt:lpstr>v_48_SAN</vt:lpstr>
      <vt:lpstr>v_48_SB_mono</vt:lpstr>
      <vt:lpstr>v_48_SB_poly</vt:lpstr>
      <vt:lpstr>v_48_SCa</vt:lpstr>
      <vt:lpstr>v_48_SCAT</vt:lpstr>
      <vt:lpstr>v_48_SCH4</vt:lpstr>
      <vt:lpstr>v_48_SCO2</vt:lpstr>
      <vt:lpstr>v_48_SFe2</vt:lpstr>
      <vt:lpstr>v_48_SH</vt:lpstr>
      <vt:lpstr>v_48_SH2</vt:lpstr>
      <vt:lpstr>v_48_SK</vt:lpstr>
      <vt:lpstr>v_48_SMEOL</vt:lpstr>
      <vt:lpstr>v_48_SMg</vt:lpstr>
      <vt:lpstr>v_48_SN_B</vt:lpstr>
      <vt:lpstr>v_48_SN2</vt:lpstr>
      <vt:lpstr>v_48_SNHx</vt:lpstr>
      <vt:lpstr>v_48_SNO2</vt:lpstr>
      <vt:lpstr>v_48_SNO3</vt:lpstr>
      <vt:lpstr>v_48_SO2</vt:lpstr>
      <vt:lpstr>v_48_SORPswitch</vt:lpstr>
      <vt:lpstr>v_48_SP_B</vt:lpstr>
      <vt:lpstr>v_48_SPFOA</vt:lpstr>
      <vt:lpstr>v_48_SPFOS</vt:lpstr>
      <vt:lpstr>v_48_SPO4</vt:lpstr>
      <vt:lpstr>v_48_SU</vt:lpstr>
      <vt:lpstr>v_48_SVFA</vt:lpstr>
      <vt:lpstr>v_48_XACP</vt:lpstr>
      <vt:lpstr>v_48_XAHO</vt:lpstr>
      <vt:lpstr>v_48_XALGAE</vt:lpstr>
      <vt:lpstr>v_48_XAMETO</vt:lpstr>
      <vt:lpstr>v_48_XAMX</vt:lpstr>
      <vt:lpstr>v_48_XAOB</vt:lpstr>
      <vt:lpstr>v_48_XB</vt:lpstr>
      <vt:lpstr>v_48_XB_e</vt:lpstr>
      <vt:lpstr>v_48_XBSH</vt:lpstr>
      <vt:lpstr>v_48_XCaCO3</vt:lpstr>
      <vt:lpstr>v_48_XCASTO</vt:lpstr>
      <vt:lpstr>v_48_XE</vt:lpstr>
      <vt:lpstr>v_48_XE_ana</vt:lpstr>
      <vt:lpstr>v_48_XHAO_H</vt:lpstr>
      <vt:lpstr>v_48_XHAO_H_P</vt:lpstr>
      <vt:lpstr>v_48_XHAO_H_P_old</vt:lpstr>
      <vt:lpstr>v_48_XHAO_L</vt:lpstr>
      <vt:lpstr>v_48_XHAO_L_P</vt:lpstr>
      <vt:lpstr>v_48_XHAO_L_P_old</vt:lpstr>
      <vt:lpstr>v_48_XHAO_old</vt:lpstr>
      <vt:lpstr>v_48_XHFO_H</vt:lpstr>
      <vt:lpstr>v_48_XHFO_H_P</vt:lpstr>
      <vt:lpstr>v_48_XHFO_H_P_old</vt:lpstr>
      <vt:lpstr>v_48_XHFO_L</vt:lpstr>
      <vt:lpstr>v_48_XHFO_L_P</vt:lpstr>
      <vt:lpstr>v_48_XHFO_L_P_old</vt:lpstr>
      <vt:lpstr>v_48_XHFO_old</vt:lpstr>
      <vt:lpstr>v_48_XHMETO</vt:lpstr>
      <vt:lpstr>v_48_XINORG</vt:lpstr>
      <vt:lpstr>v_48_XMEOLO</vt:lpstr>
      <vt:lpstr>v_48_XN_B</vt:lpstr>
      <vt:lpstr>v_48_XN_Be</vt:lpstr>
      <vt:lpstr>v_48_XN_U</vt:lpstr>
      <vt:lpstr>v_48_XNOB</vt:lpstr>
      <vt:lpstr>v_48_XOHO</vt:lpstr>
      <vt:lpstr>v_48_XP_B</vt:lpstr>
      <vt:lpstr>v_48_XP_Be</vt:lpstr>
      <vt:lpstr>v_48_XP_U</vt:lpstr>
      <vt:lpstr>v_48_XPFOA</vt:lpstr>
      <vt:lpstr>v_48_XPFOS</vt:lpstr>
      <vt:lpstr>v_48_XPHA_GAO</vt:lpstr>
      <vt:lpstr>v_48_XPHA_PAO</vt:lpstr>
      <vt:lpstr>v_48_XPP</vt:lpstr>
      <vt:lpstr>v_48_XSTO</vt:lpstr>
      <vt:lpstr>v_48_XSTR</vt:lpstr>
      <vt:lpstr>v_48_XU</vt:lpstr>
      <vt:lpstr>v_48_XVivi</vt:lpstr>
      <vt:lpstr>v_49_CB</vt:lpstr>
      <vt:lpstr>v_49_CU</vt:lpstr>
      <vt:lpstr>v_49_GCH4</vt:lpstr>
      <vt:lpstr>v_49_GCH4_atm</vt:lpstr>
      <vt:lpstr>v_49_GCO2</vt:lpstr>
      <vt:lpstr>v_49_GCO2_atm</vt:lpstr>
      <vt:lpstr>v_49_GH2</vt:lpstr>
      <vt:lpstr>v_49_GH2_atm</vt:lpstr>
      <vt:lpstr>v_49_GN2</vt:lpstr>
      <vt:lpstr>v_49_GN2_atm</vt:lpstr>
      <vt:lpstr>v_49_GNH3</vt:lpstr>
      <vt:lpstr>v_49_GNH3_atm</vt:lpstr>
      <vt:lpstr>v_49_GO2</vt:lpstr>
      <vt:lpstr>v_49_GO2_atm</vt:lpstr>
      <vt:lpstr>v_49_SALPHA</vt:lpstr>
      <vt:lpstr>v_49_SAN</vt:lpstr>
      <vt:lpstr>v_49_SB_mono</vt:lpstr>
      <vt:lpstr>v_49_SB_poly</vt:lpstr>
      <vt:lpstr>v_49_SCa</vt:lpstr>
      <vt:lpstr>v_49_SCAT</vt:lpstr>
      <vt:lpstr>v_49_SCH4</vt:lpstr>
      <vt:lpstr>v_49_SCO2</vt:lpstr>
      <vt:lpstr>v_49_SFe2</vt:lpstr>
      <vt:lpstr>v_49_SH</vt:lpstr>
      <vt:lpstr>v_49_SH2</vt:lpstr>
      <vt:lpstr>v_49_SK</vt:lpstr>
      <vt:lpstr>v_49_SMEOL</vt:lpstr>
      <vt:lpstr>v_49_SMg</vt:lpstr>
      <vt:lpstr>v_49_SN_B</vt:lpstr>
      <vt:lpstr>v_49_SN2</vt:lpstr>
      <vt:lpstr>v_49_SNHx</vt:lpstr>
      <vt:lpstr>v_49_SNO2</vt:lpstr>
      <vt:lpstr>v_49_SNO3</vt:lpstr>
      <vt:lpstr>v_49_SO2</vt:lpstr>
      <vt:lpstr>v_49_SORPswitch</vt:lpstr>
      <vt:lpstr>v_49_SP_B</vt:lpstr>
      <vt:lpstr>v_49_SPFOA</vt:lpstr>
      <vt:lpstr>v_49_SPFOS</vt:lpstr>
      <vt:lpstr>v_49_SPO4</vt:lpstr>
      <vt:lpstr>v_49_SU</vt:lpstr>
      <vt:lpstr>v_49_SVFA</vt:lpstr>
      <vt:lpstr>v_49_XACP</vt:lpstr>
      <vt:lpstr>v_49_XAHO</vt:lpstr>
      <vt:lpstr>v_49_XALGAE</vt:lpstr>
      <vt:lpstr>v_49_XAMETO</vt:lpstr>
      <vt:lpstr>v_49_XAMX</vt:lpstr>
      <vt:lpstr>v_49_XAOB</vt:lpstr>
      <vt:lpstr>v_49_XB</vt:lpstr>
      <vt:lpstr>v_49_XB_e</vt:lpstr>
      <vt:lpstr>v_49_XBSH</vt:lpstr>
      <vt:lpstr>v_49_XCaCO3</vt:lpstr>
      <vt:lpstr>v_49_XCASTO</vt:lpstr>
      <vt:lpstr>v_49_XE</vt:lpstr>
      <vt:lpstr>v_49_XE_ana</vt:lpstr>
      <vt:lpstr>v_49_XHAO_H</vt:lpstr>
      <vt:lpstr>v_49_XHAO_H_P</vt:lpstr>
      <vt:lpstr>v_49_XHAO_H_P_old</vt:lpstr>
      <vt:lpstr>v_49_XHAO_L</vt:lpstr>
      <vt:lpstr>v_49_XHAO_L_P</vt:lpstr>
      <vt:lpstr>v_49_XHAO_L_P_old</vt:lpstr>
      <vt:lpstr>v_49_XHAO_old</vt:lpstr>
      <vt:lpstr>v_49_XHFO_H</vt:lpstr>
      <vt:lpstr>v_49_XHFO_H_P</vt:lpstr>
      <vt:lpstr>v_49_XHFO_H_P_old</vt:lpstr>
      <vt:lpstr>v_49_XHFO_L</vt:lpstr>
      <vt:lpstr>v_49_XHFO_L_P</vt:lpstr>
      <vt:lpstr>v_49_XHFO_L_P_old</vt:lpstr>
      <vt:lpstr>v_49_XHFO_old</vt:lpstr>
      <vt:lpstr>v_49_XHMETO</vt:lpstr>
      <vt:lpstr>v_49_XINORG</vt:lpstr>
      <vt:lpstr>v_49_XMEOLO</vt:lpstr>
      <vt:lpstr>v_49_XN_B</vt:lpstr>
      <vt:lpstr>v_49_XN_Be</vt:lpstr>
      <vt:lpstr>v_49_XN_U</vt:lpstr>
      <vt:lpstr>v_49_XNOB</vt:lpstr>
      <vt:lpstr>v_49_XOHO</vt:lpstr>
      <vt:lpstr>v_49_XP_B</vt:lpstr>
      <vt:lpstr>v_49_XP_Be</vt:lpstr>
      <vt:lpstr>v_49_XP_U</vt:lpstr>
      <vt:lpstr>v_49_XPFOA</vt:lpstr>
      <vt:lpstr>v_49_XPFOS</vt:lpstr>
      <vt:lpstr>v_49_XPHA_GAO</vt:lpstr>
      <vt:lpstr>v_49_XPHA_PAO</vt:lpstr>
      <vt:lpstr>v_49_XPP</vt:lpstr>
      <vt:lpstr>v_49_XSTO</vt:lpstr>
      <vt:lpstr>v_49_XSTR</vt:lpstr>
      <vt:lpstr>v_49_XU</vt:lpstr>
      <vt:lpstr>v_49_XVivi</vt:lpstr>
      <vt:lpstr>v_5_CB</vt:lpstr>
      <vt:lpstr>v_5_CU</vt:lpstr>
      <vt:lpstr>v_5_GCH4</vt:lpstr>
      <vt:lpstr>v_5_GCH4_atm</vt:lpstr>
      <vt:lpstr>v_5_GCO2</vt:lpstr>
      <vt:lpstr>v_5_GCO2_atm</vt:lpstr>
      <vt:lpstr>v_5_GH2</vt:lpstr>
      <vt:lpstr>v_5_GH2_atm</vt:lpstr>
      <vt:lpstr>v_5_GN2</vt:lpstr>
      <vt:lpstr>v_5_GN2_atm</vt:lpstr>
      <vt:lpstr>v_5_GNH3</vt:lpstr>
      <vt:lpstr>v_5_GNH3_atm</vt:lpstr>
      <vt:lpstr>v_5_GO2</vt:lpstr>
      <vt:lpstr>v_5_GO2_atm</vt:lpstr>
      <vt:lpstr>v_5_SALPHA</vt:lpstr>
      <vt:lpstr>v_5_SAN</vt:lpstr>
      <vt:lpstr>v_5_SB_mono</vt:lpstr>
      <vt:lpstr>v_5_SB_poly</vt:lpstr>
      <vt:lpstr>v_5_SCa</vt:lpstr>
      <vt:lpstr>v_5_SCAT</vt:lpstr>
      <vt:lpstr>v_5_SCH4</vt:lpstr>
      <vt:lpstr>v_5_SCO2</vt:lpstr>
      <vt:lpstr>v_5_SFe2</vt:lpstr>
      <vt:lpstr>v_5_SH</vt:lpstr>
      <vt:lpstr>v_5_SH2</vt:lpstr>
      <vt:lpstr>v_5_SK</vt:lpstr>
      <vt:lpstr>v_5_SMEOL</vt:lpstr>
      <vt:lpstr>v_5_SMg</vt:lpstr>
      <vt:lpstr>v_5_SN_B</vt:lpstr>
      <vt:lpstr>v_5_SN2</vt:lpstr>
      <vt:lpstr>v_5_SNHx</vt:lpstr>
      <vt:lpstr>v_5_SNO2</vt:lpstr>
      <vt:lpstr>v_5_SNO3</vt:lpstr>
      <vt:lpstr>v_5_SO2</vt:lpstr>
      <vt:lpstr>v_5_SORPswitch</vt:lpstr>
      <vt:lpstr>v_5_SP_B</vt:lpstr>
      <vt:lpstr>v_5_SPFOA</vt:lpstr>
      <vt:lpstr>v_5_SPFOS</vt:lpstr>
      <vt:lpstr>v_5_SPO4</vt:lpstr>
      <vt:lpstr>v_5_SU</vt:lpstr>
      <vt:lpstr>v_5_SVFA</vt:lpstr>
      <vt:lpstr>v_5_XACP</vt:lpstr>
      <vt:lpstr>v_5_XAHO</vt:lpstr>
      <vt:lpstr>v_5_XALGAE</vt:lpstr>
      <vt:lpstr>v_5_XAMETO</vt:lpstr>
      <vt:lpstr>v_5_XAMX</vt:lpstr>
      <vt:lpstr>v_5_XAOB</vt:lpstr>
      <vt:lpstr>v_5_XB</vt:lpstr>
      <vt:lpstr>v_5_XB_e</vt:lpstr>
      <vt:lpstr>v_5_XBSH</vt:lpstr>
      <vt:lpstr>v_5_XCaCO3</vt:lpstr>
      <vt:lpstr>v_5_XCASTO</vt:lpstr>
      <vt:lpstr>v_5_XE</vt:lpstr>
      <vt:lpstr>v_5_XE_ana</vt:lpstr>
      <vt:lpstr>v_5_XHAO_H</vt:lpstr>
      <vt:lpstr>v_5_XHAO_H_P</vt:lpstr>
      <vt:lpstr>v_5_XHAO_H_P_old</vt:lpstr>
      <vt:lpstr>v_5_XHAO_L</vt:lpstr>
      <vt:lpstr>v_5_XHAO_L_P</vt:lpstr>
      <vt:lpstr>v_5_XHAO_L_P_old</vt:lpstr>
      <vt:lpstr>v_5_XHAO_old</vt:lpstr>
      <vt:lpstr>v_5_XHFO_H</vt:lpstr>
      <vt:lpstr>v_5_XHFO_H_P</vt:lpstr>
      <vt:lpstr>v_5_XHFO_H_P_old</vt:lpstr>
      <vt:lpstr>v_5_XHFO_L</vt:lpstr>
      <vt:lpstr>v_5_XHFO_L_P</vt:lpstr>
      <vt:lpstr>v_5_XHFO_L_P_old</vt:lpstr>
      <vt:lpstr>v_5_XHFO_old</vt:lpstr>
      <vt:lpstr>v_5_XHMETO</vt:lpstr>
      <vt:lpstr>v_5_XINORG</vt:lpstr>
      <vt:lpstr>v_5_XMEOLO</vt:lpstr>
      <vt:lpstr>v_5_XN_B</vt:lpstr>
      <vt:lpstr>v_5_XN_Be</vt:lpstr>
      <vt:lpstr>v_5_XN_U</vt:lpstr>
      <vt:lpstr>v_5_XNOB</vt:lpstr>
      <vt:lpstr>v_5_XOHO</vt:lpstr>
      <vt:lpstr>v_5_XP_B</vt:lpstr>
      <vt:lpstr>v_5_XP_Be</vt:lpstr>
      <vt:lpstr>v_5_XP_U</vt:lpstr>
      <vt:lpstr>v_5_XPFOA</vt:lpstr>
      <vt:lpstr>v_5_XPFOS</vt:lpstr>
      <vt:lpstr>v_5_XPHA_GAO</vt:lpstr>
      <vt:lpstr>v_5_XPHA_PAO</vt:lpstr>
      <vt:lpstr>v_5_XPP</vt:lpstr>
      <vt:lpstr>v_5_XSTO</vt:lpstr>
      <vt:lpstr>v_5_XSTR</vt:lpstr>
      <vt:lpstr>v_5_XU</vt:lpstr>
      <vt:lpstr>v_5_XVivi</vt:lpstr>
      <vt:lpstr>v_50_CB</vt:lpstr>
      <vt:lpstr>v_50_CU</vt:lpstr>
      <vt:lpstr>v_50_GCH4</vt:lpstr>
      <vt:lpstr>v_50_GCH4_atm</vt:lpstr>
      <vt:lpstr>v_50_GCO2</vt:lpstr>
      <vt:lpstr>v_50_GCO2_atm</vt:lpstr>
      <vt:lpstr>v_50_GH2</vt:lpstr>
      <vt:lpstr>v_50_GH2_atm</vt:lpstr>
      <vt:lpstr>v_50_GN2</vt:lpstr>
      <vt:lpstr>v_50_GN2_atm</vt:lpstr>
      <vt:lpstr>v_50_GNH3</vt:lpstr>
      <vt:lpstr>v_50_GNH3_atm</vt:lpstr>
      <vt:lpstr>v_50_GO2</vt:lpstr>
      <vt:lpstr>v_50_GO2_atm</vt:lpstr>
      <vt:lpstr>v_50_SALPHA</vt:lpstr>
      <vt:lpstr>v_50_SAN</vt:lpstr>
      <vt:lpstr>v_50_SB_mono</vt:lpstr>
      <vt:lpstr>v_50_SB_poly</vt:lpstr>
      <vt:lpstr>v_50_SCa</vt:lpstr>
      <vt:lpstr>v_50_SCAT</vt:lpstr>
      <vt:lpstr>v_50_SCH4</vt:lpstr>
      <vt:lpstr>v_50_SCO2</vt:lpstr>
      <vt:lpstr>v_50_SFe2</vt:lpstr>
      <vt:lpstr>v_50_SH</vt:lpstr>
      <vt:lpstr>v_50_SH2</vt:lpstr>
      <vt:lpstr>v_50_SK</vt:lpstr>
      <vt:lpstr>v_50_SMEOL</vt:lpstr>
      <vt:lpstr>v_50_SMg</vt:lpstr>
      <vt:lpstr>v_50_SN_B</vt:lpstr>
      <vt:lpstr>v_50_SN2</vt:lpstr>
      <vt:lpstr>v_50_SNHx</vt:lpstr>
      <vt:lpstr>v_50_SNO2</vt:lpstr>
      <vt:lpstr>v_50_SNO3</vt:lpstr>
      <vt:lpstr>v_50_SO2</vt:lpstr>
      <vt:lpstr>v_50_SORPswitch</vt:lpstr>
      <vt:lpstr>v_50_SP_B</vt:lpstr>
      <vt:lpstr>v_50_SPFOA</vt:lpstr>
      <vt:lpstr>v_50_SPFOS</vt:lpstr>
      <vt:lpstr>v_50_SPO4</vt:lpstr>
      <vt:lpstr>v_50_SU</vt:lpstr>
      <vt:lpstr>v_50_SVFA</vt:lpstr>
      <vt:lpstr>v_50_XACP</vt:lpstr>
      <vt:lpstr>v_50_XAHO</vt:lpstr>
      <vt:lpstr>v_50_XALGAE</vt:lpstr>
      <vt:lpstr>v_50_XAMETO</vt:lpstr>
      <vt:lpstr>v_50_XAMX</vt:lpstr>
      <vt:lpstr>v_50_XAOB</vt:lpstr>
      <vt:lpstr>v_50_XB</vt:lpstr>
      <vt:lpstr>v_50_XB_e</vt:lpstr>
      <vt:lpstr>v_50_XBSH</vt:lpstr>
      <vt:lpstr>v_50_XCaCO3</vt:lpstr>
      <vt:lpstr>v_50_XCASTO</vt:lpstr>
      <vt:lpstr>v_50_XE</vt:lpstr>
      <vt:lpstr>v_50_XE_ana</vt:lpstr>
      <vt:lpstr>v_50_XHAO_H</vt:lpstr>
      <vt:lpstr>v_50_XHAO_H_P</vt:lpstr>
      <vt:lpstr>v_50_XHAO_H_P_old</vt:lpstr>
      <vt:lpstr>v_50_XHAO_L</vt:lpstr>
      <vt:lpstr>v_50_XHAO_L_P</vt:lpstr>
      <vt:lpstr>v_50_XHAO_L_P_old</vt:lpstr>
      <vt:lpstr>v_50_XHAO_old</vt:lpstr>
      <vt:lpstr>v_50_XHFO_H</vt:lpstr>
      <vt:lpstr>v_50_XHFO_H_P</vt:lpstr>
      <vt:lpstr>v_50_XHFO_H_P_old</vt:lpstr>
      <vt:lpstr>v_50_XHFO_L</vt:lpstr>
      <vt:lpstr>v_50_XHFO_L_P</vt:lpstr>
      <vt:lpstr>v_50_XHFO_L_P_old</vt:lpstr>
      <vt:lpstr>v_50_XHFO_old</vt:lpstr>
      <vt:lpstr>v_50_XHMETO</vt:lpstr>
      <vt:lpstr>v_50_XINORG</vt:lpstr>
      <vt:lpstr>v_50_XMEOLO</vt:lpstr>
      <vt:lpstr>v_50_XN_B</vt:lpstr>
      <vt:lpstr>v_50_XN_Be</vt:lpstr>
      <vt:lpstr>v_50_XN_U</vt:lpstr>
      <vt:lpstr>v_50_XNOB</vt:lpstr>
      <vt:lpstr>v_50_XOHO</vt:lpstr>
      <vt:lpstr>v_50_XP_B</vt:lpstr>
      <vt:lpstr>v_50_XP_Be</vt:lpstr>
      <vt:lpstr>v_50_XP_U</vt:lpstr>
      <vt:lpstr>v_50_XPFOA</vt:lpstr>
      <vt:lpstr>v_50_XPFOS</vt:lpstr>
      <vt:lpstr>v_50_XPHA_GAO</vt:lpstr>
      <vt:lpstr>v_50_XPHA_PAO</vt:lpstr>
      <vt:lpstr>v_50_XPP</vt:lpstr>
      <vt:lpstr>v_50_XSTO</vt:lpstr>
      <vt:lpstr>v_50_XSTR</vt:lpstr>
      <vt:lpstr>v_50_XU</vt:lpstr>
      <vt:lpstr>v_50_XVivi</vt:lpstr>
      <vt:lpstr>v_51_CB</vt:lpstr>
      <vt:lpstr>v_51_CU</vt:lpstr>
      <vt:lpstr>v_51_GCH4</vt:lpstr>
      <vt:lpstr>v_51_GCH4_atm</vt:lpstr>
      <vt:lpstr>v_51_GCO2</vt:lpstr>
      <vt:lpstr>v_51_GCO2_atm</vt:lpstr>
      <vt:lpstr>v_51_GH2</vt:lpstr>
      <vt:lpstr>v_51_GH2_atm</vt:lpstr>
      <vt:lpstr>v_51_GN2</vt:lpstr>
      <vt:lpstr>v_51_GN2_atm</vt:lpstr>
      <vt:lpstr>v_51_GNH3</vt:lpstr>
      <vt:lpstr>v_51_GNH3_atm</vt:lpstr>
      <vt:lpstr>v_51_GO2</vt:lpstr>
      <vt:lpstr>v_51_GO2_atm</vt:lpstr>
      <vt:lpstr>v_51_SALPHA</vt:lpstr>
      <vt:lpstr>v_51_SAN</vt:lpstr>
      <vt:lpstr>v_51_SB_mono</vt:lpstr>
      <vt:lpstr>v_51_SB_poly</vt:lpstr>
      <vt:lpstr>v_51_SCa</vt:lpstr>
      <vt:lpstr>v_51_SCAT</vt:lpstr>
      <vt:lpstr>v_51_SCH4</vt:lpstr>
      <vt:lpstr>v_51_SCO2</vt:lpstr>
      <vt:lpstr>v_51_SFe2</vt:lpstr>
      <vt:lpstr>v_51_SH</vt:lpstr>
      <vt:lpstr>v_51_SH2</vt:lpstr>
      <vt:lpstr>v_51_SK</vt:lpstr>
      <vt:lpstr>v_51_SMEOL</vt:lpstr>
      <vt:lpstr>v_51_SMg</vt:lpstr>
      <vt:lpstr>v_51_SN_B</vt:lpstr>
      <vt:lpstr>v_51_SN2</vt:lpstr>
      <vt:lpstr>v_51_SNHx</vt:lpstr>
      <vt:lpstr>v_51_SNO2</vt:lpstr>
      <vt:lpstr>v_51_SNO3</vt:lpstr>
      <vt:lpstr>v_51_SO2</vt:lpstr>
      <vt:lpstr>v_51_SORPswitch</vt:lpstr>
      <vt:lpstr>v_51_SP_B</vt:lpstr>
      <vt:lpstr>v_51_SPFOA</vt:lpstr>
      <vt:lpstr>v_51_SPFOS</vt:lpstr>
      <vt:lpstr>v_51_SPO4</vt:lpstr>
      <vt:lpstr>v_51_SU</vt:lpstr>
      <vt:lpstr>v_51_SVFA</vt:lpstr>
      <vt:lpstr>v_51_XACP</vt:lpstr>
      <vt:lpstr>v_51_XAHO</vt:lpstr>
      <vt:lpstr>v_51_XALGAE</vt:lpstr>
      <vt:lpstr>v_51_XAMETO</vt:lpstr>
      <vt:lpstr>v_51_XAMX</vt:lpstr>
      <vt:lpstr>v_51_XAOB</vt:lpstr>
      <vt:lpstr>v_51_XB</vt:lpstr>
      <vt:lpstr>v_51_XB_e</vt:lpstr>
      <vt:lpstr>v_51_XBSH</vt:lpstr>
      <vt:lpstr>v_51_XCaCO3</vt:lpstr>
      <vt:lpstr>v_51_XCASTO</vt:lpstr>
      <vt:lpstr>v_51_XE</vt:lpstr>
      <vt:lpstr>v_51_XE_ana</vt:lpstr>
      <vt:lpstr>v_51_XHAO_H</vt:lpstr>
      <vt:lpstr>v_51_XHAO_H_P</vt:lpstr>
      <vt:lpstr>v_51_XHAO_H_P_old</vt:lpstr>
      <vt:lpstr>v_51_XHAO_L</vt:lpstr>
      <vt:lpstr>v_51_XHAO_L_P</vt:lpstr>
      <vt:lpstr>v_51_XHAO_L_P_old</vt:lpstr>
      <vt:lpstr>v_51_XHAO_old</vt:lpstr>
      <vt:lpstr>v_51_XHFO_H</vt:lpstr>
      <vt:lpstr>v_51_XHFO_H_P</vt:lpstr>
      <vt:lpstr>v_51_XHFO_H_P_old</vt:lpstr>
      <vt:lpstr>v_51_XHFO_L</vt:lpstr>
      <vt:lpstr>v_51_XHFO_L_P</vt:lpstr>
      <vt:lpstr>v_51_XHFO_L_P_old</vt:lpstr>
      <vt:lpstr>v_51_XHFO_old</vt:lpstr>
      <vt:lpstr>v_51_XHMETO</vt:lpstr>
      <vt:lpstr>v_51_XINORG</vt:lpstr>
      <vt:lpstr>v_51_XMEOLO</vt:lpstr>
      <vt:lpstr>v_51_XN_B</vt:lpstr>
      <vt:lpstr>v_51_XN_Be</vt:lpstr>
      <vt:lpstr>v_51_XN_U</vt:lpstr>
      <vt:lpstr>v_51_XNOB</vt:lpstr>
      <vt:lpstr>v_51_XOHO</vt:lpstr>
      <vt:lpstr>v_51_XP_B</vt:lpstr>
      <vt:lpstr>v_51_XP_Be</vt:lpstr>
      <vt:lpstr>v_51_XP_U</vt:lpstr>
      <vt:lpstr>v_51_XPFOA</vt:lpstr>
      <vt:lpstr>v_51_XPFOS</vt:lpstr>
      <vt:lpstr>v_51_XPHA_GAO</vt:lpstr>
      <vt:lpstr>v_51_XPHA_PAO</vt:lpstr>
      <vt:lpstr>v_51_XPP</vt:lpstr>
      <vt:lpstr>v_51_XSTO</vt:lpstr>
      <vt:lpstr>v_51_XSTR</vt:lpstr>
      <vt:lpstr>v_51_XU</vt:lpstr>
      <vt:lpstr>v_51_XVivi</vt:lpstr>
      <vt:lpstr>v_52_CB</vt:lpstr>
      <vt:lpstr>v_52_CU</vt:lpstr>
      <vt:lpstr>v_52_GCH4</vt:lpstr>
      <vt:lpstr>v_52_GCH4_atm</vt:lpstr>
      <vt:lpstr>v_52_GCO2</vt:lpstr>
      <vt:lpstr>v_52_GCO2_atm</vt:lpstr>
      <vt:lpstr>v_52_GH2</vt:lpstr>
      <vt:lpstr>v_52_GH2_atm</vt:lpstr>
      <vt:lpstr>v_52_GN2</vt:lpstr>
      <vt:lpstr>v_52_GN2_atm</vt:lpstr>
      <vt:lpstr>v_52_GNH3</vt:lpstr>
      <vt:lpstr>v_52_GNH3_atm</vt:lpstr>
      <vt:lpstr>v_52_GO2</vt:lpstr>
      <vt:lpstr>v_52_GO2_atm</vt:lpstr>
      <vt:lpstr>v_52_SALPHA</vt:lpstr>
      <vt:lpstr>v_52_SAN</vt:lpstr>
      <vt:lpstr>v_52_SB_mono</vt:lpstr>
      <vt:lpstr>v_52_SB_poly</vt:lpstr>
      <vt:lpstr>v_52_SCa</vt:lpstr>
      <vt:lpstr>v_52_SCAT</vt:lpstr>
      <vt:lpstr>v_52_SCH4</vt:lpstr>
      <vt:lpstr>v_52_SCO2</vt:lpstr>
      <vt:lpstr>v_52_SFe2</vt:lpstr>
      <vt:lpstr>v_52_SH</vt:lpstr>
      <vt:lpstr>v_52_SH2</vt:lpstr>
      <vt:lpstr>v_52_SK</vt:lpstr>
      <vt:lpstr>v_52_SMEOL</vt:lpstr>
      <vt:lpstr>v_52_SMg</vt:lpstr>
      <vt:lpstr>v_52_SN_B</vt:lpstr>
      <vt:lpstr>v_52_SN2</vt:lpstr>
      <vt:lpstr>v_52_SNHx</vt:lpstr>
      <vt:lpstr>v_52_SNO2</vt:lpstr>
      <vt:lpstr>v_52_SNO3</vt:lpstr>
      <vt:lpstr>v_52_SO2</vt:lpstr>
      <vt:lpstr>v_52_SORPswitch</vt:lpstr>
      <vt:lpstr>v_52_SP_B</vt:lpstr>
      <vt:lpstr>v_52_SPFOA</vt:lpstr>
      <vt:lpstr>v_52_SPFOS</vt:lpstr>
      <vt:lpstr>v_52_SPO4</vt:lpstr>
      <vt:lpstr>v_52_SU</vt:lpstr>
      <vt:lpstr>v_52_SVFA</vt:lpstr>
      <vt:lpstr>v_52_XACP</vt:lpstr>
      <vt:lpstr>v_52_XAHO</vt:lpstr>
      <vt:lpstr>v_52_XALGAE</vt:lpstr>
      <vt:lpstr>v_52_XAMETO</vt:lpstr>
      <vt:lpstr>v_52_XAMX</vt:lpstr>
      <vt:lpstr>v_52_XAOB</vt:lpstr>
      <vt:lpstr>v_52_XB</vt:lpstr>
      <vt:lpstr>v_52_XB_e</vt:lpstr>
      <vt:lpstr>v_52_XBSH</vt:lpstr>
      <vt:lpstr>v_52_XCaCO3</vt:lpstr>
      <vt:lpstr>v_52_XCASTO</vt:lpstr>
      <vt:lpstr>v_52_XE</vt:lpstr>
      <vt:lpstr>v_52_XE_ana</vt:lpstr>
      <vt:lpstr>v_52_XHAO_H</vt:lpstr>
      <vt:lpstr>v_52_XHAO_H_P</vt:lpstr>
      <vt:lpstr>v_52_XHAO_H_P_old</vt:lpstr>
      <vt:lpstr>v_52_XHAO_L</vt:lpstr>
      <vt:lpstr>v_52_XHAO_L_P</vt:lpstr>
      <vt:lpstr>v_52_XHAO_L_P_old</vt:lpstr>
      <vt:lpstr>v_52_XHAO_old</vt:lpstr>
      <vt:lpstr>v_52_XHFO_H</vt:lpstr>
      <vt:lpstr>v_52_XHFO_H_P</vt:lpstr>
      <vt:lpstr>v_52_XHFO_H_P_old</vt:lpstr>
      <vt:lpstr>v_52_XHFO_L</vt:lpstr>
      <vt:lpstr>v_52_XHFO_L_P</vt:lpstr>
      <vt:lpstr>v_52_XHFO_L_P_old</vt:lpstr>
      <vt:lpstr>v_52_XHFO_old</vt:lpstr>
      <vt:lpstr>v_52_XHMETO</vt:lpstr>
      <vt:lpstr>v_52_XINORG</vt:lpstr>
      <vt:lpstr>v_52_XMEOLO</vt:lpstr>
      <vt:lpstr>v_52_XN_B</vt:lpstr>
      <vt:lpstr>v_52_XN_Be</vt:lpstr>
      <vt:lpstr>v_52_XN_U</vt:lpstr>
      <vt:lpstr>v_52_XNOB</vt:lpstr>
      <vt:lpstr>v_52_XOHO</vt:lpstr>
      <vt:lpstr>v_52_XP_B</vt:lpstr>
      <vt:lpstr>v_52_XP_Be</vt:lpstr>
      <vt:lpstr>v_52_XP_U</vt:lpstr>
      <vt:lpstr>v_52_XPFOA</vt:lpstr>
      <vt:lpstr>v_52_XPFOS</vt:lpstr>
      <vt:lpstr>v_52_XPHA_GAO</vt:lpstr>
      <vt:lpstr>v_52_XPHA_PAO</vt:lpstr>
      <vt:lpstr>v_52_XPP</vt:lpstr>
      <vt:lpstr>v_52_XSTO</vt:lpstr>
      <vt:lpstr>v_52_XSTR</vt:lpstr>
      <vt:lpstr>v_52_XU</vt:lpstr>
      <vt:lpstr>v_52_XVivi</vt:lpstr>
      <vt:lpstr>v_53_CB</vt:lpstr>
      <vt:lpstr>v_53_CU</vt:lpstr>
      <vt:lpstr>v_53_GCH4</vt:lpstr>
      <vt:lpstr>v_53_GCH4_atm</vt:lpstr>
      <vt:lpstr>v_53_GCO2</vt:lpstr>
      <vt:lpstr>v_53_GCO2_atm</vt:lpstr>
      <vt:lpstr>v_53_GH2</vt:lpstr>
      <vt:lpstr>v_53_GH2_atm</vt:lpstr>
      <vt:lpstr>v_53_GN2</vt:lpstr>
      <vt:lpstr>v_53_GN2_atm</vt:lpstr>
      <vt:lpstr>v_53_GNH3</vt:lpstr>
      <vt:lpstr>v_53_GNH3_atm</vt:lpstr>
      <vt:lpstr>v_53_GO2</vt:lpstr>
      <vt:lpstr>v_53_GO2_atm</vt:lpstr>
      <vt:lpstr>v_53_SALPHA</vt:lpstr>
      <vt:lpstr>v_53_SAN</vt:lpstr>
      <vt:lpstr>v_53_SB_mono</vt:lpstr>
      <vt:lpstr>v_53_SB_poly</vt:lpstr>
      <vt:lpstr>v_53_SCa</vt:lpstr>
      <vt:lpstr>v_53_SCAT</vt:lpstr>
      <vt:lpstr>v_53_SCH4</vt:lpstr>
      <vt:lpstr>v_53_SCO2</vt:lpstr>
      <vt:lpstr>v_53_SFe2</vt:lpstr>
      <vt:lpstr>v_53_SH</vt:lpstr>
      <vt:lpstr>v_53_SH2</vt:lpstr>
      <vt:lpstr>v_53_SK</vt:lpstr>
      <vt:lpstr>v_53_SMEOL</vt:lpstr>
      <vt:lpstr>v_53_SMg</vt:lpstr>
      <vt:lpstr>v_53_SN_B</vt:lpstr>
      <vt:lpstr>v_53_SN2</vt:lpstr>
      <vt:lpstr>v_53_SNHx</vt:lpstr>
      <vt:lpstr>v_53_SNO2</vt:lpstr>
      <vt:lpstr>v_53_SNO3</vt:lpstr>
      <vt:lpstr>v_53_SO2</vt:lpstr>
      <vt:lpstr>v_53_SORPswitch</vt:lpstr>
      <vt:lpstr>v_53_SP_B</vt:lpstr>
      <vt:lpstr>v_53_SPFOA</vt:lpstr>
      <vt:lpstr>v_53_SPFOS</vt:lpstr>
      <vt:lpstr>v_53_SPO4</vt:lpstr>
      <vt:lpstr>v_53_SU</vt:lpstr>
      <vt:lpstr>v_53_SVFA</vt:lpstr>
      <vt:lpstr>v_53_XACP</vt:lpstr>
      <vt:lpstr>v_53_XAHO</vt:lpstr>
      <vt:lpstr>v_53_XALGAE</vt:lpstr>
      <vt:lpstr>v_53_XAMETO</vt:lpstr>
      <vt:lpstr>v_53_XAMX</vt:lpstr>
      <vt:lpstr>v_53_XAOB</vt:lpstr>
      <vt:lpstr>v_53_XB</vt:lpstr>
      <vt:lpstr>v_53_XB_e</vt:lpstr>
      <vt:lpstr>v_53_XBSH</vt:lpstr>
      <vt:lpstr>v_53_XCaCO3</vt:lpstr>
      <vt:lpstr>v_53_XCASTO</vt:lpstr>
      <vt:lpstr>v_53_XE</vt:lpstr>
      <vt:lpstr>v_53_XE_ana</vt:lpstr>
      <vt:lpstr>v_53_XHAO_H</vt:lpstr>
      <vt:lpstr>v_53_XHAO_H_P</vt:lpstr>
      <vt:lpstr>v_53_XHAO_H_P_old</vt:lpstr>
      <vt:lpstr>v_53_XHAO_L</vt:lpstr>
      <vt:lpstr>v_53_XHAO_L_P</vt:lpstr>
      <vt:lpstr>v_53_XHAO_L_P_old</vt:lpstr>
      <vt:lpstr>v_53_XHAO_old</vt:lpstr>
      <vt:lpstr>v_53_XHFO_H</vt:lpstr>
      <vt:lpstr>v_53_XHFO_H_P</vt:lpstr>
      <vt:lpstr>v_53_XHFO_H_P_old</vt:lpstr>
      <vt:lpstr>v_53_XHFO_L</vt:lpstr>
      <vt:lpstr>v_53_XHFO_L_P</vt:lpstr>
      <vt:lpstr>v_53_XHFO_L_P_old</vt:lpstr>
      <vt:lpstr>v_53_XHFO_old</vt:lpstr>
      <vt:lpstr>v_53_XHMETO</vt:lpstr>
      <vt:lpstr>v_53_XINORG</vt:lpstr>
      <vt:lpstr>v_53_XMEOLO</vt:lpstr>
      <vt:lpstr>v_53_XN_B</vt:lpstr>
      <vt:lpstr>v_53_XN_Be</vt:lpstr>
      <vt:lpstr>v_53_XN_U</vt:lpstr>
      <vt:lpstr>v_53_XNOB</vt:lpstr>
      <vt:lpstr>v_53_XOHO</vt:lpstr>
      <vt:lpstr>v_53_XP_B</vt:lpstr>
      <vt:lpstr>v_53_XP_Be</vt:lpstr>
      <vt:lpstr>v_53_XP_U</vt:lpstr>
      <vt:lpstr>v_53_XPFOA</vt:lpstr>
      <vt:lpstr>v_53_XPFOS</vt:lpstr>
      <vt:lpstr>v_53_XPHA_GAO</vt:lpstr>
      <vt:lpstr>v_53_XPHA_PAO</vt:lpstr>
      <vt:lpstr>v_53_XPP</vt:lpstr>
      <vt:lpstr>v_53_XSTO</vt:lpstr>
      <vt:lpstr>v_53_XSTR</vt:lpstr>
      <vt:lpstr>v_53_XU</vt:lpstr>
      <vt:lpstr>v_53_XVivi</vt:lpstr>
      <vt:lpstr>v_54_CB</vt:lpstr>
      <vt:lpstr>v_54_CU</vt:lpstr>
      <vt:lpstr>v_54_GCH4</vt:lpstr>
      <vt:lpstr>v_54_GCH4_atm</vt:lpstr>
      <vt:lpstr>v_54_GCO2</vt:lpstr>
      <vt:lpstr>v_54_GCO2_atm</vt:lpstr>
      <vt:lpstr>v_54_GH2</vt:lpstr>
      <vt:lpstr>v_54_GH2_atm</vt:lpstr>
      <vt:lpstr>v_54_GN2</vt:lpstr>
      <vt:lpstr>v_54_GN2_atm</vt:lpstr>
      <vt:lpstr>v_54_GNH3</vt:lpstr>
      <vt:lpstr>v_54_GNH3_atm</vt:lpstr>
      <vt:lpstr>v_54_GO2</vt:lpstr>
      <vt:lpstr>v_54_GO2_atm</vt:lpstr>
      <vt:lpstr>v_54_SALPHA</vt:lpstr>
      <vt:lpstr>v_54_SAN</vt:lpstr>
      <vt:lpstr>v_54_SB_mono</vt:lpstr>
      <vt:lpstr>v_54_SB_poly</vt:lpstr>
      <vt:lpstr>v_54_SCa</vt:lpstr>
      <vt:lpstr>v_54_SCAT</vt:lpstr>
      <vt:lpstr>v_54_SCH4</vt:lpstr>
      <vt:lpstr>v_54_SCO2</vt:lpstr>
      <vt:lpstr>v_54_SFe2</vt:lpstr>
      <vt:lpstr>v_54_SH</vt:lpstr>
      <vt:lpstr>v_54_SH2</vt:lpstr>
      <vt:lpstr>v_54_SK</vt:lpstr>
      <vt:lpstr>v_54_SMEOL</vt:lpstr>
      <vt:lpstr>v_54_SMg</vt:lpstr>
      <vt:lpstr>v_54_SN_B</vt:lpstr>
      <vt:lpstr>v_54_SN2</vt:lpstr>
      <vt:lpstr>v_54_SNHx</vt:lpstr>
      <vt:lpstr>v_54_SNO2</vt:lpstr>
      <vt:lpstr>v_54_SNO3</vt:lpstr>
      <vt:lpstr>v_54_SO2</vt:lpstr>
      <vt:lpstr>v_54_SORPswitch</vt:lpstr>
      <vt:lpstr>v_54_SP_B</vt:lpstr>
      <vt:lpstr>v_54_SPFOA</vt:lpstr>
      <vt:lpstr>v_54_SPFOS</vt:lpstr>
      <vt:lpstr>v_54_SPO4</vt:lpstr>
      <vt:lpstr>v_54_SU</vt:lpstr>
      <vt:lpstr>v_54_SVFA</vt:lpstr>
      <vt:lpstr>v_54_XACP</vt:lpstr>
      <vt:lpstr>v_54_XAHO</vt:lpstr>
      <vt:lpstr>v_54_XALGAE</vt:lpstr>
      <vt:lpstr>v_54_XAMETO</vt:lpstr>
      <vt:lpstr>v_54_XAMX</vt:lpstr>
      <vt:lpstr>v_54_XAOB</vt:lpstr>
      <vt:lpstr>v_54_XB</vt:lpstr>
      <vt:lpstr>v_54_XB_e</vt:lpstr>
      <vt:lpstr>v_54_XBSH</vt:lpstr>
      <vt:lpstr>v_54_XCaCO3</vt:lpstr>
      <vt:lpstr>v_54_XCASTO</vt:lpstr>
      <vt:lpstr>v_54_XE</vt:lpstr>
      <vt:lpstr>v_54_XE_ana</vt:lpstr>
      <vt:lpstr>v_54_XHAO_H</vt:lpstr>
      <vt:lpstr>v_54_XHAO_H_P</vt:lpstr>
      <vt:lpstr>v_54_XHAO_H_P_old</vt:lpstr>
      <vt:lpstr>v_54_XHAO_L</vt:lpstr>
      <vt:lpstr>v_54_XHAO_L_P</vt:lpstr>
      <vt:lpstr>v_54_XHAO_L_P_old</vt:lpstr>
      <vt:lpstr>v_54_XHAO_old</vt:lpstr>
      <vt:lpstr>v_54_XHFO_H</vt:lpstr>
      <vt:lpstr>v_54_XHFO_H_P</vt:lpstr>
      <vt:lpstr>v_54_XHFO_H_P_old</vt:lpstr>
      <vt:lpstr>v_54_XHFO_L</vt:lpstr>
      <vt:lpstr>v_54_XHFO_L_P</vt:lpstr>
      <vt:lpstr>v_54_XHFO_L_P_old</vt:lpstr>
      <vt:lpstr>v_54_XHFO_old</vt:lpstr>
      <vt:lpstr>v_54_XHMETO</vt:lpstr>
      <vt:lpstr>v_54_XINORG</vt:lpstr>
      <vt:lpstr>v_54_XMEOLO</vt:lpstr>
      <vt:lpstr>v_54_XN_B</vt:lpstr>
      <vt:lpstr>v_54_XN_Be</vt:lpstr>
      <vt:lpstr>v_54_XN_U</vt:lpstr>
      <vt:lpstr>v_54_XNOB</vt:lpstr>
      <vt:lpstr>v_54_XOHO</vt:lpstr>
      <vt:lpstr>v_54_XP_B</vt:lpstr>
      <vt:lpstr>v_54_XP_Be</vt:lpstr>
      <vt:lpstr>v_54_XP_U</vt:lpstr>
      <vt:lpstr>v_54_XPFOA</vt:lpstr>
      <vt:lpstr>v_54_XPFOS</vt:lpstr>
      <vt:lpstr>v_54_XPHA_GAO</vt:lpstr>
      <vt:lpstr>v_54_XPHA_PAO</vt:lpstr>
      <vt:lpstr>v_54_XPP</vt:lpstr>
      <vt:lpstr>v_54_XSTO</vt:lpstr>
      <vt:lpstr>v_54_XSTR</vt:lpstr>
      <vt:lpstr>v_54_XU</vt:lpstr>
      <vt:lpstr>v_54_XVivi</vt:lpstr>
      <vt:lpstr>v_55_CB</vt:lpstr>
      <vt:lpstr>v_55_CU</vt:lpstr>
      <vt:lpstr>v_55_GCH4</vt:lpstr>
      <vt:lpstr>v_55_GCH4_atm</vt:lpstr>
      <vt:lpstr>v_55_GCO2</vt:lpstr>
      <vt:lpstr>v_55_GCO2_atm</vt:lpstr>
      <vt:lpstr>v_55_GH2</vt:lpstr>
      <vt:lpstr>v_55_GH2_atm</vt:lpstr>
      <vt:lpstr>v_55_GN2</vt:lpstr>
      <vt:lpstr>v_55_GN2_atm</vt:lpstr>
      <vt:lpstr>v_55_GNH3</vt:lpstr>
      <vt:lpstr>v_55_GNH3_atm</vt:lpstr>
      <vt:lpstr>v_55_GO2</vt:lpstr>
      <vt:lpstr>v_55_GO2_atm</vt:lpstr>
      <vt:lpstr>v_55_SALPHA</vt:lpstr>
      <vt:lpstr>v_55_SAN</vt:lpstr>
      <vt:lpstr>v_55_SB_mono</vt:lpstr>
      <vt:lpstr>v_55_SB_poly</vt:lpstr>
      <vt:lpstr>v_55_SCa</vt:lpstr>
      <vt:lpstr>v_55_SCAT</vt:lpstr>
      <vt:lpstr>v_55_SCH4</vt:lpstr>
      <vt:lpstr>v_55_SCO2</vt:lpstr>
      <vt:lpstr>v_55_SFe2</vt:lpstr>
      <vt:lpstr>v_55_SH</vt:lpstr>
      <vt:lpstr>v_55_SH2</vt:lpstr>
      <vt:lpstr>v_55_SK</vt:lpstr>
      <vt:lpstr>v_55_SMEOL</vt:lpstr>
      <vt:lpstr>v_55_SMg</vt:lpstr>
      <vt:lpstr>v_55_SN_B</vt:lpstr>
      <vt:lpstr>v_55_SN2</vt:lpstr>
      <vt:lpstr>v_55_SNHx</vt:lpstr>
      <vt:lpstr>v_55_SNO2</vt:lpstr>
      <vt:lpstr>v_55_SNO3</vt:lpstr>
      <vt:lpstr>v_55_SO2</vt:lpstr>
      <vt:lpstr>v_55_SORPswitch</vt:lpstr>
      <vt:lpstr>v_55_SP_B</vt:lpstr>
      <vt:lpstr>v_55_SPFOA</vt:lpstr>
      <vt:lpstr>v_55_SPFOS</vt:lpstr>
      <vt:lpstr>v_55_SPO4</vt:lpstr>
      <vt:lpstr>v_55_SU</vt:lpstr>
      <vt:lpstr>v_55_SVFA</vt:lpstr>
      <vt:lpstr>v_55_XACP</vt:lpstr>
      <vt:lpstr>v_55_XAHO</vt:lpstr>
      <vt:lpstr>v_55_XALGAE</vt:lpstr>
      <vt:lpstr>v_55_XAMETO</vt:lpstr>
      <vt:lpstr>v_55_XAMX</vt:lpstr>
      <vt:lpstr>v_55_XAOB</vt:lpstr>
      <vt:lpstr>v_55_XB</vt:lpstr>
      <vt:lpstr>v_55_XB_e</vt:lpstr>
      <vt:lpstr>v_55_XBSH</vt:lpstr>
      <vt:lpstr>v_55_XCaCO3</vt:lpstr>
      <vt:lpstr>v_55_XCASTO</vt:lpstr>
      <vt:lpstr>v_55_XE</vt:lpstr>
      <vt:lpstr>v_55_XE_ana</vt:lpstr>
      <vt:lpstr>v_55_XHAO_H</vt:lpstr>
      <vt:lpstr>v_55_XHAO_H_P</vt:lpstr>
      <vt:lpstr>v_55_XHAO_H_P_old</vt:lpstr>
      <vt:lpstr>v_55_XHAO_L</vt:lpstr>
      <vt:lpstr>v_55_XHAO_L_P</vt:lpstr>
      <vt:lpstr>v_55_XHAO_L_P_old</vt:lpstr>
      <vt:lpstr>v_55_XHAO_old</vt:lpstr>
      <vt:lpstr>v_55_XHFO_H</vt:lpstr>
      <vt:lpstr>v_55_XHFO_H_P</vt:lpstr>
      <vt:lpstr>v_55_XHFO_H_P_old</vt:lpstr>
      <vt:lpstr>v_55_XHFO_L</vt:lpstr>
      <vt:lpstr>v_55_XHFO_L_P</vt:lpstr>
      <vt:lpstr>v_55_XHFO_L_P_old</vt:lpstr>
      <vt:lpstr>v_55_XHFO_old</vt:lpstr>
      <vt:lpstr>v_55_XHMETO</vt:lpstr>
      <vt:lpstr>v_55_XINORG</vt:lpstr>
      <vt:lpstr>v_55_XMEOLO</vt:lpstr>
      <vt:lpstr>v_55_XN_B</vt:lpstr>
      <vt:lpstr>v_55_XN_Be</vt:lpstr>
      <vt:lpstr>v_55_XN_U</vt:lpstr>
      <vt:lpstr>v_55_XNOB</vt:lpstr>
      <vt:lpstr>v_55_XOHO</vt:lpstr>
      <vt:lpstr>v_55_XP_B</vt:lpstr>
      <vt:lpstr>v_55_XP_Be</vt:lpstr>
      <vt:lpstr>v_55_XP_U</vt:lpstr>
      <vt:lpstr>v_55_XPFOA</vt:lpstr>
      <vt:lpstr>v_55_XPFOS</vt:lpstr>
      <vt:lpstr>v_55_XPHA_GAO</vt:lpstr>
      <vt:lpstr>v_55_XPHA_PAO</vt:lpstr>
      <vt:lpstr>v_55_XPP</vt:lpstr>
      <vt:lpstr>v_55_XSTO</vt:lpstr>
      <vt:lpstr>v_55_XSTR</vt:lpstr>
      <vt:lpstr>v_55_XU</vt:lpstr>
      <vt:lpstr>v_55_XVivi</vt:lpstr>
      <vt:lpstr>v_56_CB</vt:lpstr>
      <vt:lpstr>v_56_CU</vt:lpstr>
      <vt:lpstr>v_56_GCH4</vt:lpstr>
      <vt:lpstr>v_56_GCH4_atm</vt:lpstr>
      <vt:lpstr>v_56_GCO2</vt:lpstr>
      <vt:lpstr>v_56_GCO2_atm</vt:lpstr>
      <vt:lpstr>v_56_GH2</vt:lpstr>
      <vt:lpstr>v_56_GH2_atm</vt:lpstr>
      <vt:lpstr>v_56_GN2</vt:lpstr>
      <vt:lpstr>v_56_GN2_atm</vt:lpstr>
      <vt:lpstr>v_56_GNH3</vt:lpstr>
      <vt:lpstr>v_56_GNH3_atm</vt:lpstr>
      <vt:lpstr>v_56_GO2</vt:lpstr>
      <vt:lpstr>v_56_GO2_atm</vt:lpstr>
      <vt:lpstr>v_56_SALPHA</vt:lpstr>
      <vt:lpstr>v_56_SAN</vt:lpstr>
      <vt:lpstr>v_56_SB_mono</vt:lpstr>
      <vt:lpstr>v_56_SB_poly</vt:lpstr>
      <vt:lpstr>v_56_SCa</vt:lpstr>
      <vt:lpstr>v_56_SCAT</vt:lpstr>
      <vt:lpstr>v_56_SCH4</vt:lpstr>
      <vt:lpstr>v_56_SCO2</vt:lpstr>
      <vt:lpstr>v_56_SFe2</vt:lpstr>
      <vt:lpstr>v_56_SH</vt:lpstr>
      <vt:lpstr>v_56_SH2</vt:lpstr>
      <vt:lpstr>v_56_SK</vt:lpstr>
      <vt:lpstr>v_56_SMEOL</vt:lpstr>
      <vt:lpstr>v_56_SMg</vt:lpstr>
      <vt:lpstr>v_56_SN_B</vt:lpstr>
      <vt:lpstr>v_56_SN2</vt:lpstr>
      <vt:lpstr>v_56_SNHx</vt:lpstr>
      <vt:lpstr>v_56_SNO2</vt:lpstr>
      <vt:lpstr>v_56_SNO3</vt:lpstr>
      <vt:lpstr>v_56_SO2</vt:lpstr>
      <vt:lpstr>v_56_SORPswitch</vt:lpstr>
      <vt:lpstr>v_56_SP_B</vt:lpstr>
      <vt:lpstr>v_56_SPFOA</vt:lpstr>
      <vt:lpstr>v_56_SPFOS</vt:lpstr>
      <vt:lpstr>v_56_SPO4</vt:lpstr>
      <vt:lpstr>v_56_SU</vt:lpstr>
      <vt:lpstr>v_56_SVFA</vt:lpstr>
      <vt:lpstr>v_56_XACP</vt:lpstr>
      <vt:lpstr>v_56_XAHO</vt:lpstr>
      <vt:lpstr>v_56_XALGAE</vt:lpstr>
      <vt:lpstr>v_56_XAMETO</vt:lpstr>
      <vt:lpstr>v_56_XAMX</vt:lpstr>
      <vt:lpstr>v_56_XAOB</vt:lpstr>
      <vt:lpstr>v_56_XB</vt:lpstr>
      <vt:lpstr>v_56_XB_e</vt:lpstr>
      <vt:lpstr>v_56_XBSH</vt:lpstr>
      <vt:lpstr>v_56_XCaCO3</vt:lpstr>
      <vt:lpstr>v_56_XCASTO</vt:lpstr>
      <vt:lpstr>v_56_XE</vt:lpstr>
      <vt:lpstr>v_56_XE_ana</vt:lpstr>
      <vt:lpstr>v_56_XHAO_H</vt:lpstr>
      <vt:lpstr>v_56_XHAO_H_P</vt:lpstr>
      <vt:lpstr>v_56_XHAO_H_P_old</vt:lpstr>
      <vt:lpstr>v_56_XHAO_L</vt:lpstr>
      <vt:lpstr>v_56_XHAO_L_P</vt:lpstr>
      <vt:lpstr>v_56_XHAO_L_P_old</vt:lpstr>
      <vt:lpstr>v_56_XHAO_old</vt:lpstr>
      <vt:lpstr>v_56_XHFO_H</vt:lpstr>
      <vt:lpstr>v_56_XHFO_H_P</vt:lpstr>
      <vt:lpstr>v_56_XHFO_H_P_old</vt:lpstr>
      <vt:lpstr>v_56_XHFO_L</vt:lpstr>
      <vt:lpstr>v_56_XHFO_L_P</vt:lpstr>
      <vt:lpstr>v_56_XHFO_L_P_old</vt:lpstr>
      <vt:lpstr>v_56_XHFO_old</vt:lpstr>
      <vt:lpstr>v_56_XHMETO</vt:lpstr>
      <vt:lpstr>v_56_XINORG</vt:lpstr>
      <vt:lpstr>v_56_XMEOLO</vt:lpstr>
      <vt:lpstr>v_56_XN_B</vt:lpstr>
      <vt:lpstr>v_56_XN_Be</vt:lpstr>
      <vt:lpstr>v_56_XN_U</vt:lpstr>
      <vt:lpstr>v_56_XNOB</vt:lpstr>
      <vt:lpstr>v_56_XOHO</vt:lpstr>
      <vt:lpstr>v_56_XP_B</vt:lpstr>
      <vt:lpstr>v_56_XP_Be</vt:lpstr>
      <vt:lpstr>v_56_XP_U</vt:lpstr>
      <vt:lpstr>v_56_XPFOA</vt:lpstr>
      <vt:lpstr>v_56_XPFOS</vt:lpstr>
      <vt:lpstr>v_56_XPHA_GAO</vt:lpstr>
      <vt:lpstr>v_56_XPHA_PAO</vt:lpstr>
      <vt:lpstr>v_56_XPP</vt:lpstr>
      <vt:lpstr>v_56_XSTO</vt:lpstr>
      <vt:lpstr>v_56_XSTR</vt:lpstr>
      <vt:lpstr>v_56_XU</vt:lpstr>
      <vt:lpstr>v_56_XVivi</vt:lpstr>
      <vt:lpstr>v_57_CB</vt:lpstr>
      <vt:lpstr>v_57_CU</vt:lpstr>
      <vt:lpstr>v_57_GCH4</vt:lpstr>
      <vt:lpstr>v_57_GCH4_atm</vt:lpstr>
      <vt:lpstr>v_57_GCO2</vt:lpstr>
      <vt:lpstr>v_57_GCO2_atm</vt:lpstr>
      <vt:lpstr>v_57_GH2</vt:lpstr>
      <vt:lpstr>v_57_GH2_atm</vt:lpstr>
      <vt:lpstr>v_57_GN2</vt:lpstr>
      <vt:lpstr>v_57_GN2_atm</vt:lpstr>
      <vt:lpstr>v_57_GNH3</vt:lpstr>
      <vt:lpstr>v_57_GNH3_atm</vt:lpstr>
      <vt:lpstr>v_57_GO2</vt:lpstr>
      <vt:lpstr>v_57_GO2_atm</vt:lpstr>
      <vt:lpstr>v_57_SALPHA</vt:lpstr>
      <vt:lpstr>v_57_SAN</vt:lpstr>
      <vt:lpstr>v_57_SB_mono</vt:lpstr>
      <vt:lpstr>v_57_SB_poly</vt:lpstr>
      <vt:lpstr>v_57_SCa</vt:lpstr>
      <vt:lpstr>v_57_SCAT</vt:lpstr>
      <vt:lpstr>v_57_SCH4</vt:lpstr>
      <vt:lpstr>v_57_SCO2</vt:lpstr>
      <vt:lpstr>v_57_SFe2</vt:lpstr>
      <vt:lpstr>v_57_SH</vt:lpstr>
      <vt:lpstr>v_57_SH2</vt:lpstr>
      <vt:lpstr>v_57_SK</vt:lpstr>
      <vt:lpstr>v_57_SMEOL</vt:lpstr>
      <vt:lpstr>v_57_SMg</vt:lpstr>
      <vt:lpstr>v_57_SN_B</vt:lpstr>
      <vt:lpstr>v_57_SN2</vt:lpstr>
      <vt:lpstr>v_57_SNHx</vt:lpstr>
      <vt:lpstr>v_57_SNO2</vt:lpstr>
      <vt:lpstr>v_57_SNO3</vt:lpstr>
      <vt:lpstr>v_57_SO2</vt:lpstr>
      <vt:lpstr>v_57_SORPswitch</vt:lpstr>
      <vt:lpstr>v_57_SP_B</vt:lpstr>
      <vt:lpstr>v_57_SPFOA</vt:lpstr>
      <vt:lpstr>v_57_SPFOS</vt:lpstr>
      <vt:lpstr>v_57_SPO4</vt:lpstr>
      <vt:lpstr>v_57_SU</vt:lpstr>
      <vt:lpstr>v_57_SVFA</vt:lpstr>
      <vt:lpstr>v_57_XACP</vt:lpstr>
      <vt:lpstr>v_57_XAHO</vt:lpstr>
      <vt:lpstr>v_57_XALGAE</vt:lpstr>
      <vt:lpstr>v_57_XAMETO</vt:lpstr>
      <vt:lpstr>v_57_XAMX</vt:lpstr>
      <vt:lpstr>v_57_XAOB</vt:lpstr>
      <vt:lpstr>v_57_XB</vt:lpstr>
      <vt:lpstr>v_57_XB_e</vt:lpstr>
      <vt:lpstr>v_57_XBSH</vt:lpstr>
      <vt:lpstr>v_57_XCaCO3</vt:lpstr>
      <vt:lpstr>v_57_XCASTO</vt:lpstr>
      <vt:lpstr>v_57_XE</vt:lpstr>
      <vt:lpstr>v_57_XE_ana</vt:lpstr>
      <vt:lpstr>v_57_XHAO_H</vt:lpstr>
      <vt:lpstr>v_57_XHAO_H_P</vt:lpstr>
      <vt:lpstr>v_57_XHAO_H_P_old</vt:lpstr>
      <vt:lpstr>v_57_XHAO_L</vt:lpstr>
      <vt:lpstr>v_57_XHAO_L_P</vt:lpstr>
      <vt:lpstr>v_57_XHAO_L_P_old</vt:lpstr>
      <vt:lpstr>v_57_XHAO_old</vt:lpstr>
      <vt:lpstr>v_57_XHFO_H</vt:lpstr>
      <vt:lpstr>v_57_XHFO_H_P</vt:lpstr>
      <vt:lpstr>v_57_XHFO_H_P_old</vt:lpstr>
      <vt:lpstr>v_57_XHFO_L</vt:lpstr>
      <vt:lpstr>v_57_XHFO_L_P</vt:lpstr>
      <vt:lpstr>v_57_XHFO_L_P_old</vt:lpstr>
      <vt:lpstr>v_57_XHFO_old</vt:lpstr>
      <vt:lpstr>v_57_XHMETO</vt:lpstr>
      <vt:lpstr>v_57_XINORG</vt:lpstr>
      <vt:lpstr>v_57_XMEOLO</vt:lpstr>
      <vt:lpstr>v_57_XN_B</vt:lpstr>
      <vt:lpstr>v_57_XN_Be</vt:lpstr>
      <vt:lpstr>v_57_XN_U</vt:lpstr>
      <vt:lpstr>v_57_XNOB</vt:lpstr>
      <vt:lpstr>v_57_XOHO</vt:lpstr>
      <vt:lpstr>v_57_XP_B</vt:lpstr>
      <vt:lpstr>v_57_XP_Be</vt:lpstr>
      <vt:lpstr>v_57_XP_U</vt:lpstr>
      <vt:lpstr>v_57_XPFOA</vt:lpstr>
      <vt:lpstr>v_57_XPFOS</vt:lpstr>
      <vt:lpstr>v_57_XPHA_GAO</vt:lpstr>
      <vt:lpstr>v_57_XPHA_PAO</vt:lpstr>
      <vt:lpstr>v_57_XPP</vt:lpstr>
      <vt:lpstr>v_57_XSTO</vt:lpstr>
      <vt:lpstr>v_57_XSTR</vt:lpstr>
      <vt:lpstr>v_57_XU</vt:lpstr>
      <vt:lpstr>v_57_XVivi</vt:lpstr>
      <vt:lpstr>v_58_CB</vt:lpstr>
      <vt:lpstr>v_58_CU</vt:lpstr>
      <vt:lpstr>v_58_GCH4</vt:lpstr>
      <vt:lpstr>v_58_GCH4_atm</vt:lpstr>
      <vt:lpstr>v_58_GCO2</vt:lpstr>
      <vt:lpstr>v_58_GCO2_atm</vt:lpstr>
      <vt:lpstr>v_58_GH2</vt:lpstr>
      <vt:lpstr>v_58_GH2_atm</vt:lpstr>
      <vt:lpstr>v_58_GN2</vt:lpstr>
      <vt:lpstr>v_58_GN2_atm</vt:lpstr>
      <vt:lpstr>v_58_GNH3</vt:lpstr>
      <vt:lpstr>v_58_GNH3_atm</vt:lpstr>
      <vt:lpstr>v_58_GO2</vt:lpstr>
      <vt:lpstr>v_58_GO2_atm</vt:lpstr>
      <vt:lpstr>v_58_SALPHA</vt:lpstr>
      <vt:lpstr>v_58_SAN</vt:lpstr>
      <vt:lpstr>v_58_SB_mono</vt:lpstr>
      <vt:lpstr>v_58_SB_poly</vt:lpstr>
      <vt:lpstr>v_58_SCa</vt:lpstr>
      <vt:lpstr>v_58_SCAT</vt:lpstr>
      <vt:lpstr>v_58_SCH4</vt:lpstr>
      <vt:lpstr>v_58_SCO2</vt:lpstr>
      <vt:lpstr>v_58_SFe2</vt:lpstr>
      <vt:lpstr>v_58_SH</vt:lpstr>
      <vt:lpstr>v_58_SH2</vt:lpstr>
      <vt:lpstr>v_58_SK</vt:lpstr>
      <vt:lpstr>v_58_SMEOL</vt:lpstr>
      <vt:lpstr>v_58_SMg</vt:lpstr>
      <vt:lpstr>v_58_SN_B</vt:lpstr>
      <vt:lpstr>v_58_SN2</vt:lpstr>
      <vt:lpstr>v_58_SNHx</vt:lpstr>
      <vt:lpstr>v_58_SNO2</vt:lpstr>
      <vt:lpstr>v_58_SNO3</vt:lpstr>
      <vt:lpstr>v_58_SO2</vt:lpstr>
      <vt:lpstr>v_58_SORPswitch</vt:lpstr>
      <vt:lpstr>v_58_SP_B</vt:lpstr>
      <vt:lpstr>v_58_SPFOA</vt:lpstr>
      <vt:lpstr>v_58_SPFOS</vt:lpstr>
      <vt:lpstr>v_58_SPO4</vt:lpstr>
      <vt:lpstr>v_58_SU</vt:lpstr>
      <vt:lpstr>v_58_SVFA</vt:lpstr>
      <vt:lpstr>v_58_XACP</vt:lpstr>
      <vt:lpstr>v_58_XAHO</vt:lpstr>
      <vt:lpstr>v_58_XALGAE</vt:lpstr>
      <vt:lpstr>v_58_XAMETO</vt:lpstr>
      <vt:lpstr>v_58_XAMX</vt:lpstr>
      <vt:lpstr>v_58_XAOB</vt:lpstr>
      <vt:lpstr>v_58_XB</vt:lpstr>
      <vt:lpstr>v_58_XB_e</vt:lpstr>
      <vt:lpstr>v_58_XBSH</vt:lpstr>
      <vt:lpstr>v_58_XCaCO3</vt:lpstr>
      <vt:lpstr>v_58_XCASTO</vt:lpstr>
      <vt:lpstr>v_58_XE</vt:lpstr>
      <vt:lpstr>v_58_XE_ana</vt:lpstr>
      <vt:lpstr>v_58_XHAO_H</vt:lpstr>
      <vt:lpstr>v_58_XHAO_H_P</vt:lpstr>
      <vt:lpstr>v_58_XHAO_H_P_old</vt:lpstr>
      <vt:lpstr>v_58_XHAO_L</vt:lpstr>
      <vt:lpstr>v_58_XHAO_L_P</vt:lpstr>
      <vt:lpstr>v_58_XHAO_L_P_old</vt:lpstr>
      <vt:lpstr>v_58_XHAO_old</vt:lpstr>
      <vt:lpstr>v_58_XHFO_H</vt:lpstr>
      <vt:lpstr>v_58_XHFO_H_P</vt:lpstr>
      <vt:lpstr>v_58_XHFO_H_P_old</vt:lpstr>
      <vt:lpstr>v_58_XHFO_L</vt:lpstr>
      <vt:lpstr>v_58_XHFO_L_P</vt:lpstr>
      <vt:lpstr>v_58_XHFO_L_P_old</vt:lpstr>
      <vt:lpstr>v_58_XHFO_old</vt:lpstr>
      <vt:lpstr>v_58_XHMETO</vt:lpstr>
      <vt:lpstr>v_58_XINORG</vt:lpstr>
      <vt:lpstr>v_58_XMEOLO</vt:lpstr>
      <vt:lpstr>v_58_XN_B</vt:lpstr>
      <vt:lpstr>v_58_XN_Be</vt:lpstr>
      <vt:lpstr>v_58_XN_U</vt:lpstr>
      <vt:lpstr>v_58_XNOB</vt:lpstr>
      <vt:lpstr>v_58_XOHO</vt:lpstr>
      <vt:lpstr>v_58_XP_B</vt:lpstr>
      <vt:lpstr>v_58_XP_Be</vt:lpstr>
      <vt:lpstr>v_58_XP_U</vt:lpstr>
      <vt:lpstr>v_58_XPFOA</vt:lpstr>
      <vt:lpstr>v_58_XPFOS</vt:lpstr>
      <vt:lpstr>v_58_XPHA_GAO</vt:lpstr>
      <vt:lpstr>v_58_XPHA_PAO</vt:lpstr>
      <vt:lpstr>v_58_XPP</vt:lpstr>
      <vt:lpstr>v_58_XSTO</vt:lpstr>
      <vt:lpstr>v_58_XSTR</vt:lpstr>
      <vt:lpstr>v_58_XU</vt:lpstr>
      <vt:lpstr>v_58_XVivi</vt:lpstr>
      <vt:lpstr>v_59_CB</vt:lpstr>
      <vt:lpstr>v_59_CU</vt:lpstr>
      <vt:lpstr>v_59_GCH4</vt:lpstr>
      <vt:lpstr>v_59_GCH4_atm</vt:lpstr>
      <vt:lpstr>v_59_GCO2</vt:lpstr>
      <vt:lpstr>v_59_GCO2_atm</vt:lpstr>
      <vt:lpstr>v_59_GH2</vt:lpstr>
      <vt:lpstr>v_59_GH2_atm</vt:lpstr>
      <vt:lpstr>v_59_GN2</vt:lpstr>
      <vt:lpstr>v_59_GN2_atm</vt:lpstr>
      <vt:lpstr>v_59_GNH3</vt:lpstr>
      <vt:lpstr>v_59_GNH3_atm</vt:lpstr>
      <vt:lpstr>v_59_GO2</vt:lpstr>
      <vt:lpstr>v_59_GO2_atm</vt:lpstr>
      <vt:lpstr>v_59_SALPHA</vt:lpstr>
      <vt:lpstr>v_59_SAN</vt:lpstr>
      <vt:lpstr>v_59_SB_mono</vt:lpstr>
      <vt:lpstr>v_59_SB_poly</vt:lpstr>
      <vt:lpstr>v_59_SCa</vt:lpstr>
      <vt:lpstr>v_59_SCAT</vt:lpstr>
      <vt:lpstr>v_59_SCH4</vt:lpstr>
      <vt:lpstr>v_59_SCO2</vt:lpstr>
      <vt:lpstr>v_59_SFe2</vt:lpstr>
      <vt:lpstr>v_59_SH</vt:lpstr>
      <vt:lpstr>v_59_SH2</vt:lpstr>
      <vt:lpstr>v_59_SK</vt:lpstr>
      <vt:lpstr>v_59_SMEOL</vt:lpstr>
      <vt:lpstr>v_59_SMg</vt:lpstr>
      <vt:lpstr>v_59_SN_B</vt:lpstr>
      <vt:lpstr>v_59_SN2</vt:lpstr>
      <vt:lpstr>v_59_SNHx</vt:lpstr>
      <vt:lpstr>v_59_SNO2</vt:lpstr>
      <vt:lpstr>v_59_SNO3</vt:lpstr>
      <vt:lpstr>v_59_SO2</vt:lpstr>
      <vt:lpstr>v_59_SORPswitch</vt:lpstr>
      <vt:lpstr>v_59_SP_B</vt:lpstr>
      <vt:lpstr>v_59_SPFOA</vt:lpstr>
      <vt:lpstr>v_59_SPFOS</vt:lpstr>
      <vt:lpstr>v_59_SPO4</vt:lpstr>
      <vt:lpstr>v_59_SU</vt:lpstr>
      <vt:lpstr>v_59_SVFA</vt:lpstr>
      <vt:lpstr>v_59_XACP</vt:lpstr>
      <vt:lpstr>v_59_XAHO</vt:lpstr>
      <vt:lpstr>v_59_XALGAE</vt:lpstr>
      <vt:lpstr>v_59_XAMETO</vt:lpstr>
      <vt:lpstr>v_59_XAMX</vt:lpstr>
      <vt:lpstr>v_59_XAOB</vt:lpstr>
      <vt:lpstr>v_59_XB</vt:lpstr>
      <vt:lpstr>v_59_XB_e</vt:lpstr>
      <vt:lpstr>v_59_XBSH</vt:lpstr>
      <vt:lpstr>v_59_XCaCO3</vt:lpstr>
      <vt:lpstr>v_59_XCASTO</vt:lpstr>
      <vt:lpstr>v_59_XE</vt:lpstr>
      <vt:lpstr>v_59_XE_ana</vt:lpstr>
      <vt:lpstr>v_59_XHAO_H</vt:lpstr>
      <vt:lpstr>v_59_XHAO_H_P</vt:lpstr>
      <vt:lpstr>v_59_XHAO_H_P_old</vt:lpstr>
      <vt:lpstr>v_59_XHAO_L</vt:lpstr>
      <vt:lpstr>v_59_XHAO_L_P</vt:lpstr>
      <vt:lpstr>v_59_XHAO_L_P_old</vt:lpstr>
      <vt:lpstr>v_59_XHAO_old</vt:lpstr>
      <vt:lpstr>v_59_XHFO_H</vt:lpstr>
      <vt:lpstr>v_59_XHFO_H_P</vt:lpstr>
      <vt:lpstr>v_59_XHFO_H_P_old</vt:lpstr>
      <vt:lpstr>v_59_XHFO_L</vt:lpstr>
      <vt:lpstr>v_59_XHFO_L_P</vt:lpstr>
      <vt:lpstr>v_59_XHFO_L_P_old</vt:lpstr>
      <vt:lpstr>v_59_XHFO_old</vt:lpstr>
      <vt:lpstr>v_59_XHMETO</vt:lpstr>
      <vt:lpstr>v_59_XINORG</vt:lpstr>
      <vt:lpstr>v_59_XMEOLO</vt:lpstr>
      <vt:lpstr>v_59_XN_B</vt:lpstr>
      <vt:lpstr>v_59_XN_Be</vt:lpstr>
      <vt:lpstr>v_59_XN_U</vt:lpstr>
      <vt:lpstr>v_59_XNOB</vt:lpstr>
      <vt:lpstr>v_59_XOHO</vt:lpstr>
      <vt:lpstr>v_59_XP_B</vt:lpstr>
      <vt:lpstr>v_59_XP_Be</vt:lpstr>
      <vt:lpstr>v_59_XP_U</vt:lpstr>
      <vt:lpstr>v_59_XPFOA</vt:lpstr>
      <vt:lpstr>v_59_XPFOS</vt:lpstr>
      <vt:lpstr>v_59_XPHA_GAO</vt:lpstr>
      <vt:lpstr>v_59_XPHA_PAO</vt:lpstr>
      <vt:lpstr>v_59_XPP</vt:lpstr>
      <vt:lpstr>v_59_XSTO</vt:lpstr>
      <vt:lpstr>v_59_XSTR</vt:lpstr>
      <vt:lpstr>v_59_XU</vt:lpstr>
      <vt:lpstr>v_59_XVivi</vt:lpstr>
      <vt:lpstr>v_6_CB</vt:lpstr>
      <vt:lpstr>v_6_CU</vt:lpstr>
      <vt:lpstr>v_6_GCH4</vt:lpstr>
      <vt:lpstr>v_6_GCH4_atm</vt:lpstr>
      <vt:lpstr>v_6_GCO2</vt:lpstr>
      <vt:lpstr>v_6_GCO2_atm</vt:lpstr>
      <vt:lpstr>v_6_GH2</vt:lpstr>
      <vt:lpstr>v_6_GH2_atm</vt:lpstr>
      <vt:lpstr>v_6_GN2</vt:lpstr>
      <vt:lpstr>v_6_GN2_atm</vt:lpstr>
      <vt:lpstr>v_6_GNH3</vt:lpstr>
      <vt:lpstr>v_6_GNH3_atm</vt:lpstr>
      <vt:lpstr>v_6_GO2</vt:lpstr>
      <vt:lpstr>v_6_GO2_atm</vt:lpstr>
      <vt:lpstr>v_6_SALPHA</vt:lpstr>
      <vt:lpstr>v_6_SAN</vt:lpstr>
      <vt:lpstr>v_6_SB_mono</vt:lpstr>
      <vt:lpstr>v_6_SB_poly</vt:lpstr>
      <vt:lpstr>v_6_SCa</vt:lpstr>
      <vt:lpstr>v_6_SCAT</vt:lpstr>
      <vt:lpstr>v_6_SCH4</vt:lpstr>
      <vt:lpstr>v_6_SCO2</vt:lpstr>
      <vt:lpstr>v_6_SFe2</vt:lpstr>
      <vt:lpstr>v_6_SH</vt:lpstr>
      <vt:lpstr>v_6_SH2</vt:lpstr>
      <vt:lpstr>v_6_SK</vt:lpstr>
      <vt:lpstr>v_6_SMEOL</vt:lpstr>
      <vt:lpstr>v_6_SMg</vt:lpstr>
      <vt:lpstr>v_6_SN_B</vt:lpstr>
      <vt:lpstr>v_6_SN2</vt:lpstr>
      <vt:lpstr>v_6_SNHx</vt:lpstr>
      <vt:lpstr>v_6_SNO2</vt:lpstr>
      <vt:lpstr>v_6_SNO3</vt:lpstr>
      <vt:lpstr>v_6_SO2</vt:lpstr>
      <vt:lpstr>v_6_SORPswitch</vt:lpstr>
      <vt:lpstr>v_6_SP_B</vt:lpstr>
      <vt:lpstr>v_6_SPFOA</vt:lpstr>
      <vt:lpstr>v_6_SPFOS</vt:lpstr>
      <vt:lpstr>v_6_SPO4</vt:lpstr>
      <vt:lpstr>v_6_SU</vt:lpstr>
      <vt:lpstr>v_6_SVFA</vt:lpstr>
      <vt:lpstr>v_6_XACP</vt:lpstr>
      <vt:lpstr>v_6_XAHO</vt:lpstr>
      <vt:lpstr>v_6_XALGAE</vt:lpstr>
      <vt:lpstr>v_6_XAMETO</vt:lpstr>
      <vt:lpstr>v_6_XAMX</vt:lpstr>
      <vt:lpstr>v_6_XAOB</vt:lpstr>
      <vt:lpstr>v_6_XB</vt:lpstr>
      <vt:lpstr>v_6_XB_e</vt:lpstr>
      <vt:lpstr>v_6_XBSH</vt:lpstr>
      <vt:lpstr>v_6_XCaCO3</vt:lpstr>
      <vt:lpstr>v_6_XCASTO</vt:lpstr>
      <vt:lpstr>v_6_XE</vt:lpstr>
      <vt:lpstr>v_6_XE_ana</vt:lpstr>
      <vt:lpstr>v_6_XHAO_H</vt:lpstr>
      <vt:lpstr>v_6_XHAO_H_P</vt:lpstr>
      <vt:lpstr>v_6_XHAO_H_P_old</vt:lpstr>
      <vt:lpstr>v_6_XHAO_L</vt:lpstr>
      <vt:lpstr>v_6_XHAO_L_P</vt:lpstr>
      <vt:lpstr>v_6_XHAO_L_P_old</vt:lpstr>
      <vt:lpstr>v_6_XHAO_old</vt:lpstr>
      <vt:lpstr>v_6_XHFO_H</vt:lpstr>
      <vt:lpstr>v_6_XHFO_H_P</vt:lpstr>
      <vt:lpstr>v_6_XHFO_H_P_old</vt:lpstr>
      <vt:lpstr>v_6_XHFO_L</vt:lpstr>
      <vt:lpstr>v_6_XHFO_L_P</vt:lpstr>
      <vt:lpstr>v_6_XHFO_L_P_old</vt:lpstr>
      <vt:lpstr>v_6_XHFO_old</vt:lpstr>
      <vt:lpstr>v_6_XHMETO</vt:lpstr>
      <vt:lpstr>v_6_XINORG</vt:lpstr>
      <vt:lpstr>v_6_XMEOLO</vt:lpstr>
      <vt:lpstr>v_6_XN_B</vt:lpstr>
      <vt:lpstr>v_6_XN_Be</vt:lpstr>
      <vt:lpstr>v_6_XN_U</vt:lpstr>
      <vt:lpstr>v_6_XNOB</vt:lpstr>
      <vt:lpstr>v_6_XOHO</vt:lpstr>
      <vt:lpstr>v_6_XP_B</vt:lpstr>
      <vt:lpstr>v_6_XP_Be</vt:lpstr>
      <vt:lpstr>v_6_XP_U</vt:lpstr>
      <vt:lpstr>v_6_XPFOA</vt:lpstr>
      <vt:lpstr>v_6_XPFOS</vt:lpstr>
      <vt:lpstr>v_6_XPHA_GAO</vt:lpstr>
      <vt:lpstr>v_6_XPHA_PAO</vt:lpstr>
      <vt:lpstr>v_6_XPP</vt:lpstr>
      <vt:lpstr>v_6_XSTO</vt:lpstr>
      <vt:lpstr>v_6_XSTR</vt:lpstr>
      <vt:lpstr>v_6_XU</vt:lpstr>
      <vt:lpstr>v_6_XVivi</vt:lpstr>
      <vt:lpstr>v_60_CB</vt:lpstr>
      <vt:lpstr>v_60_CU</vt:lpstr>
      <vt:lpstr>v_60_GCH4</vt:lpstr>
      <vt:lpstr>v_60_GCH4_atm</vt:lpstr>
      <vt:lpstr>v_60_GCO2</vt:lpstr>
      <vt:lpstr>v_60_GCO2_atm</vt:lpstr>
      <vt:lpstr>v_60_GH2</vt:lpstr>
      <vt:lpstr>v_60_GH2_atm</vt:lpstr>
      <vt:lpstr>v_60_GN2</vt:lpstr>
      <vt:lpstr>v_60_GN2_atm</vt:lpstr>
      <vt:lpstr>v_60_GNH3</vt:lpstr>
      <vt:lpstr>v_60_GNH3_atm</vt:lpstr>
      <vt:lpstr>v_60_GO2</vt:lpstr>
      <vt:lpstr>v_60_GO2_atm</vt:lpstr>
      <vt:lpstr>v_60_SALPHA</vt:lpstr>
      <vt:lpstr>v_60_SAN</vt:lpstr>
      <vt:lpstr>v_60_SB_mono</vt:lpstr>
      <vt:lpstr>v_60_SB_poly</vt:lpstr>
      <vt:lpstr>v_60_SCa</vt:lpstr>
      <vt:lpstr>v_60_SCAT</vt:lpstr>
      <vt:lpstr>v_60_SCH4</vt:lpstr>
      <vt:lpstr>v_60_SCO2</vt:lpstr>
      <vt:lpstr>v_60_SFe2</vt:lpstr>
      <vt:lpstr>v_60_SH</vt:lpstr>
      <vt:lpstr>v_60_SH2</vt:lpstr>
      <vt:lpstr>v_60_SK</vt:lpstr>
      <vt:lpstr>v_60_SMEOL</vt:lpstr>
      <vt:lpstr>v_60_SMg</vt:lpstr>
      <vt:lpstr>v_60_SN_B</vt:lpstr>
      <vt:lpstr>v_60_SN2</vt:lpstr>
      <vt:lpstr>v_60_SNHx</vt:lpstr>
      <vt:lpstr>v_60_SNO2</vt:lpstr>
      <vt:lpstr>v_60_SNO3</vt:lpstr>
      <vt:lpstr>v_60_SO2</vt:lpstr>
      <vt:lpstr>v_60_SORPswitch</vt:lpstr>
      <vt:lpstr>v_60_SP_B</vt:lpstr>
      <vt:lpstr>v_60_SPFOA</vt:lpstr>
      <vt:lpstr>v_60_SPFOS</vt:lpstr>
      <vt:lpstr>v_60_SPO4</vt:lpstr>
      <vt:lpstr>v_60_SU</vt:lpstr>
      <vt:lpstr>v_60_SVFA</vt:lpstr>
      <vt:lpstr>v_60_XACP</vt:lpstr>
      <vt:lpstr>v_60_XAHO</vt:lpstr>
      <vt:lpstr>v_60_XALGAE</vt:lpstr>
      <vt:lpstr>v_60_XAMETO</vt:lpstr>
      <vt:lpstr>v_60_XAMX</vt:lpstr>
      <vt:lpstr>v_60_XAOB</vt:lpstr>
      <vt:lpstr>v_60_XB</vt:lpstr>
      <vt:lpstr>v_60_XB_e</vt:lpstr>
      <vt:lpstr>v_60_XBSH</vt:lpstr>
      <vt:lpstr>v_60_XCaCO3</vt:lpstr>
      <vt:lpstr>v_60_XCASTO</vt:lpstr>
      <vt:lpstr>v_60_XE</vt:lpstr>
      <vt:lpstr>v_60_XE_ana</vt:lpstr>
      <vt:lpstr>v_60_XHAO_H</vt:lpstr>
      <vt:lpstr>v_60_XHAO_H_P</vt:lpstr>
      <vt:lpstr>v_60_XHAO_H_P_old</vt:lpstr>
      <vt:lpstr>v_60_XHAO_L</vt:lpstr>
      <vt:lpstr>v_60_XHAO_L_P</vt:lpstr>
      <vt:lpstr>v_60_XHAO_L_P_old</vt:lpstr>
      <vt:lpstr>v_60_XHAO_old</vt:lpstr>
      <vt:lpstr>v_60_XHFO_H</vt:lpstr>
      <vt:lpstr>v_60_XHFO_H_P</vt:lpstr>
      <vt:lpstr>v_60_XHFO_H_P_old</vt:lpstr>
      <vt:lpstr>v_60_XHFO_L</vt:lpstr>
      <vt:lpstr>v_60_XHFO_L_P</vt:lpstr>
      <vt:lpstr>v_60_XHFO_L_P_old</vt:lpstr>
      <vt:lpstr>v_60_XHFO_old</vt:lpstr>
      <vt:lpstr>v_60_XHMETO</vt:lpstr>
      <vt:lpstr>v_60_XINORG</vt:lpstr>
      <vt:lpstr>v_60_XMEOLO</vt:lpstr>
      <vt:lpstr>v_60_XN_B</vt:lpstr>
      <vt:lpstr>v_60_XN_Be</vt:lpstr>
      <vt:lpstr>v_60_XN_U</vt:lpstr>
      <vt:lpstr>v_60_XNOB</vt:lpstr>
      <vt:lpstr>v_60_XOHO</vt:lpstr>
      <vt:lpstr>v_60_XP_B</vt:lpstr>
      <vt:lpstr>v_60_XP_Be</vt:lpstr>
      <vt:lpstr>v_60_XP_U</vt:lpstr>
      <vt:lpstr>v_60_XPFOA</vt:lpstr>
      <vt:lpstr>v_60_XPFOS</vt:lpstr>
      <vt:lpstr>v_60_XPHA_GAO</vt:lpstr>
      <vt:lpstr>v_60_XPHA_PAO</vt:lpstr>
      <vt:lpstr>v_60_XPP</vt:lpstr>
      <vt:lpstr>v_60_XSTO</vt:lpstr>
      <vt:lpstr>v_60_XSTR</vt:lpstr>
      <vt:lpstr>v_60_XU</vt:lpstr>
      <vt:lpstr>v_60_XVivi</vt:lpstr>
      <vt:lpstr>v_61_CB</vt:lpstr>
      <vt:lpstr>v_61_CU</vt:lpstr>
      <vt:lpstr>v_61_GCH4</vt:lpstr>
      <vt:lpstr>v_61_GCH4_atm</vt:lpstr>
      <vt:lpstr>v_61_GCO2</vt:lpstr>
      <vt:lpstr>v_61_GCO2_atm</vt:lpstr>
      <vt:lpstr>v_61_GH2</vt:lpstr>
      <vt:lpstr>v_61_GH2_atm</vt:lpstr>
      <vt:lpstr>v_61_GN2</vt:lpstr>
      <vt:lpstr>v_61_GN2_atm</vt:lpstr>
      <vt:lpstr>v_61_GNH3</vt:lpstr>
      <vt:lpstr>v_61_GNH3_atm</vt:lpstr>
      <vt:lpstr>v_61_GO2</vt:lpstr>
      <vt:lpstr>v_61_GO2_atm</vt:lpstr>
      <vt:lpstr>v_61_SALPHA</vt:lpstr>
      <vt:lpstr>v_61_SAN</vt:lpstr>
      <vt:lpstr>v_61_SB_mono</vt:lpstr>
      <vt:lpstr>v_61_SB_poly</vt:lpstr>
      <vt:lpstr>v_61_SCa</vt:lpstr>
      <vt:lpstr>v_61_SCAT</vt:lpstr>
      <vt:lpstr>v_61_SCH4</vt:lpstr>
      <vt:lpstr>v_61_SCO2</vt:lpstr>
      <vt:lpstr>v_61_SFe2</vt:lpstr>
      <vt:lpstr>v_61_SH</vt:lpstr>
      <vt:lpstr>v_61_SH2</vt:lpstr>
      <vt:lpstr>v_61_SK</vt:lpstr>
      <vt:lpstr>v_61_SMEOL</vt:lpstr>
      <vt:lpstr>v_61_SMg</vt:lpstr>
      <vt:lpstr>v_61_SN_B</vt:lpstr>
      <vt:lpstr>v_61_SN2</vt:lpstr>
      <vt:lpstr>v_61_SNHx</vt:lpstr>
      <vt:lpstr>v_61_SNO2</vt:lpstr>
      <vt:lpstr>v_61_SNO3</vt:lpstr>
      <vt:lpstr>v_61_SO2</vt:lpstr>
      <vt:lpstr>v_61_SORPswitch</vt:lpstr>
      <vt:lpstr>v_61_SP_B</vt:lpstr>
      <vt:lpstr>v_61_SPFOA</vt:lpstr>
      <vt:lpstr>v_61_SPFOS</vt:lpstr>
      <vt:lpstr>v_61_SPO4</vt:lpstr>
      <vt:lpstr>v_61_SU</vt:lpstr>
      <vt:lpstr>v_61_SVFA</vt:lpstr>
      <vt:lpstr>v_61_XACP</vt:lpstr>
      <vt:lpstr>v_61_XAHO</vt:lpstr>
      <vt:lpstr>v_61_XALGAE</vt:lpstr>
      <vt:lpstr>v_61_XAMETO</vt:lpstr>
      <vt:lpstr>v_61_XAMX</vt:lpstr>
      <vt:lpstr>v_61_XAOB</vt:lpstr>
      <vt:lpstr>v_61_XB</vt:lpstr>
      <vt:lpstr>v_61_XB_e</vt:lpstr>
      <vt:lpstr>v_61_XBSH</vt:lpstr>
      <vt:lpstr>v_61_XCaCO3</vt:lpstr>
      <vt:lpstr>v_61_XCASTO</vt:lpstr>
      <vt:lpstr>v_61_XE</vt:lpstr>
      <vt:lpstr>v_61_XE_ana</vt:lpstr>
      <vt:lpstr>v_61_XHAO_H</vt:lpstr>
      <vt:lpstr>v_61_XHAO_H_P</vt:lpstr>
      <vt:lpstr>v_61_XHAO_H_P_old</vt:lpstr>
      <vt:lpstr>v_61_XHAO_L</vt:lpstr>
      <vt:lpstr>v_61_XHAO_L_P</vt:lpstr>
      <vt:lpstr>v_61_XHAO_L_P_old</vt:lpstr>
      <vt:lpstr>v_61_XHAO_old</vt:lpstr>
      <vt:lpstr>v_61_XHFO_H</vt:lpstr>
      <vt:lpstr>v_61_XHFO_H_P</vt:lpstr>
      <vt:lpstr>v_61_XHFO_H_P_old</vt:lpstr>
      <vt:lpstr>v_61_XHFO_L</vt:lpstr>
      <vt:lpstr>v_61_XHFO_L_P</vt:lpstr>
      <vt:lpstr>v_61_XHFO_L_P_old</vt:lpstr>
      <vt:lpstr>v_61_XHFO_old</vt:lpstr>
      <vt:lpstr>v_61_XHMETO</vt:lpstr>
      <vt:lpstr>v_61_XINORG</vt:lpstr>
      <vt:lpstr>v_61_XMEOLO</vt:lpstr>
      <vt:lpstr>v_61_XN_B</vt:lpstr>
      <vt:lpstr>v_61_XN_Be</vt:lpstr>
      <vt:lpstr>v_61_XN_U</vt:lpstr>
      <vt:lpstr>v_61_XNOB</vt:lpstr>
      <vt:lpstr>v_61_XOHO</vt:lpstr>
      <vt:lpstr>v_61_XP_B</vt:lpstr>
      <vt:lpstr>v_61_XP_Be</vt:lpstr>
      <vt:lpstr>v_61_XP_U</vt:lpstr>
      <vt:lpstr>v_61_XPFOA</vt:lpstr>
      <vt:lpstr>v_61_XPFOS</vt:lpstr>
      <vt:lpstr>v_61_XPHA_GAO</vt:lpstr>
      <vt:lpstr>v_61_XPHA_PAO</vt:lpstr>
      <vt:lpstr>v_61_XPP</vt:lpstr>
      <vt:lpstr>v_61_XSTO</vt:lpstr>
      <vt:lpstr>v_61_XSTR</vt:lpstr>
      <vt:lpstr>v_61_XU</vt:lpstr>
      <vt:lpstr>v_61_XVivi</vt:lpstr>
      <vt:lpstr>v_62_CB</vt:lpstr>
      <vt:lpstr>v_62_CU</vt:lpstr>
      <vt:lpstr>v_62_GCH4</vt:lpstr>
      <vt:lpstr>v_62_GCH4_atm</vt:lpstr>
      <vt:lpstr>v_62_GCO2</vt:lpstr>
      <vt:lpstr>v_62_GCO2_atm</vt:lpstr>
      <vt:lpstr>v_62_GH2</vt:lpstr>
      <vt:lpstr>v_62_GH2_atm</vt:lpstr>
      <vt:lpstr>v_62_GN2</vt:lpstr>
      <vt:lpstr>v_62_GN2_atm</vt:lpstr>
      <vt:lpstr>v_62_GNH3</vt:lpstr>
      <vt:lpstr>v_62_GNH3_atm</vt:lpstr>
      <vt:lpstr>v_62_GO2</vt:lpstr>
      <vt:lpstr>v_62_GO2_atm</vt:lpstr>
      <vt:lpstr>v_62_SALPHA</vt:lpstr>
      <vt:lpstr>v_62_SAN</vt:lpstr>
      <vt:lpstr>v_62_SB_mono</vt:lpstr>
      <vt:lpstr>v_62_SB_poly</vt:lpstr>
      <vt:lpstr>v_62_SCa</vt:lpstr>
      <vt:lpstr>v_62_SCAT</vt:lpstr>
      <vt:lpstr>v_62_SCH4</vt:lpstr>
      <vt:lpstr>v_62_SCO2</vt:lpstr>
      <vt:lpstr>v_62_SFe2</vt:lpstr>
      <vt:lpstr>v_62_SH</vt:lpstr>
      <vt:lpstr>v_62_SH2</vt:lpstr>
      <vt:lpstr>v_62_SK</vt:lpstr>
      <vt:lpstr>v_62_SMEOL</vt:lpstr>
      <vt:lpstr>v_62_SMg</vt:lpstr>
      <vt:lpstr>v_62_SN_B</vt:lpstr>
      <vt:lpstr>v_62_SN2</vt:lpstr>
      <vt:lpstr>v_62_SNHx</vt:lpstr>
      <vt:lpstr>v_62_SNO2</vt:lpstr>
      <vt:lpstr>v_62_SNO3</vt:lpstr>
      <vt:lpstr>v_62_SO2</vt:lpstr>
      <vt:lpstr>v_62_SORPswitch</vt:lpstr>
      <vt:lpstr>v_62_SP_B</vt:lpstr>
      <vt:lpstr>v_62_SPFOA</vt:lpstr>
      <vt:lpstr>v_62_SPFOS</vt:lpstr>
      <vt:lpstr>v_62_SPO4</vt:lpstr>
      <vt:lpstr>v_62_SU</vt:lpstr>
      <vt:lpstr>v_62_SVFA</vt:lpstr>
      <vt:lpstr>v_62_XACP</vt:lpstr>
      <vt:lpstr>v_62_XAHO</vt:lpstr>
      <vt:lpstr>v_62_XALGAE</vt:lpstr>
      <vt:lpstr>v_62_XAMETO</vt:lpstr>
      <vt:lpstr>v_62_XAMX</vt:lpstr>
      <vt:lpstr>v_62_XAOB</vt:lpstr>
      <vt:lpstr>v_62_XB</vt:lpstr>
      <vt:lpstr>v_62_XB_e</vt:lpstr>
      <vt:lpstr>v_62_XBSH</vt:lpstr>
      <vt:lpstr>v_62_XCaCO3</vt:lpstr>
      <vt:lpstr>v_62_XCASTO</vt:lpstr>
      <vt:lpstr>v_62_XE</vt:lpstr>
      <vt:lpstr>v_62_XE_ana</vt:lpstr>
      <vt:lpstr>v_62_XHAO_H</vt:lpstr>
      <vt:lpstr>v_62_XHAO_H_P</vt:lpstr>
      <vt:lpstr>v_62_XHAO_H_P_old</vt:lpstr>
      <vt:lpstr>v_62_XHAO_L</vt:lpstr>
      <vt:lpstr>v_62_XHAO_L_P</vt:lpstr>
      <vt:lpstr>v_62_XHAO_L_P_old</vt:lpstr>
      <vt:lpstr>v_62_XHAO_old</vt:lpstr>
      <vt:lpstr>v_62_XHFO_H</vt:lpstr>
      <vt:lpstr>v_62_XHFO_H_P</vt:lpstr>
      <vt:lpstr>v_62_XHFO_H_P_old</vt:lpstr>
      <vt:lpstr>v_62_XHFO_L</vt:lpstr>
      <vt:lpstr>v_62_XHFO_L_P</vt:lpstr>
      <vt:lpstr>v_62_XHFO_L_P_old</vt:lpstr>
      <vt:lpstr>v_62_XHFO_old</vt:lpstr>
      <vt:lpstr>v_62_XHMETO</vt:lpstr>
      <vt:lpstr>v_62_XINORG</vt:lpstr>
      <vt:lpstr>v_62_XMEOLO</vt:lpstr>
      <vt:lpstr>v_62_XN_B</vt:lpstr>
      <vt:lpstr>v_62_XN_Be</vt:lpstr>
      <vt:lpstr>v_62_XN_U</vt:lpstr>
      <vt:lpstr>v_62_XNOB</vt:lpstr>
      <vt:lpstr>v_62_XOHO</vt:lpstr>
      <vt:lpstr>v_62_XP_B</vt:lpstr>
      <vt:lpstr>v_62_XP_Be</vt:lpstr>
      <vt:lpstr>v_62_XP_U</vt:lpstr>
      <vt:lpstr>v_62_XPFOA</vt:lpstr>
      <vt:lpstr>v_62_XPFOS</vt:lpstr>
      <vt:lpstr>v_62_XPHA_GAO</vt:lpstr>
      <vt:lpstr>v_62_XPHA_PAO</vt:lpstr>
      <vt:lpstr>v_62_XPP</vt:lpstr>
      <vt:lpstr>v_62_XSTO</vt:lpstr>
      <vt:lpstr>v_62_XSTR</vt:lpstr>
      <vt:lpstr>v_62_XU</vt:lpstr>
      <vt:lpstr>v_62_XVivi</vt:lpstr>
      <vt:lpstr>v_63_CB</vt:lpstr>
      <vt:lpstr>v_63_CU</vt:lpstr>
      <vt:lpstr>v_63_GCH4</vt:lpstr>
      <vt:lpstr>v_63_GCH4_atm</vt:lpstr>
      <vt:lpstr>v_63_GCO2</vt:lpstr>
      <vt:lpstr>v_63_GCO2_atm</vt:lpstr>
      <vt:lpstr>v_63_GH2</vt:lpstr>
      <vt:lpstr>v_63_GH2_atm</vt:lpstr>
      <vt:lpstr>v_63_GN2</vt:lpstr>
      <vt:lpstr>v_63_GN2_atm</vt:lpstr>
      <vt:lpstr>v_63_GNH3</vt:lpstr>
      <vt:lpstr>v_63_GNH3_atm</vt:lpstr>
      <vt:lpstr>v_63_GO2</vt:lpstr>
      <vt:lpstr>v_63_GO2_atm</vt:lpstr>
      <vt:lpstr>v_63_SALPHA</vt:lpstr>
      <vt:lpstr>v_63_SAN</vt:lpstr>
      <vt:lpstr>v_63_SB_mono</vt:lpstr>
      <vt:lpstr>v_63_SB_poly</vt:lpstr>
      <vt:lpstr>v_63_SCa</vt:lpstr>
      <vt:lpstr>v_63_SCAT</vt:lpstr>
      <vt:lpstr>v_63_SCH4</vt:lpstr>
      <vt:lpstr>v_63_SCO2</vt:lpstr>
      <vt:lpstr>v_63_SFe2</vt:lpstr>
      <vt:lpstr>v_63_SH</vt:lpstr>
      <vt:lpstr>v_63_SH2</vt:lpstr>
      <vt:lpstr>v_63_SK</vt:lpstr>
      <vt:lpstr>v_63_SMEOL</vt:lpstr>
      <vt:lpstr>v_63_SMg</vt:lpstr>
      <vt:lpstr>v_63_SN_B</vt:lpstr>
      <vt:lpstr>v_63_SN2</vt:lpstr>
      <vt:lpstr>v_63_SNHx</vt:lpstr>
      <vt:lpstr>v_63_SNO2</vt:lpstr>
      <vt:lpstr>v_63_SNO3</vt:lpstr>
      <vt:lpstr>v_63_SO2</vt:lpstr>
      <vt:lpstr>v_63_SORPswitch</vt:lpstr>
      <vt:lpstr>v_63_SP_B</vt:lpstr>
      <vt:lpstr>v_63_SPFOA</vt:lpstr>
      <vt:lpstr>v_63_SPFOS</vt:lpstr>
      <vt:lpstr>v_63_SPO4</vt:lpstr>
      <vt:lpstr>v_63_SU</vt:lpstr>
      <vt:lpstr>v_63_SVFA</vt:lpstr>
      <vt:lpstr>v_63_XACP</vt:lpstr>
      <vt:lpstr>v_63_XAHO</vt:lpstr>
      <vt:lpstr>v_63_XALGAE</vt:lpstr>
      <vt:lpstr>v_63_XAMETO</vt:lpstr>
      <vt:lpstr>v_63_XAMX</vt:lpstr>
      <vt:lpstr>v_63_XAOB</vt:lpstr>
      <vt:lpstr>v_63_XB</vt:lpstr>
      <vt:lpstr>v_63_XB_e</vt:lpstr>
      <vt:lpstr>v_63_XBSH</vt:lpstr>
      <vt:lpstr>v_63_XCaCO3</vt:lpstr>
      <vt:lpstr>v_63_XCASTO</vt:lpstr>
      <vt:lpstr>v_63_XE</vt:lpstr>
      <vt:lpstr>v_63_XE_ana</vt:lpstr>
      <vt:lpstr>v_63_XHAO_H</vt:lpstr>
      <vt:lpstr>v_63_XHAO_H_P</vt:lpstr>
      <vt:lpstr>v_63_XHAO_H_P_old</vt:lpstr>
      <vt:lpstr>v_63_XHAO_L</vt:lpstr>
      <vt:lpstr>v_63_XHAO_L_P</vt:lpstr>
      <vt:lpstr>v_63_XHAO_L_P_old</vt:lpstr>
      <vt:lpstr>v_63_XHAO_old</vt:lpstr>
      <vt:lpstr>v_63_XHFO_H</vt:lpstr>
      <vt:lpstr>v_63_XHFO_H_P</vt:lpstr>
      <vt:lpstr>v_63_XHFO_H_P_old</vt:lpstr>
      <vt:lpstr>v_63_XHFO_L</vt:lpstr>
      <vt:lpstr>v_63_XHFO_L_P</vt:lpstr>
      <vt:lpstr>v_63_XHFO_L_P_old</vt:lpstr>
      <vt:lpstr>v_63_XHFO_old</vt:lpstr>
      <vt:lpstr>v_63_XHMETO</vt:lpstr>
      <vt:lpstr>v_63_XINORG</vt:lpstr>
      <vt:lpstr>v_63_XMEOLO</vt:lpstr>
      <vt:lpstr>v_63_XN_B</vt:lpstr>
      <vt:lpstr>v_63_XN_Be</vt:lpstr>
      <vt:lpstr>v_63_XN_U</vt:lpstr>
      <vt:lpstr>v_63_XNOB</vt:lpstr>
      <vt:lpstr>v_63_XOHO</vt:lpstr>
      <vt:lpstr>v_63_XP_B</vt:lpstr>
      <vt:lpstr>v_63_XP_Be</vt:lpstr>
      <vt:lpstr>v_63_XP_U</vt:lpstr>
      <vt:lpstr>v_63_XPFOA</vt:lpstr>
      <vt:lpstr>v_63_XPFOS</vt:lpstr>
      <vt:lpstr>v_63_XPHA_GAO</vt:lpstr>
      <vt:lpstr>v_63_XPHA_PAO</vt:lpstr>
      <vt:lpstr>v_63_XPP</vt:lpstr>
      <vt:lpstr>v_63_XSTO</vt:lpstr>
      <vt:lpstr>v_63_XSTR</vt:lpstr>
      <vt:lpstr>v_63_XU</vt:lpstr>
      <vt:lpstr>v_63_XVivi</vt:lpstr>
      <vt:lpstr>v_64_CB</vt:lpstr>
      <vt:lpstr>v_64_CU</vt:lpstr>
      <vt:lpstr>v_64_GCH4</vt:lpstr>
      <vt:lpstr>v_64_GCH4_atm</vt:lpstr>
      <vt:lpstr>v_64_GCO2</vt:lpstr>
      <vt:lpstr>v_64_GCO2_atm</vt:lpstr>
      <vt:lpstr>v_64_GH2</vt:lpstr>
      <vt:lpstr>v_64_GH2_atm</vt:lpstr>
      <vt:lpstr>v_64_GN2</vt:lpstr>
      <vt:lpstr>v_64_GN2_atm</vt:lpstr>
      <vt:lpstr>v_64_GNH3</vt:lpstr>
      <vt:lpstr>v_64_GNH3_atm</vt:lpstr>
      <vt:lpstr>v_64_GO2</vt:lpstr>
      <vt:lpstr>v_64_GO2_atm</vt:lpstr>
      <vt:lpstr>v_64_SALPHA</vt:lpstr>
      <vt:lpstr>v_64_SAN</vt:lpstr>
      <vt:lpstr>v_64_SB_mono</vt:lpstr>
      <vt:lpstr>v_64_SB_poly</vt:lpstr>
      <vt:lpstr>v_64_SCa</vt:lpstr>
      <vt:lpstr>v_64_SCAT</vt:lpstr>
      <vt:lpstr>v_64_SCH4</vt:lpstr>
      <vt:lpstr>v_64_SCO2</vt:lpstr>
      <vt:lpstr>v_64_SFe2</vt:lpstr>
      <vt:lpstr>v_64_SH</vt:lpstr>
      <vt:lpstr>v_64_SH2</vt:lpstr>
      <vt:lpstr>v_64_SK</vt:lpstr>
      <vt:lpstr>v_64_SMEOL</vt:lpstr>
      <vt:lpstr>v_64_SMg</vt:lpstr>
      <vt:lpstr>v_64_SN_B</vt:lpstr>
      <vt:lpstr>v_64_SN2</vt:lpstr>
      <vt:lpstr>v_64_SNHx</vt:lpstr>
      <vt:lpstr>v_64_SNO2</vt:lpstr>
      <vt:lpstr>v_64_SNO3</vt:lpstr>
      <vt:lpstr>v_64_SO2</vt:lpstr>
      <vt:lpstr>v_64_SORPswitch</vt:lpstr>
      <vt:lpstr>v_64_SP_B</vt:lpstr>
      <vt:lpstr>v_64_SPFOA</vt:lpstr>
      <vt:lpstr>v_64_SPFOS</vt:lpstr>
      <vt:lpstr>v_64_SPO4</vt:lpstr>
      <vt:lpstr>v_64_SU</vt:lpstr>
      <vt:lpstr>v_64_SVFA</vt:lpstr>
      <vt:lpstr>v_64_XACP</vt:lpstr>
      <vt:lpstr>v_64_XAHO</vt:lpstr>
      <vt:lpstr>v_64_XALGAE</vt:lpstr>
      <vt:lpstr>v_64_XAMETO</vt:lpstr>
      <vt:lpstr>v_64_XAMX</vt:lpstr>
      <vt:lpstr>v_64_XAOB</vt:lpstr>
      <vt:lpstr>v_64_XB</vt:lpstr>
      <vt:lpstr>v_64_XB_e</vt:lpstr>
      <vt:lpstr>v_64_XBSH</vt:lpstr>
      <vt:lpstr>v_64_XCaCO3</vt:lpstr>
      <vt:lpstr>v_64_XCASTO</vt:lpstr>
      <vt:lpstr>v_64_XE</vt:lpstr>
      <vt:lpstr>v_64_XE_ana</vt:lpstr>
      <vt:lpstr>v_64_XHAO_H</vt:lpstr>
      <vt:lpstr>v_64_XHAO_H_P</vt:lpstr>
      <vt:lpstr>v_64_XHAO_H_P_old</vt:lpstr>
      <vt:lpstr>v_64_XHAO_L</vt:lpstr>
      <vt:lpstr>v_64_XHAO_L_P</vt:lpstr>
      <vt:lpstr>v_64_XHAO_L_P_old</vt:lpstr>
      <vt:lpstr>v_64_XHAO_old</vt:lpstr>
      <vt:lpstr>v_64_XHFO_H</vt:lpstr>
      <vt:lpstr>v_64_XHFO_H_P</vt:lpstr>
      <vt:lpstr>v_64_XHFO_H_P_old</vt:lpstr>
      <vt:lpstr>v_64_XHFO_L</vt:lpstr>
      <vt:lpstr>v_64_XHFO_L_P</vt:lpstr>
      <vt:lpstr>v_64_XHFO_L_P_old</vt:lpstr>
      <vt:lpstr>v_64_XHFO_old</vt:lpstr>
      <vt:lpstr>v_64_XHMETO</vt:lpstr>
      <vt:lpstr>v_64_XINORG</vt:lpstr>
      <vt:lpstr>v_64_XMEOLO</vt:lpstr>
      <vt:lpstr>v_64_XN_B</vt:lpstr>
      <vt:lpstr>v_64_XN_Be</vt:lpstr>
      <vt:lpstr>v_64_XN_U</vt:lpstr>
      <vt:lpstr>v_64_XNOB</vt:lpstr>
      <vt:lpstr>v_64_XOHO</vt:lpstr>
      <vt:lpstr>v_64_XP_B</vt:lpstr>
      <vt:lpstr>v_64_XP_Be</vt:lpstr>
      <vt:lpstr>v_64_XP_U</vt:lpstr>
      <vt:lpstr>v_64_XPFOA</vt:lpstr>
      <vt:lpstr>v_64_XPFOS</vt:lpstr>
      <vt:lpstr>v_64_XPHA_GAO</vt:lpstr>
      <vt:lpstr>v_64_XPHA_PAO</vt:lpstr>
      <vt:lpstr>v_64_XPP</vt:lpstr>
      <vt:lpstr>v_64_XSTO</vt:lpstr>
      <vt:lpstr>v_64_XSTR</vt:lpstr>
      <vt:lpstr>v_64_XU</vt:lpstr>
      <vt:lpstr>v_64_XVivi</vt:lpstr>
      <vt:lpstr>v_65_CB</vt:lpstr>
      <vt:lpstr>v_65_CU</vt:lpstr>
      <vt:lpstr>v_65_GCH4</vt:lpstr>
      <vt:lpstr>v_65_GCH4_atm</vt:lpstr>
      <vt:lpstr>v_65_GCO2</vt:lpstr>
      <vt:lpstr>v_65_GCO2_atm</vt:lpstr>
      <vt:lpstr>v_65_GH2</vt:lpstr>
      <vt:lpstr>v_65_GH2_atm</vt:lpstr>
      <vt:lpstr>v_65_GN2</vt:lpstr>
      <vt:lpstr>v_65_GN2_atm</vt:lpstr>
      <vt:lpstr>v_65_GNH3</vt:lpstr>
      <vt:lpstr>v_65_GNH3_atm</vt:lpstr>
      <vt:lpstr>v_65_GO2</vt:lpstr>
      <vt:lpstr>v_65_GO2_atm</vt:lpstr>
      <vt:lpstr>v_65_SALPHA</vt:lpstr>
      <vt:lpstr>v_65_SAN</vt:lpstr>
      <vt:lpstr>v_65_SB_mono</vt:lpstr>
      <vt:lpstr>v_65_SB_poly</vt:lpstr>
      <vt:lpstr>v_65_SCa</vt:lpstr>
      <vt:lpstr>v_65_SCAT</vt:lpstr>
      <vt:lpstr>v_65_SCH4</vt:lpstr>
      <vt:lpstr>v_65_SCO2</vt:lpstr>
      <vt:lpstr>v_65_SFe2</vt:lpstr>
      <vt:lpstr>v_65_SH</vt:lpstr>
      <vt:lpstr>v_65_SH2</vt:lpstr>
      <vt:lpstr>v_65_SK</vt:lpstr>
      <vt:lpstr>v_65_SMEOL</vt:lpstr>
      <vt:lpstr>v_65_SMg</vt:lpstr>
      <vt:lpstr>v_65_SN_B</vt:lpstr>
      <vt:lpstr>v_65_SN2</vt:lpstr>
      <vt:lpstr>v_65_SNHx</vt:lpstr>
      <vt:lpstr>v_65_SNO2</vt:lpstr>
      <vt:lpstr>v_65_SNO3</vt:lpstr>
      <vt:lpstr>v_65_SO2</vt:lpstr>
      <vt:lpstr>v_65_SORPswitch</vt:lpstr>
      <vt:lpstr>v_65_SP_B</vt:lpstr>
      <vt:lpstr>v_65_SPFOA</vt:lpstr>
      <vt:lpstr>v_65_SPFOS</vt:lpstr>
      <vt:lpstr>v_65_SPO4</vt:lpstr>
      <vt:lpstr>v_65_SU</vt:lpstr>
      <vt:lpstr>v_65_SVFA</vt:lpstr>
      <vt:lpstr>v_65_XACP</vt:lpstr>
      <vt:lpstr>v_65_XAHO</vt:lpstr>
      <vt:lpstr>v_65_XALGAE</vt:lpstr>
      <vt:lpstr>v_65_XAMETO</vt:lpstr>
      <vt:lpstr>v_65_XAMX</vt:lpstr>
      <vt:lpstr>v_65_XAOB</vt:lpstr>
      <vt:lpstr>v_65_XB</vt:lpstr>
      <vt:lpstr>v_65_XB_e</vt:lpstr>
      <vt:lpstr>v_65_XBSH</vt:lpstr>
      <vt:lpstr>v_65_XCaCO3</vt:lpstr>
      <vt:lpstr>v_65_XCASTO</vt:lpstr>
      <vt:lpstr>v_65_XE</vt:lpstr>
      <vt:lpstr>v_65_XE_ana</vt:lpstr>
      <vt:lpstr>v_65_XHAO_H</vt:lpstr>
      <vt:lpstr>v_65_XHAO_H_P</vt:lpstr>
      <vt:lpstr>v_65_XHAO_H_P_old</vt:lpstr>
      <vt:lpstr>v_65_XHAO_L</vt:lpstr>
      <vt:lpstr>v_65_XHAO_L_P</vt:lpstr>
      <vt:lpstr>v_65_XHAO_L_P_old</vt:lpstr>
      <vt:lpstr>v_65_XHAO_old</vt:lpstr>
      <vt:lpstr>v_65_XHFO_H</vt:lpstr>
      <vt:lpstr>v_65_XHFO_H_P</vt:lpstr>
      <vt:lpstr>v_65_XHFO_H_P_old</vt:lpstr>
      <vt:lpstr>v_65_XHFO_L</vt:lpstr>
      <vt:lpstr>v_65_XHFO_L_P</vt:lpstr>
      <vt:lpstr>v_65_XHFO_L_P_old</vt:lpstr>
      <vt:lpstr>v_65_XHFO_old</vt:lpstr>
      <vt:lpstr>v_65_XHMETO</vt:lpstr>
      <vt:lpstr>v_65_XINORG</vt:lpstr>
      <vt:lpstr>v_65_XMEOLO</vt:lpstr>
      <vt:lpstr>v_65_XN_B</vt:lpstr>
      <vt:lpstr>v_65_XN_Be</vt:lpstr>
      <vt:lpstr>v_65_XN_U</vt:lpstr>
      <vt:lpstr>v_65_XNOB</vt:lpstr>
      <vt:lpstr>v_65_XOHO</vt:lpstr>
      <vt:lpstr>v_65_XP_B</vt:lpstr>
      <vt:lpstr>v_65_XP_Be</vt:lpstr>
      <vt:lpstr>v_65_XP_U</vt:lpstr>
      <vt:lpstr>v_65_XPFOA</vt:lpstr>
      <vt:lpstr>v_65_XPFOS</vt:lpstr>
      <vt:lpstr>v_65_XPHA_GAO</vt:lpstr>
      <vt:lpstr>v_65_XPHA_PAO</vt:lpstr>
      <vt:lpstr>v_65_XPP</vt:lpstr>
      <vt:lpstr>v_65_XSTO</vt:lpstr>
      <vt:lpstr>v_65_XSTR</vt:lpstr>
      <vt:lpstr>v_65_XU</vt:lpstr>
      <vt:lpstr>v_65_XVivi</vt:lpstr>
      <vt:lpstr>v_66_CB</vt:lpstr>
      <vt:lpstr>v_66_CU</vt:lpstr>
      <vt:lpstr>v_66_GCH4</vt:lpstr>
      <vt:lpstr>v_66_GCH4_atm</vt:lpstr>
      <vt:lpstr>v_66_GCO2</vt:lpstr>
      <vt:lpstr>v_66_GCO2_atm</vt:lpstr>
      <vt:lpstr>v_66_GH2</vt:lpstr>
      <vt:lpstr>v_66_GH2_atm</vt:lpstr>
      <vt:lpstr>v_66_GN2</vt:lpstr>
      <vt:lpstr>v_66_GN2_atm</vt:lpstr>
      <vt:lpstr>v_66_GNH3</vt:lpstr>
      <vt:lpstr>v_66_GNH3_atm</vt:lpstr>
      <vt:lpstr>v_66_GO2</vt:lpstr>
      <vt:lpstr>v_66_GO2_atm</vt:lpstr>
      <vt:lpstr>v_66_SALPHA</vt:lpstr>
      <vt:lpstr>v_66_SAN</vt:lpstr>
      <vt:lpstr>v_66_SB_mono</vt:lpstr>
      <vt:lpstr>v_66_SB_poly</vt:lpstr>
      <vt:lpstr>v_66_SCa</vt:lpstr>
      <vt:lpstr>v_66_SCAT</vt:lpstr>
      <vt:lpstr>v_66_SCH4</vt:lpstr>
      <vt:lpstr>v_66_SCO2</vt:lpstr>
      <vt:lpstr>v_66_SFe2</vt:lpstr>
      <vt:lpstr>v_66_SH</vt:lpstr>
      <vt:lpstr>v_66_SH2</vt:lpstr>
      <vt:lpstr>v_66_SK</vt:lpstr>
      <vt:lpstr>v_66_SMEOL</vt:lpstr>
      <vt:lpstr>v_66_SMg</vt:lpstr>
      <vt:lpstr>v_66_SN_B</vt:lpstr>
      <vt:lpstr>v_66_SN2</vt:lpstr>
      <vt:lpstr>v_66_SNHx</vt:lpstr>
      <vt:lpstr>v_66_SNO2</vt:lpstr>
      <vt:lpstr>v_66_SNO3</vt:lpstr>
      <vt:lpstr>v_66_SO2</vt:lpstr>
      <vt:lpstr>v_66_SORPswitch</vt:lpstr>
      <vt:lpstr>v_66_SP_B</vt:lpstr>
      <vt:lpstr>v_66_SPFOA</vt:lpstr>
      <vt:lpstr>v_66_SPFOS</vt:lpstr>
      <vt:lpstr>v_66_SPO4</vt:lpstr>
      <vt:lpstr>v_66_SU</vt:lpstr>
      <vt:lpstr>v_66_SVFA</vt:lpstr>
      <vt:lpstr>v_66_XACP</vt:lpstr>
      <vt:lpstr>v_66_XAHO</vt:lpstr>
      <vt:lpstr>v_66_XALGAE</vt:lpstr>
      <vt:lpstr>v_66_XAMETO</vt:lpstr>
      <vt:lpstr>v_66_XAMX</vt:lpstr>
      <vt:lpstr>v_66_XAOB</vt:lpstr>
      <vt:lpstr>v_66_XB</vt:lpstr>
      <vt:lpstr>v_66_XB_e</vt:lpstr>
      <vt:lpstr>v_66_XBSH</vt:lpstr>
      <vt:lpstr>v_66_XCaCO3</vt:lpstr>
      <vt:lpstr>v_66_XCASTO</vt:lpstr>
      <vt:lpstr>v_66_XE</vt:lpstr>
      <vt:lpstr>v_66_XE_ana</vt:lpstr>
      <vt:lpstr>v_66_XHAO_H</vt:lpstr>
      <vt:lpstr>v_66_XHAO_H_P</vt:lpstr>
      <vt:lpstr>v_66_XHAO_H_P_old</vt:lpstr>
      <vt:lpstr>v_66_XHAO_L</vt:lpstr>
      <vt:lpstr>v_66_XHAO_L_P</vt:lpstr>
      <vt:lpstr>v_66_XHAO_L_P_old</vt:lpstr>
      <vt:lpstr>v_66_XHAO_old</vt:lpstr>
      <vt:lpstr>v_66_XHFO_H</vt:lpstr>
      <vt:lpstr>v_66_XHFO_H_P</vt:lpstr>
      <vt:lpstr>v_66_XHFO_H_P_old</vt:lpstr>
      <vt:lpstr>v_66_XHFO_L</vt:lpstr>
      <vt:lpstr>v_66_XHFO_L_P</vt:lpstr>
      <vt:lpstr>v_66_XHFO_L_P_old</vt:lpstr>
      <vt:lpstr>v_66_XHFO_old</vt:lpstr>
      <vt:lpstr>v_66_XHMETO</vt:lpstr>
      <vt:lpstr>v_66_XINORG</vt:lpstr>
      <vt:lpstr>v_66_XMEOLO</vt:lpstr>
      <vt:lpstr>v_66_XN_B</vt:lpstr>
      <vt:lpstr>v_66_XN_Be</vt:lpstr>
      <vt:lpstr>v_66_XN_U</vt:lpstr>
      <vt:lpstr>v_66_XNOB</vt:lpstr>
      <vt:lpstr>v_66_XOHO</vt:lpstr>
      <vt:lpstr>v_66_XP_B</vt:lpstr>
      <vt:lpstr>v_66_XP_Be</vt:lpstr>
      <vt:lpstr>v_66_XP_U</vt:lpstr>
      <vt:lpstr>v_66_XPFOA</vt:lpstr>
      <vt:lpstr>v_66_XPFOS</vt:lpstr>
      <vt:lpstr>v_66_XPHA_GAO</vt:lpstr>
      <vt:lpstr>v_66_XPHA_PAO</vt:lpstr>
      <vt:lpstr>v_66_XPP</vt:lpstr>
      <vt:lpstr>v_66_XSTO</vt:lpstr>
      <vt:lpstr>v_66_XSTR</vt:lpstr>
      <vt:lpstr>v_66_XU</vt:lpstr>
      <vt:lpstr>v_66_XVivi</vt:lpstr>
      <vt:lpstr>v_67_CB</vt:lpstr>
      <vt:lpstr>v_67_CU</vt:lpstr>
      <vt:lpstr>v_67_GCH4</vt:lpstr>
      <vt:lpstr>v_67_GCH4_atm</vt:lpstr>
      <vt:lpstr>v_67_GCO2</vt:lpstr>
      <vt:lpstr>v_67_GCO2_atm</vt:lpstr>
      <vt:lpstr>v_67_GH2</vt:lpstr>
      <vt:lpstr>v_67_GH2_atm</vt:lpstr>
      <vt:lpstr>v_67_GN2</vt:lpstr>
      <vt:lpstr>v_67_GN2_atm</vt:lpstr>
      <vt:lpstr>v_67_GNH3</vt:lpstr>
      <vt:lpstr>v_67_GNH3_atm</vt:lpstr>
      <vt:lpstr>v_67_GO2</vt:lpstr>
      <vt:lpstr>v_67_GO2_atm</vt:lpstr>
      <vt:lpstr>v_67_SALPHA</vt:lpstr>
      <vt:lpstr>v_67_SAN</vt:lpstr>
      <vt:lpstr>v_67_SB_mono</vt:lpstr>
      <vt:lpstr>v_67_SB_poly</vt:lpstr>
      <vt:lpstr>v_67_SCa</vt:lpstr>
      <vt:lpstr>v_67_SCAT</vt:lpstr>
      <vt:lpstr>v_67_SCH4</vt:lpstr>
      <vt:lpstr>v_67_SCO2</vt:lpstr>
      <vt:lpstr>v_67_SFe2</vt:lpstr>
      <vt:lpstr>v_67_SH</vt:lpstr>
      <vt:lpstr>v_67_SH2</vt:lpstr>
      <vt:lpstr>v_67_SK</vt:lpstr>
      <vt:lpstr>v_67_SMEOL</vt:lpstr>
      <vt:lpstr>v_67_SMg</vt:lpstr>
      <vt:lpstr>v_67_SN_B</vt:lpstr>
      <vt:lpstr>v_67_SN2</vt:lpstr>
      <vt:lpstr>v_67_SNHx</vt:lpstr>
      <vt:lpstr>v_67_SNO2</vt:lpstr>
      <vt:lpstr>v_67_SNO3</vt:lpstr>
      <vt:lpstr>v_67_SO2</vt:lpstr>
      <vt:lpstr>v_67_SORPswitch</vt:lpstr>
      <vt:lpstr>v_67_SP_B</vt:lpstr>
      <vt:lpstr>v_67_SPFOA</vt:lpstr>
      <vt:lpstr>v_67_SPFOS</vt:lpstr>
      <vt:lpstr>v_67_SPO4</vt:lpstr>
      <vt:lpstr>v_67_SU</vt:lpstr>
      <vt:lpstr>v_67_SVFA</vt:lpstr>
      <vt:lpstr>v_67_XACP</vt:lpstr>
      <vt:lpstr>v_67_XAHO</vt:lpstr>
      <vt:lpstr>v_67_XALGAE</vt:lpstr>
      <vt:lpstr>v_67_XAMETO</vt:lpstr>
      <vt:lpstr>v_67_XAMX</vt:lpstr>
      <vt:lpstr>v_67_XAOB</vt:lpstr>
      <vt:lpstr>v_67_XB</vt:lpstr>
      <vt:lpstr>v_67_XB_e</vt:lpstr>
      <vt:lpstr>v_67_XBSH</vt:lpstr>
      <vt:lpstr>v_67_XCaCO3</vt:lpstr>
      <vt:lpstr>v_67_XCASTO</vt:lpstr>
      <vt:lpstr>v_67_XE</vt:lpstr>
      <vt:lpstr>v_67_XE_ana</vt:lpstr>
      <vt:lpstr>v_67_XHAO_H</vt:lpstr>
      <vt:lpstr>v_67_XHAO_H_P</vt:lpstr>
      <vt:lpstr>v_67_XHAO_H_P_old</vt:lpstr>
      <vt:lpstr>v_67_XHAO_L</vt:lpstr>
      <vt:lpstr>v_67_XHAO_L_P</vt:lpstr>
      <vt:lpstr>v_67_XHAO_L_P_old</vt:lpstr>
      <vt:lpstr>v_67_XHAO_old</vt:lpstr>
      <vt:lpstr>v_67_XHFO_H</vt:lpstr>
      <vt:lpstr>v_67_XHFO_H_P</vt:lpstr>
      <vt:lpstr>v_67_XHFO_H_P_old</vt:lpstr>
      <vt:lpstr>v_67_XHFO_L</vt:lpstr>
      <vt:lpstr>v_67_XHFO_L_P</vt:lpstr>
      <vt:lpstr>v_67_XHFO_L_P_old</vt:lpstr>
      <vt:lpstr>v_67_XHFO_old</vt:lpstr>
      <vt:lpstr>v_67_XHMETO</vt:lpstr>
      <vt:lpstr>v_67_XINORG</vt:lpstr>
      <vt:lpstr>v_67_XMEOLO</vt:lpstr>
      <vt:lpstr>v_67_XN_B</vt:lpstr>
      <vt:lpstr>v_67_XN_Be</vt:lpstr>
      <vt:lpstr>v_67_XN_U</vt:lpstr>
      <vt:lpstr>v_67_XNOB</vt:lpstr>
      <vt:lpstr>v_67_XOHO</vt:lpstr>
      <vt:lpstr>v_67_XP_B</vt:lpstr>
      <vt:lpstr>v_67_XP_Be</vt:lpstr>
      <vt:lpstr>v_67_XP_U</vt:lpstr>
      <vt:lpstr>v_67_XPFOA</vt:lpstr>
      <vt:lpstr>v_67_XPFOS</vt:lpstr>
      <vt:lpstr>v_67_XPHA_GAO</vt:lpstr>
      <vt:lpstr>v_67_XPHA_PAO</vt:lpstr>
      <vt:lpstr>v_67_XPP</vt:lpstr>
      <vt:lpstr>v_67_XSTO</vt:lpstr>
      <vt:lpstr>v_67_XSTR</vt:lpstr>
      <vt:lpstr>v_67_XU</vt:lpstr>
      <vt:lpstr>v_67_XVivi</vt:lpstr>
      <vt:lpstr>v_68_CB</vt:lpstr>
      <vt:lpstr>v_68_CU</vt:lpstr>
      <vt:lpstr>v_68_GCH4</vt:lpstr>
      <vt:lpstr>v_68_GCH4_atm</vt:lpstr>
      <vt:lpstr>v_68_GCO2</vt:lpstr>
      <vt:lpstr>v_68_GCO2_atm</vt:lpstr>
      <vt:lpstr>v_68_GH2</vt:lpstr>
      <vt:lpstr>v_68_GH2_atm</vt:lpstr>
      <vt:lpstr>v_68_GN2</vt:lpstr>
      <vt:lpstr>v_68_GN2_atm</vt:lpstr>
      <vt:lpstr>v_68_GNH3</vt:lpstr>
      <vt:lpstr>v_68_GNH3_atm</vt:lpstr>
      <vt:lpstr>v_68_GO2</vt:lpstr>
      <vt:lpstr>v_68_GO2_atm</vt:lpstr>
      <vt:lpstr>v_68_SALPHA</vt:lpstr>
      <vt:lpstr>v_68_SAN</vt:lpstr>
      <vt:lpstr>v_68_SB_mono</vt:lpstr>
      <vt:lpstr>v_68_SB_poly</vt:lpstr>
      <vt:lpstr>v_68_SCa</vt:lpstr>
      <vt:lpstr>v_68_SCAT</vt:lpstr>
      <vt:lpstr>v_68_SCH4</vt:lpstr>
      <vt:lpstr>v_68_SCO2</vt:lpstr>
      <vt:lpstr>v_68_SFe2</vt:lpstr>
      <vt:lpstr>v_68_SH</vt:lpstr>
      <vt:lpstr>v_68_SH2</vt:lpstr>
      <vt:lpstr>v_68_SK</vt:lpstr>
      <vt:lpstr>v_68_SMEOL</vt:lpstr>
      <vt:lpstr>v_68_SMg</vt:lpstr>
      <vt:lpstr>v_68_SN_B</vt:lpstr>
      <vt:lpstr>v_68_SN2</vt:lpstr>
      <vt:lpstr>v_68_SNHx</vt:lpstr>
      <vt:lpstr>v_68_SNO2</vt:lpstr>
      <vt:lpstr>v_68_SNO3</vt:lpstr>
      <vt:lpstr>v_68_SO2</vt:lpstr>
      <vt:lpstr>v_68_SORPswitch</vt:lpstr>
      <vt:lpstr>v_68_SP_B</vt:lpstr>
      <vt:lpstr>v_68_SPFOA</vt:lpstr>
      <vt:lpstr>v_68_SPFOS</vt:lpstr>
      <vt:lpstr>v_68_SPO4</vt:lpstr>
      <vt:lpstr>v_68_SU</vt:lpstr>
      <vt:lpstr>v_68_SVFA</vt:lpstr>
      <vt:lpstr>v_68_XACP</vt:lpstr>
      <vt:lpstr>v_68_XAHO</vt:lpstr>
      <vt:lpstr>v_68_XALGAE</vt:lpstr>
      <vt:lpstr>v_68_XAMETO</vt:lpstr>
      <vt:lpstr>v_68_XAMX</vt:lpstr>
      <vt:lpstr>v_68_XAOB</vt:lpstr>
      <vt:lpstr>v_68_XB</vt:lpstr>
      <vt:lpstr>v_68_XB_e</vt:lpstr>
      <vt:lpstr>v_68_XBSH</vt:lpstr>
      <vt:lpstr>v_68_XCaCO3</vt:lpstr>
      <vt:lpstr>v_68_XCASTO</vt:lpstr>
      <vt:lpstr>v_68_XE</vt:lpstr>
      <vt:lpstr>v_68_XE_ana</vt:lpstr>
      <vt:lpstr>v_68_XHAO_H</vt:lpstr>
      <vt:lpstr>v_68_XHAO_H_P</vt:lpstr>
      <vt:lpstr>v_68_XHAO_H_P_old</vt:lpstr>
      <vt:lpstr>v_68_XHAO_L</vt:lpstr>
      <vt:lpstr>v_68_XHAO_L_P</vt:lpstr>
      <vt:lpstr>v_68_XHAO_L_P_old</vt:lpstr>
      <vt:lpstr>v_68_XHAO_old</vt:lpstr>
      <vt:lpstr>v_68_XHFO_H</vt:lpstr>
      <vt:lpstr>v_68_XHFO_H_P</vt:lpstr>
      <vt:lpstr>v_68_XHFO_H_P_old</vt:lpstr>
      <vt:lpstr>v_68_XHFO_L</vt:lpstr>
      <vt:lpstr>v_68_XHFO_L_P</vt:lpstr>
      <vt:lpstr>v_68_XHFO_L_P_old</vt:lpstr>
      <vt:lpstr>v_68_XHFO_old</vt:lpstr>
      <vt:lpstr>v_68_XHMETO</vt:lpstr>
      <vt:lpstr>v_68_XINORG</vt:lpstr>
      <vt:lpstr>v_68_XMEOLO</vt:lpstr>
      <vt:lpstr>v_68_XN_B</vt:lpstr>
      <vt:lpstr>v_68_XN_Be</vt:lpstr>
      <vt:lpstr>v_68_XN_U</vt:lpstr>
      <vt:lpstr>v_68_XNOB</vt:lpstr>
      <vt:lpstr>v_68_XOHO</vt:lpstr>
      <vt:lpstr>v_68_XP_B</vt:lpstr>
      <vt:lpstr>v_68_XP_Be</vt:lpstr>
      <vt:lpstr>v_68_XP_U</vt:lpstr>
      <vt:lpstr>v_68_XPFOA</vt:lpstr>
      <vt:lpstr>v_68_XPFOS</vt:lpstr>
      <vt:lpstr>v_68_XPHA_GAO</vt:lpstr>
      <vt:lpstr>v_68_XPHA_PAO</vt:lpstr>
      <vt:lpstr>v_68_XPP</vt:lpstr>
      <vt:lpstr>v_68_XSTO</vt:lpstr>
      <vt:lpstr>v_68_XSTR</vt:lpstr>
      <vt:lpstr>v_68_XU</vt:lpstr>
      <vt:lpstr>v_68_XVivi</vt:lpstr>
      <vt:lpstr>v_69_CB</vt:lpstr>
      <vt:lpstr>v_69_CU</vt:lpstr>
      <vt:lpstr>v_69_GCH4</vt:lpstr>
      <vt:lpstr>v_69_GCH4_atm</vt:lpstr>
      <vt:lpstr>v_69_GCO2</vt:lpstr>
      <vt:lpstr>v_69_GCO2_atm</vt:lpstr>
      <vt:lpstr>v_69_GH2</vt:lpstr>
      <vt:lpstr>v_69_GH2_atm</vt:lpstr>
      <vt:lpstr>v_69_GN2</vt:lpstr>
      <vt:lpstr>v_69_GN2_atm</vt:lpstr>
      <vt:lpstr>v_69_GNH3</vt:lpstr>
      <vt:lpstr>v_69_GNH3_atm</vt:lpstr>
      <vt:lpstr>v_69_GO2</vt:lpstr>
      <vt:lpstr>v_69_GO2_atm</vt:lpstr>
      <vt:lpstr>v_69_SALPHA</vt:lpstr>
      <vt:lpstr>v_69_SAN</vt:lpstr>
      <vt:lpstr>v_69_SB_mono</vt:lpstr>
      <vt:lpstr>v_69_SB_poly</vt:lpstr>
      <vt:lpstr>v_69_SCa</vt:lpstr>
      <vt:lpstr>v_69_SCAT</vt:lpstr>
      <vt:lpstr>v_69_SCH4</vt:lpstr>
      <vt:lpstr>v_69_SCO2</vt:lpstr>
      <vt:lpstr>v_69_SFe2</vt:lpstr>
      <vt:lpstr>v_69_SH</vt:lpstr>
      <vt:lpstr>v_69_SH2</vt:lpstr>
      <vt:lpstr>v_69_SK</vt:lpstr>
      <vt:lpstr>v_69_SMEOL</vt:lpstr>
      <vt:lpstr>v_69_SMg</vt:lpstr>
      <vt:lpstr>v_69_SN_B</vt:lpstr>
      <vt:lpstr>v_69_SN2</vt:lpstr>
      <vt:lpstr>v_69_SNHx</vt:lpstr>
      <vt:lpstr>v_69_SNO2</vt:lpstr>
      <vt:lpstr>v_69_SNO3</vt:lpstr>
      <vt:lpstr>v_69_SO2</vt:lpstr>
      <vt:lpstr>v_69_SORPswitch</vt:lpstr>
      <vt:lpstr>v_69_SP_B</vt:lpstr>
      <vt:lpstr>v_69_SPFOA</vt:lpstr>
      <vt:lpstr>v_69_SPFOS</vt:lpstr>
      <vt:lpstr>v_69_SPO4</vt:lpstr>
      <vt:lpstr>v_69_SU</vt:lpstr>
      <vt:lpstr>v_69_SVFA</vt:lpstr>
      <vt:lpstr>v_69_XACP</vt:lpstr>
      <vt:lpstr>v_69_XAHO</vt:lpstr>
      <vt:lpstr>v_69_XALGAE</vt:lpstr>
      <vt:lpstr>v_69_XAMETO</vt:lpstr>
      <vt:lpstr>v_69_XAMX</vt:lpstr>
      <vt:lpstr>v_69_XAOB</vt:lpstr>
      <vt:lpstr>v_69_XB</vt:lpstr>
      <vt:lpstr>v_69_XB_e</vt:lpstr>
      <vt:lpstr>v_69_XBSH</vt:lpstr>
      <vt:lpstr>v_69_XCaCO3</vt:lpstr>
      <vt:lpstr>v_69_XCASTO</vt:lpstr>
      <vt:lpstr>v_69_XE</vt:lpstr>
      <vt:lpstr>v_69_XE_ana</vt:lpstr>
      <vt:lpstr>v_69_XHAO_H</vt:lpstr>
      <vt:lpstr>v_69_XHAO_H_P</vt:lpstr>
      <vt:lpstr>v_69_XHAO_H_P_old</vt:lpstr>
      <vt:lpstr>v_69_XHAO_L</vt:lpstr>
      <vt:lpstr>v_69_XHAO_L_P</vt:lpstr>
      <vt:lpstr>v_69_XHAO_L_P_old</vt:lpstr>
      <vt:lpstr>v_69_XHAO_old</vt:lpstr>
      <vt:lpstr>v_69_XHFO_H</vt:lpstr>
      <vt:lpstr>v_69_XHFO_H_P</vt:lpstr>
      <vt:lpstr>v_69_XHFO_H_P_old</vt:lpstr>
      <vt:lpstr>v_69_XHFO_L</vt:lpstr>
      <vt:lpstr>v_69_XHFO_L_P</vt:lpstr>
      <vt:lpstr>v_69_XHFO_L_P_old</vt:lpstr>
      <vt:lpstr>v_69_XHFO_old</vt:lpstr>
      <vt:lpstr>v_69_XHMETO</vt:lpstr>
      <vt:lpstr>v_69_XINORG</vt:lpstr>
      <vt:lpstr>v_69_XMEOLO</vt:lpstr>
      <vt:lpstr>v_69_XN_B</vt:lpstr>
      <vt:lpstr>v_69_XN_Be</vt:lpstr>
      <vt:lpstr>v_69_XN_U</vt:lpstr>
      <vt:lpstr>v_69_XNOB</vt:lpstr>
      <vt:lpstr>v_69_XOHO</vt:lpstr>
      <vt:lpstr>v_69_XP_B</vt:lpstr>
      <vt:lpstr>v_69_XP_Be</vt:lpstr>
      <vt:lpstr>v_69_XP_U</vt:lpstr>
      <vt:lpstr>v_69_XPFOA</vt:lpstr>
      <vt:lpstr>v_69_XPFOS</vt:lpstr>
      <vt:lpstr>v_69_XPHA_GAO</vt:lpstr>
      <vt:lpstr>v_69_XPHA_PAO</vt:lpstr>
      <vt:lpstr>v_69_XPP</vt:lpstr>
      <vt:lpstr>v_69_XSTO</vt:lpstr>
      <vt:lpstr>v_69_XSTR</vt:lpstr>
      <vt:lpstr>v_69_XU</vt:lpstr>
      <vt:lpstr>v_69_XVivi</vt:lpstr>
      <vt:lpstr>v_7_CB</vt:lpstr>
      <vt:lpstr>v_7_CU</vt:lpstr>
      <vt:lpstr>v_7_GCH4</vt:lpstr>
      <vt:lpstr>v_7_GCH4_atm</vt:lpstr>
      <vt:lpstr>v_7_GCO2</vt:lpstr>
      <vt:lpstr>v_7_GCO2_atm</vt:lpstr>
      <vt:lpstr>v_7_GH2</vt:lpstr>
      <vt:lpstr>v_7_GH2_atm</vt:lpstr>
      <vt:lpstr>v_7_GN2</vt:lpstr>
      <vt:lpstr>v_7_GN2_atm</vt:lpstr>
      <vt:lpstr>v_7_GNH3</vt:lpstr>
      <vt:lpstr>v_7_GNH3_atm</vt:lpstr>
      <vt:lpstr>v_7_GO2</vt:lpstr>
      <vt:lpstr>v_7_GO2_atm</vt:lpstr>
      <vt:lpstr>v_7_SALPHA</vt:lpstr>
      <vt:lpstr>v_7_SAN</vt:lpstr>
      <vt:lpstr>v_7_SB_mono</vt:lpstr>
      <vt:lpstr>v_7_SB_poly</vt:lpstr>
      <vt:lpstr>v_7_SCa</vt:lpstr>
      <vt:lpstr>v_7_SCAT</vt:lpstr>
      <vt:lpstr>v_7_SCH4</vt:lpstr>
      <vt:lpstr>v_7_SCO2</vt:lpstr>
      <vt:lpstr>v_7_SFe2</vt:lpstr>
      <vt:lpstr>v_7_SH</vt:lpstr>
      <vt:lpstr>v_7_SH2</vt:lpstr>
      <vt:lpstr>v_7_SK</vt:lpstr>
      <vt:lpstr>v_7_SMEOL</vt:lpstr>
      <vt:lpstr>v_7_SMg</vt:lpstr>
      <vt:lpstr>v_7_SN_B</vt:lpstr>
      <vt:lpstr>v_7_SN2</vt:lpstr>
      <vt:lpstr>v_7_SNHx</vt:lpstr>
      <vt:lpstr>v_7_SNO2</vt:lpstr>
      <vt:lpstr>v_7_SNO3</vt:lpstr>
      <vt:lpstr>v_7_SO2</vt:lpstr>
      <vt:lpstr>v_7_SORPswitch</vt:lpstr>
      <vt:lpstr>v_7_SP_B</vt:lpstr>
      <vt:lpstr>v_7_SPFOA</vt:lpstr>
      <vt:lpstr>v_7_SPFOS</vt:lpstr>
      <vt:lpstr>v_7_SPO4</vt:lpstr>
      <vt:lpstr>v_7_SU</vt:lpstr>
      <vt:lpstr>v_7_SVFA</vt:lpstr>
      <vt:lpstr>v_7_XACP</vt:lpstr>
      <vt:lpstr>v_7_XAHO</vt:lpstr>
      <vt:lpstr>v_7_XALGAE</vt:lpstr>
      <vt:lpstr>v_7_XAMETO</vt:lpstr>
      <vt:lpstr>v_7_XAMX</vt:lpstr>
      <vt:lpstr>v_7_XAOB</vt:lpstr>
      <vt:lpstr>v_7_XB</vt:lpstr>
      <vt:lpstr>v_7_XB_e</vt:lpstr>
      <vt:lpstr>v_7_XBSH</vt:lpstr>
      <vt:lpstr>v_7_XCaCO3</vt:lpstr>
      <vt:lpstr>v_7_XCASTO</vt:lpstr>
      <vt:lpstr>v_7_XE</vt:lpstr>
      <vt:lpstr>v_7_XE_ana</vt:lpstr>
      <vt:lpstr>v_7_XHAO_H</vt:lpstr>
      <vt:lpstr>v_7_XHAO_H_P</vt:lpstr>
      <vt:lpstr>v_7_XHAO_H_P_old</vt:lpstr>
      <vt:lpstr>v_7_XHAO_L</vt:lpstr>
      <vt:lpstr>v_7_XHAO_L_P</vt:lpstr>
      <vt:lpstr>v_7_XHAO_L_P_old</vt:lpstr>
      <vt:lpstr>v_7_XHAO_old</vt:lpstr>
      <vt:lpstr>v_7_XHFO_H</vt:lpstr>
      <vt:lpstr>v_7_XHFO_H_P</vt:lpstr>
      <vt:lpstr>v_7_XHFO_H_P_old</vt:lpstr>
      <vt:lpstr>v_7_XHFO_L</vt:lpstr>
      <vt:lpstr>v_7_XHFO_L_P</vt:lpstr>
      <vt:lpstr>v_7_XHFO_L_P_old</vt:lpstr>
      <vt:lpstr>v_7_XHFO_old</vt:lpstr>
      <vt:lpstr>v_7_XHMETO</vt:lpstr>
      <vt:lpstr>v_7_XINORG</vt:lpstr>
      <vt:lpstr>v_7_XMEOLO</vt:lpstr>
      <vt:lpstr>v_7_XN_B</vt:lpstr>
      <vt:lpstr>v_7_XN_Be</vt:lpstr>
      <vt:lpstr>v_7_XN_U</vt:lpstr>
      <vt:lpstr>v_7_XNOB</vt:lpstr>
      <vt:lpstr>v_7_XOHO</vt:lpstr>
      <vt:lpstr>v_7_XP_B</vt:lpstr>
      <vt:lpstr>v_7_XP_Be</vt:lpstr>
      <vt:lpstr>v_7_XP_U</vt:lpstr>
      <vt:lpstr>v_7_XPFOA</vt:lpstr>
      <vt:lpstr>v_7_XPFOS</vt:lpstr>
      <vt:lpstr>v_7_XPHA_GAO</vt:lpstr>
      <vt:lpstr>v_7_XPHA_PAO</vt:lpstr>
      <vt:lpstr>v_7_XPP</vt:lpstr>
      <vt:lpstr>v_7_XSTO</vt:lpstr>
      <vt:lpstr>v_7_XSTR</vt:lpstr>
      <vt:lpstr>v_7_XU</vt:lpstr>
      <vt:lpstr>v_7_XVivi</vt:lpstr>
      <vt:lpstr>v_70_CB</vt:lpstr>
      <vt:lpstr>v_70_CU</vt:lpstr>
      <vt:lpstr>v_70_GCH4</vt:lpstr>
      <vt:lpstr>v_70_GCH4_atm</vt:lpstr>
      <vt:lpstr>v_70_GCO2</vt:lpstr>
      <vt:lpstr>v_70_GCO2_atm</vt:lpstr>
      <vt:lpstr>v_70_GH2</vt:lpstr>
      <vt:lpstr>v_70_GH2_atm</vt:lpstr>
      <vt:lpstr>v_70_GN2</vt:lpstr>
      <vt:lpstr>v_70_GN2_atm</vt:lpstr>
      <vt:lpstr>v_70_GNH3</vt:lpstr>
      <vt:lpstr>v_70_GNH3_atm</vt:lpstr>
      <vt:lpstr>v_70_GO2</vt:lpstr>
      <vt:lpstr>v_70_GO2_atm</vt:lpstr>
      <vt:lpstr>v_70_SALPHA</vt:lpstr>
      <vt:lpstr>v_70_SAN</vt:lpstr>
      <vt:lpstr>v_70_SB_mono</vt:lpstr>
      <vt:lpstr>v_70_SB_poly</vt:lpstr>
      <vt:lpstr>v_70_SCa</vt:lpstr>
      <vt:lpstr>v_70_SCAT</vt:lpstr>
      <vt:lpstr>v_70_SCH4</vt:lpstr>
      <vt:lpstr>v_70_SCO2</vt:lpstr>
      <vt:lpstr>v_70_SFe2</vt:lpstr>
      <vt:lpstr>v_70_SH</vt:lpstr>
      <vt:lpstr>v_70_SH2</vt:lpstr>
      <vt:lpstr>v_70_SK</vt:lpstr>
      <vt:lpstr>v_70_SMEOL</vt:lpstr>
      <vt:lpstr>v_70_SMg</vt:lpstr>
      <vt:lpstr>v_70_SN_B</vt:lpstr>
      <vt:lpstr>v_70_SN2</vt:lpstr>
      <vt:lpstr>v_70_SNHx</vt:lpstr>
      <vt:lpstr>v_70_SNO2</vt:lpstr>
      <vt:lpstr>v_70_SNO3</vt:lpstr>
      <vt:lpstr>v_70_SO2</vt:lpstr>
      <vt:lpstr>v_70_SORPswitch</vt:lpstr>
      <vt:lpstr>v_70_SP_B</vt:lpstr>
      <vt:lpstr>v_70_SPFOA</vt:lpstr>
      <vt:lpstr>v_70_SPFOS</vt:lpstr>
      <vt:lpstr>v_70_SPO4</vt:lpstr>
      <vt:lpstr>v_70_SU</vt:lpstr>
      <vt:lpstr>v_70_SVFA</vt:lpstr>
      <vt:lpstr>v_70_XACP</vt:lpstr>
      <vt:lpstr>v_70_XAHO</vt:lpstr>
      <vt:lpstr>v_70_XALGAE</vt:lpstr>
      <vt:lpstr>v_70_XAMETO</vt:lpstr>
      <vt:lpstr>v_70_XAMX</vt:lpstr>
      <vt:lpstr>v_70_XAOB</vt:lpstr>
      <vt:lpstr>v_70_XB</vt:lpstr>
      <vt:lpstr>v_70_XB_e</vt:lpstr>
      <vt:lpstr>v_70_XBSH</vt:lpstr>
      <vt:lpstr>v_70_XCaCO3</vt:lpstr>
      <vt:lpstr>v_70_XCASTO</vt:lpstr>
      <vt:lpstr>v_70_XE</vt:lpstr>
      <vt:lpstr>v_70_XE_ana</vt:lpstr>
      <vt:lpstr>v_70_XHAO_H</vt:lpstr>
      <vt:lpstr>v_70_XHAO_H_P</vt:lpstr>
      <vt:lpstr>v_70_XHAO_H_P_old</vt:lpstr>
      <vt:lpstr>v_70_XHAO_L</vt:lpstr>
      <vt:lpstr>v_70_XHAO_L_P</vt:lpstr>
      <vt:lpstr>v_70_XHAO_L_P_old</vt:lpstr>
      <vt:lpstr>v_70_XHAO_old</vt:lpstr>
      <vt:lpstr>v_70_XHFO_H</vt:lpstr>
      <vt:lpstr>v_70_XHFO_H_P</vt:lpstr>
      <vt:lpstr>v_70_XHFO_H_P_old</vt:lpstr>
      <vt:lpstr>v_70_XHFO_L</vt:lpstr>
      <vt:lpstr>v_70_XHFO_L_P</vt:lpstr>
      <vt:lpstr>v_70_XHFO_L_P_old</vt:lpstr>
      <vt:lpstr>v_70_XHFO_old</vt:lpstr>
      <vt:lpstr>v_70_XHMETO</vt:lpstr>
      <vt:lpstr>v_70_XINORG</vt:lpstr>
      <vt:lpstr>v_70_XMEOLO</vt:lpstr>
      <vt:lpstr>v_70_XN_B</vt:lpstr>
      <vt:lpstr>v_70_XN_Be</vt:lpstr>
      <vt:lpstr>v_70_XN_U</vt:lpstr>
      <vt:lpstr>v_70_XNOB</vt:lpstr>
      <vt:lpstr>v_70_XOHO</vt:lpstr>
      <vt:lpstr>v_70_XP_B</vt:lpstr>
      <vt:lpstr>v_70_XP_Be</vt:lpstr>
      <vt:lpstr>v_70_XP_U</vt:lpstr>
      <vt:lpstr>v_70_XPFOA</vt:lpstr>
      <vt:lpstr>v_70_XPFOS</vt:lpstr>
      <vt:lpstr>v_70_XPHA_GAO</vt:lpstr>
      <vt:lpstr>v_70_XPHA_PAO</vt:lpstr>
      <vt:lpstr>v_70_XPP</vt:lpstr>
      <vt:lpstr>v_70_XSTO</vt:lpstr>
      <vt:lpstr>v_70_XSTR</vt:lpstr>
      <vt:lpstr>v_70_XU</vt:lpstr>
      <vt:lpstr>v_70_XVivi</vt:lpstr>
      <vt:lpstr>v_71_CB</vt:lpstr>
      <vt:lpstr>v_71_CU</vt:lpstr>
      <vt:lpstr>v_71_GCH4</vt:lpstr>
      <vt:lpstr>v_71_GCH4_atm</vt:lpstr>
      <vt:lpstr>v_71_GCO2</vt:lpstr>
      <vt:lpstr>v_71_GCO2_atm</vt:lpstr>
      <vt:lpstr>v_71_GH2</vt:lpstr>
      <vt:lpstr>v_71_GH2_atm</vt:lpstr>
      <vt:lpstr>v_71_GN2</vt:lpstr>
      <vt:lpstr>v_71_GN2_atm</vt:lpstr>
      <vt:lpstr>v_71_GNH3</vt:lpstr>
      <vt:lpstr>v_71_GNH3_atm</vt:lpstr>
      <vt:lpstr>v_71_GO2</vt:lpstr>
      <vt:lpstr>v_71_GO2_atm</vt:lpstr>
      <vt:lpstr>v_71_SALPHA</vt:lpstr>
      <vt:lpstr>v_71_SAN</vt:lpstr>
      <vt:lpstr>v_71_SB_mono</vt:lpstr>
      <vt:lpstr>v_71_SB_poly</vt:lpstr>
      <vt:lpstr>v_71_SCa</vt:lpstr>
      <vt:lpstr>v_71_SCAT</vt:lpstr>
      <vt:lpstr>v_71_SCH4</vt:lpstr>
      <vt:lpstr>v_71_SCO2</vt:lpstr>
      <vt:lpstr>v_71_SFe2</vt:lpstr>
      <vt:lpstr>v_71_SH</vt:lpstr>
      <vt:lpstr>v_71_SH2</vt:lpstr>
      <vt:lpstr>v_71_SK</vt:lpstr>
      <vt:lpstr>v_71_SMEOL</vt:lpstr>
      <vt:lpstr>v_71_SMg</vt:lpstr>
      <vt:lpstr>v_71_SN_B</vt:lpstr>
      <vt:lpstr>v_71_SN2</vt:lpstr>
      <vt:lpstr>v_71_SNHx</vt:lpstr>
      <vt:lpstr>v_71_SNO2</vt:lpstr>
      <vt:lpstr>v_71_SNO3</vt:lpstr>
      <vt:lpstr>v_71_SO2</vt:lpstr>
      <vt:lpstr>v_71_SORPswitch</vt:lpstr>
      <vt:lpstr>v_71_SP_B</vt:lpstr>
      <vt:lpstr>v_71_SPFOA</vt:lpstr>
      <vt:lpstr>v_71_SPFOS</vt:lpstr>
      <vt:lpstr>v_71_SPO4</vt:lpstr>
      <vt:lpstr>v_71_SU</vt:lpstr>
      <vt:lpstr>v_71_SVFA</vt:lpstr>
      <vt:lpstr>v_71_XACP</vt:lpstr>
      <vt:lpstr>v_71_XAHO</vt:lpstr>
      <vt:lpstr>v_71_XALGAE</vt:lpstr>
      <vt:lpstr>v_71_XAMETO</vt:lpstr>
      <vt:lpstr>v_71_XAMX</vt:lpstr>
      <vt:lpstr>v_71_XAOB</vt:lpstr>
      <vt:lpstr>v_71_XB</vt:lpstr>
      <vt:lpstr>v_71_XB_e</vt:lpstr>
      <vt:lpstr>v_71_XBSH</vt:lpstr>
      <vt:lpstr>v_71_XCaCO3</vt:lpstr>
      <vt:lpstr>v_71_XCASTO</vt:lpstr>
      <vt:lpstr>v_71_XE</vt:lpstr>
      <vt:lpstr>v_71_XE_ana</vt:lpstr>
      <vt:lpstr>v_71_XHAO_H</vt:lpstr>
      <vt:lpstr>v_71_XHAO_H_P</vt:lpstr>
      <vt:lpstr>v_71_XHAO_H_P_old</vt:lpstr>
      <vt:lpstr>v_71_XHAO_L</vt:lpstr>
      <vt:lpstr>v_71_XHAO_L_P</vt:lpstr>
      <vt:lpstr>v_71_XHAO_L_P_old</vt:lpstr>
      <vt:lpstr>v_71_XHAO_old</vt:lpstr>
      <vt:lpstr>v_71_XHFO_H</vt:lpstr>
      <vt:lpstr>v_71_XHFO_H_P</vt:lpstr>
      <vt:lpstr>v_71_XHFO_H_P_old</vt:lpstr>
      <vt:lpstr>v_71_XHFO_L</vt:lpstr>
      <vt:lpstr>v_71_XHFO_L_P</vt:lpstr>
      <vt:lpstr>v_71_XHFO_L_P_old</vt:lpstr>
      <vt:lpstr>v_71_XHFO_old</vt:lpstr>
      <vt:lpstr>v_71_XHMETO</vt:lpstr>
      <vt:lpstr>v_71_XINORG</vt:lpstr>
      <vt:lpstr>v_71_XMEOLO</vt:lpstr>
      <vt:lpstr>v_71_XN_B</vt:lpstr>
      <vt:lpstr>v_71_XN_Be</vt:lpstr>
      <vt:lpstr>v_71_XN_U</vt:lpstr>
      <vt:lpstr>v_71_XNOB</vt:lpstr>
      <vt:lpstr>v_71_XOHO</vt:lpstr>
      <vt:lpstr>v_71_XP_B</vt:lpstr>
      <vt:lpstr>v_71_XP_Be</vt:lpstr>
      <vt:lpstr>v_71_XP_U</vt:lpstr>
      <vt:lpstr>v_71_XPFOA</vt:lpstr>
      <vt:lpstr>v_71_XPFOS</vt:lpstr>
      <vt:lpstr>v_71_XPHA_GAO</vt:lpstr>
      <vt:lpstr>v_71_XPHA_PAO</vt:lpstr>
      <vt:lpstr>v_71_XPP</vt:lpstr>
      <vt:lpstr>v_71_XSTO</vt:lpstr>
      <vt:lpstr>v_71_XSTR</vt:lpstr>
      <vt:lpstr>v_71_XU</vt:lpstr>
      <vt:lpstr>v_71_XVivi</vt:lpstr>
      <vt:lpstr>v_72_CB</vt:lpstr>
      <vt:lpstr>v_72_CU</vt:lpstr>
      <vt:lpstr>v_72_GCH4</vt:lpstr>
      <vt:lpstr>v_72_GCH4_atm</vt:lpstr>
      <vt:lpstr>v_72_GCO2</vt:lpstr>
      <vt:lpstr>v_72_GCO2_atm</vt:lpstr>
      <vt:lpstr>v_72_GH2</vt:lpstr>
      <vt:lpstr>v_72_GH2_atm</vt:lpstr>
      <vt:lpstr>v_72_GN2</vt:lpstr>
      <vt:lpstr>v_72_GN2_atm</vt:lpstr>
      <vt:lpstr>v_72_GNH3</vt:lpstr>
      <vt:lpstr>v_72_GNH3_atm</vt:lpstr>
      <vt:lpstr>v_72_GO2</vt:lpstr>
      <vt:lpstr>v_72_GO2_atm</vt:lpstr>
      <vt:lpstr>v_72_SALPHA</vt:lpstr>
      <vt:lpstr>v_72_SAN</vt:lpstr>
      <vt:lpstr>v_72_SB_mono</vt:lpstr>
      <vt:lpstr>v_72_SB_poly</vt:lpstr>
      <vt:lpstr>v_72_SCa</vt:lpstr>
      <vt:lpstr>v_72_SCAT</vt:lpstr>
      <vt:lpstr>v_72_SCH4</vt:lpstr>
      <vt:lpstr>v_72_SCO2</vt:lpstr>
      <vt:lpstr>v_72_SFe2</vt:lpstr>
      <vt:lpstr>v_72_SH</vt:lpstr>
      <vt:lpstr>v_72_SH2</vt:lpstr>
      <vt:lpstr>v_72_SK</vt:lpstr>
      <vt:lpstr>v_72_SMEOL</vt:lpstr>
      <vt:lpstr>v_72_SMg</vt:lpstr>
      <vt:lpstr>v_72_SN_B</vt:lpstr>
      <vt:lpstr>v_72_SN2</vt:lpstr>
      <vt:lpstr>v_72_SNHx</vt:lpstr>
      <vt:lpstr>v_72_SNO2</vt:lpstr>
      <vt:lpstr>v_72_SNO3</vt:lpstr>
      <vt:lpstr>v_72_SO2</vt:lpstr>
      <vt:lpstr>v_72_SORPswitch</vt:lpstr>
      <vt:lpstr>v_72_SP_B</vt:lpstr>
      <vt:lpstr>v_72_SPFOA</vt:lpstr>
      <vt:lpstr>v_72_SPFOS</vt:lpstr>
      <vt:lpstr>v_72_SPO4</vt:lpstr>
      <vt:lpstr>v_72_SU</vt:lpstr>
      <vt:lpstr>v_72_SVFA</vt:lpstr>
      <vt:lpstr>v_72_XACP</vt:lpstr>
      <vt:lpstr>v_72_XAHO</vt:lpstr>
      <vt:lpstr>v_72_XALGAE</vt:lpstr>
      <vt:lpstr>v_72_XAMETO</vt:lpstr>
      <vt:lpstr>v_72_XAMX</vt:lpstr>
      <vt:lpstr>v_72_XAOB</vt:lpstr>
      <vt:lpstr>v_72_XB</vt:lpstr>
      <vt:lpstr>v_72_XB_e</vt:lpstr>
      <vt:lpstr>v_72_XBSH</vt:lpstr>
      <vt:lpstr>v_72_XCaCO3</vt:lpstr>
      <vt:lpstr>v_72_XCASTO</vt:lpstr>
      <vt:lpstr>v_72_XE</vt:lpstr>
      <vt:lpstr>v_72_XE_ana</vt:lpstr>
      <vt:lpstr>v_72_XHAO_H</vt:lpstr>
      <vt:lpstr>v_72_XHAO_H_P</vt:lpstr>
      <vt:lpstr>v_72_XHAO_H_P_old</vt:lpstr>
      <vt:lpstr>v_72_XHAO_L</vt:lpstr>
      <vt:lpstr>v_72_XHAO_L_P</vt:lpstr>
      <vt:lpstr>v_72_XHAO_L_P_old</vt:lpstr>
      <vt:lpstr>v_72_XHAO_old</vt:lpstr>
      <vt:lpstr>v_72_XHFO_H</vt:lpstr>
      <vt:lpstr>v_72_XHFO_H_P</vt:lpstr>
      <vt:lpstr>v_72_XHFO_H_P_old</vt:lpstr>
      <vt:lpstr>v_72_XHFO_L</vt:lpstr>
      <vt:lpstr>v_72_XHFO_L_P</vt:lpstr>
      <vt:lpstr>v_72_XHFO_L_P_old</vt:lpstr>
      <vt:lpstr>v_72_XHFO_old</vt:lpstr>
      <vt:lpstr>v_72_XHMETO</vt:lpstr>
      <vt:lpstr>v_72_XINORG</vt:lpstr>
      <vt:lpstr>v_72_XMEOLO</vt:lpstr>
      <vt:lpstr>v_72_XN_B</vt:lpstr>
      <vt:lpstr>v_72_XN_Be</vt:lpstr>
      <vt:lpstr>v_72_XN_U</vt:lpstr>
      <vt:lpstr>v_72_XNOB</vt:lpstr>
      <vt:lpstr>v_72_XOHO</vt:lpstr>
      <vt:lpstr>v_72_XP_B</vt:lpstr>
      <vt:lpstr>v_72_XP_Be</vt:lpstr>
      <vt:lpstr>v_72_XP_U</vt:lpstr>
      <vt:lpstr>v_72_XPFOA</vt:lpstr>
      <vt:lpstr>v_72_XPFOS</vt:lpstr>
      <vt:lpstr>v_72_XPHA_GAO</vt:lpstr>
      <vt:lpstr>v_72_XPHA_PAO</vt:lpstr>
      <vt:lpstr>v_72_XPP</vt:lpstr>
      <vt:lpstr>v_72_XSTO</vt:lpstr>
      <vt:lpstr>v_72_XSTR</vt:lpstr>
      <vt:lpstr>v_72_XU</vt:lpstr>
      <vt:lpstr>v_72_XVivi</vt:lpstr>
      <vt:lpstr>v_73_CB</vt:lpstr>
      <vt:lpstr>v_73_CU</vt:lpstr>
      <vt:lpstr>v_73_GCH4</vt:lpstr>
      <vt:lpstr>v_73_GCH4_atm</vt:lpstr>
      <vt:lpstr>v_73_GCO2</vt:lpstr>
      <vt:lpstr>v_73_GCO2_atm</vt:lpstr>
      <vt:lpstr>v_73_GH2</vt:lpstr>
      <vt:lpstr>v_73_GH2_atm</vt:lpstr>
      <vt:lpstr>v_73_GN2</vt:lpstr>
      <vt:lpstr>v_73_GN2_atm</vt:lpstr>
      <vt:lpstr>v_73_GNH3</vt:lpstr>
      <vt:lpstr>v_73_GNH3_atm</vt:lpstr>
      <vt:lpstr>v_73_GO2</vt:lpstr>
      <vt:lpstr>v_73_GO2_atm</vt:lpstr>
      <vt:lpstr>v_73_SALPHA</vt:lpstr>
      <vt:lpstr>v_73_SAN</vt:lpstr>
      <vt:lpstr>v_73_SB_mono</vt:lpstr>
      <vt:lpstr>v_73_SB_poly</vt:lpstr>
      <vt:lpstr>v_73_SCa</vt:lpstr>
      <vt:lpstr>v_73_SCAT</vt:lpstr>
      <vt:lpstr>v_73_SCH4</vt:lpstr>
      <vt:lpstr>v_73_SCO2</vt:lpstr>
      <vt:lpstr>v_73_SFe2</vt:lpstr>
      <vt:lpstr>v_73_SH</vt:lpstr>
      <vt:lpstr>v_73_SH2</vt:lpstr>
      <vt:lpstr>v_73_SK</vt:lpstr>
      <vt:lpstr>v_73_SMEOL</vt:lpstr>
      <vt:lpstr>v_73_SMg</vt:lpstr>
      <vt:lpstr>v_73_SN_B</vt:lpstr>
      <vt:lpstr>v_73_SN2</vt:lpstr>
      <vt:lpstr>v_73_SNHx</vt:lpstr>
      <vt:lpstr>v_73_SNO2</vt:lpstr>
      <vt:lpstr>v_73_SNO3</vt:lpstr>
      <vt:lpstr>v_73_SO2</vt:lpstr>
      <vt:lpstr>v_73_SORPswitch</vt:lpstr>
      <vt:lpstr>v_73_SP_B</vt:lpstr>
      <vt:lpstr>v_73_SPFOA</vt:lpstr>
      <vt:lpstr>v_73_SPFOS</vt:lpstr>
      <vt:lpstr>v_73_SPO4</vt:lpstr>
      <vt:lpstr>v_73_SU</vt:lpstr>
      <vt:lpstr>v_73_SVFA</vt:lpstr>
      <vt:lpstr>v_73_XACP</vt:lpstr>
      <vt:lpstr>v_73_XAHO</vt:lpstr>
      <vt:lpstr>v_73_XALGAE</vt:lpstr>
      <vt:lpstr>v_73_XAMETO</vt:lpstr>
      <vt:lpstr>v_73_XAMX</vt:lpstr>
      <vt:lpstr>v_73_XAOB</vt:lpstr>
      <vt:lpstr>v_73_XB</vt:lpstr>
      <vt:lpstr>v_73_XB_e</vt:lpstr>
      <vt:lpstr>v_73_XBSH</vt:lpstr>
      <vt:lpstr>v_73_XCaCO3</vt:lpstr>
      <vt:lpstr>v_73_XCASTO</vt:lpstr>
      <vt:lpstr>v_73_XE</vt:lpstr>
      <vt:lpstr>v_73_XE_ana</vt:lpstr>
      <vt:lpstr>v_73_XHAO_H</vt:lpstr>
      <vt:lpstr>v_73_XHAO_H_P</vt:lpstr>
      <vt:lpstr>v_73_XHAO_H_P_old</vt:lpstr>
      <vt:lpstr>v_73_XHAO_L</vt:lpstr>
      <vt:lpstr>v_73_XHAO_L_P</vt:lpstr>
      <vt:lpstr>v_73_XHAO_L_P_old</vt:lpstr>
      <vt:lpstr>v_73_XHAO_old</vt:lpstr>
      <vt:lpstr>v_73_XHFO_H</vt:lpstr>
      <vt:lpstr>v_73_XHFO_H_P</vt:lpstr>
      <vt:lpstr>v_73_XHFO_H_P_old</vt:lpstr>
      <vt:lpstr>v_73_XHFO_L</vt:lpstr>
      <vt:lpstr>v_73_XHFO_L_P</vt:lpstr>
      <vt:lpstr>v_73_XHFO_L_P_old</vt:lpstr>
      <vt:lpstr>v_73_XHFO_old</vt:lpstr>
      <vt:lpstr>v_73_XHMETO</vt:lpstr>
      <vt:lpstr>v_73_XINORG</vt:lpstr>
      <vt:lpstr>v_73_XMEOLO</vt:lpstr>
      <vt:lpstr>v_73_XN_B</vt:lpstr>
      <vt:lpstr>v_73_XN_Be</vt:lpstr>
      <vt:lpstr>v_73_XN_U</vt:lpstr>
      <vt:lpstr>v_73_XNOB</vt:lpstr>
      <vt:lpstr>v_73_XOHO</vt:lpstr>
      <vt:lpstr>v_73_XP_B</vt:lpstr>
      <vt:lpstr>v_73_XP_Be</vt:lpstr>
      <vt:lpstr>v_73_XP_U</vt:lpstr>
      <vt:lpstr>v_73_XPFOA</vt:lpstr>
      <vt:lpstr>v_73_XPFOS</vt:lpstr>
      <vt:lpstr>v_73_XPHA_GAO</vt:lpstr>
      <vt:lpstr>v_73_XPHA_PAO</vt:lpstr>
      <vt:lpstr>v_73_XPP</vt:lpstr>
      <vt:lpstr>v_73_XSTO</vt:lpstr>
      <vt:lpstr>v_73_XSTR</vt:lpstr>
      <vt:lpstr>v_73_XU</vt:lpstr>
      <vt:lpstr>v_73_XVivi</vt:lpstr>
      <vt:lpstr>v_74_CB</vt:lpstr>
      <vt:lpstr>v_74_CU</vt:lpstr>
      <vt:lpstr>v_74_GCH4</vt:lpstr>
      <vt:lpstr>v_74_GCH4_atm</vt:lpstr>
      <vt:lpstr>v_74_GCO2</vt:lpstr>
      <vt:lpstr>v_74_GCO2_atm</vt:lpstr>
      <vt:lpstr>v_74_GH2</vt:lpstr>
      <vt:lpstr>v_74_GH2_atm</vt:lpstr>
      <vt:lpstr>v_74_GN2</vt:lpstr>
      <vt:lpstr>v_74_GN2_atm</vt:lpstr>
      <vt:lpstr>v_74_GNH3</vt:lpstr>
      <vt:lpstr>v_74_GNH3_atm</vt:lpstr>
      <vt:lpstr>v_74_GO2</vt:lpstr>
      <vt:lpstr>v_74_GO2_atm</vt:lpstr>
      <vt:lpstr>v_74_SALPHA</vt:lpstr>
      <vt:lpstr>v_74_SAN</vt:lpstr>
      <vt:lpstr>v_74_SB_mono</vt:lpstr>
      <vt:lpstr>v_74_SB_poly</vt:lpstr>
      <vt:lpstr>v_74_SCa</vt:lpstr>
      <vt:lpstr>v_74_SCAT</vt:lpstr>
      <vt:lpstr>v_74_SCH4</vt:lpstr>
      <vt:lpstr>v_74_SCO2</vt:lpstr>
      <vt:lpstr>v_74_SFe2</vt:lpstr>
      <vt:lpstr>v_74_SH</vt:lpstr>
      <vt:lpstr>v_74_SH2</vt:lpstr>
      <vt:lpstr>v_74_SK</vt:lpstr>
      <vt:lpstr>v_74_SMEOL</vt:lpstr>
      <vt:lpstr>v_74_SMg</vt:lpstr>
      <vt:lpstr>v_74_SN_B</vt:lpstr>
      <vt:lpstr>v_74_SN2</vt:lpstr>
      <vt:lpstr>v_74_SNHx</vt:lpstr>
      <vt:lpstr>v_74_SNO2</vt:lpstr>
      <vt:lpstr>v_74_SNO3</vt:lpstr>
      <vt:lpstr>v_74_SO2</vt:lpstr>
      <vt:lpstr>v_74_SORPswitch</vt:lpstr>
      <vt:lpstr>v_74_SP_B</vt:lpstr>
      <vt:lpstr>v_74_SPFOA</vt:lpstr>
      <vt:lpstr>v_74_SPFOS</vt:lpstr>
      <vt:lpstr>v_74_SPO4</vt:lpstr>
      <vt:lpstr>v_74_SU</vt:lpstr>
      <vt:lpstr>v_74_SVFA</vt:lpstr>
      <vt:lpstr>v_74_XACP</vt:lpstr>
      <vt:lpstr>v_74_XAHO</vt:lpstr>
      <vt:lpstr>v_74_XALGAE</vt:lpstr>
      <vt:lpstr>v_74_XAMETO</vt:lpstr>
      <vt:lpstr>v_74_XAMX</vt:lpstr>
      <vt:lpstr>v_74_XAOB</vt:lpstr>
      <vt:lpstr>v_74_XB</vt:lpstr>
      <vt:lpstr>v_74_XB_e</vt:lpstr>
      <vt:lpstr>v_74_XBSH</vt:lpstr>
      <vt:lpstr>v_74_XCaCO3</vt:lpstr>
      <vt:lpstr>v_74_XCASTO</vt:lpstr>
      <vt:lpstr>v_74_XE</vt:lpstr>
      <vt:lpstr>v_74_XE_ana</vt:lpstr>
      <vt:lpstr>v_74_XHAO_H</vt:lpstr>
      <vt:lpstr>v_74_XHAO_H_P</vt:lpstr>
      <vt:lpstr>v_74_XHAO_H_P_old</vt:lpstr>
      <vt:lpstr>v_74_XHAO_L</vt:lpstr>
      <vt:lpstr>v_74_XHAO_L_P</vt:lpstr>
      <vt:lpstr>v_74_XHAO_L_P_old</vt:lpstr>
      <vt:lpstr>v_74_XHAO_old</vt:lpstr>
      <vt:lpstr>v_74_XHFO_H</vt:lpstr>
      <vt:lpstr>v_74_XHFO_H_P</vt:lpstr>
      <vt:lpstr>v_74_XHFO_H_P_old</vt:lpstr>
      <vt:lpstr>v_74_XHFO_L</vt:lpstr>
      <vt:lpstr>v_74_XHFO_L_P</vt:lpstr>
      <vt:lpstr>v_74_XHFO_L_P_old</vt:lpstr>
      <vt:lpstr>v_74_XHFO_old</vt:lpstr>
      <vt:lpstr>v_74_XHMETO</vt:lpstr>
      <vt:lpstr>v_74_XINORG</vt:lpstr>
      <vt:lpstr>v_74_XMEOLO</vt:lpstr>
      <vt:lpstr>v_74_XN_B</vt:lpstr>
      <vt:lpstr>v_74_XN_Be</vt:lpstr>
      <vt:lpstr>v_74_XN_U</vt:lpstr>
      <vt:lpstr>v_74_XNOB</vt:lpstr>
      <vt:lpstr>v_74_XOHO</vt:lpstr>
      <vt:lpstr>v_74_XP_B</vt:lpstr>
      <vt:lpstr>v_74_XP_Be</vt:lpstr>
      <vt:lpstr>v_74_XP_U</vt:lpstr>
      <vt:lpstr>v_74_XPFOA</vt:lpstr>
      <vt:lpstr>v_74_XPFOS</vt:lpstr>
      <vt:lpstr>v_74_XPHA_GAO</vt:lpstr>
      <vt:lpstr>v_74_XPHA_PAO</vt:lpstr>
      <vt:lpstr>v_74_XPP</vt:lpstr>
      <vt:lpstr>v_74_XSTO</vt:lpstr>
      <vt:lpstr>v_74_XSTR</vt:lpstr>
      <vt:lpstr>v_74_XU</vt:lpstr>
      <vt:lpstr>v_74_XVivi</vt:lpstr>
      <vt:lpstr>v_75_CB</vt:lpstr>
      <vt:lpstr>v_75_CU</vt:lpstr>
      <vt:lpstr>v_75_GCH4</vt:lpstr>
      <vt:lpstr>v_75_GCH4_atm</vt:lpstr>
      <vt:lpstr>v_75_GCO2</vt:lpstr>
      <vt:lpstr>v_75_GCO2_atm</vt:lpstr>
      <vt:lpstr>v_75_GH2</vt:lpstr>
      <vt:lpstr>v_75_GH2_atm</vt:lpstr>
      <vt:lpstr>v_75_GN2</vt:lpstr>
      <vt:lpstr>v_75_GN2_atm</vt:lpstr>
      <vt:lpstr>v_75_GNH3</vt:lpstr>
      <vt:lpstr>v_75_GNH3_atm</vt:lpstr>
      <vt:lpstr>v_75_GO2</vt:lpstr>
      <vt:lpstr>v_75_GO2_atm</vt:lpstr>
      <vt:lpstr>v_75_SALPHA</vt:lpstr>
      <vt:lpstr>v_75_SAN</vt:lpstr>
      <vt:lpstr>v_75_SB_mono</vt:lpstr>
      <vt:lpstr>v_75_SB_poly</vt:lpstr>
      <vt:lpstr>v_75_SCa</vt:lpstr>
      <vt:lpstr>v_75_SCAT</vt:lpstr>
      <vt:lpstr>v_75_SCH4</vt:lpstr>
      <vt:lpstr>v_75_SCO2</vt:lpstr>
      <vt:lpstr>v_75_SFe2</vt:lpstr>
      <vt:lpstr>v_75_SH</vt:lpstr>
      <vt:lpstr>v_75_SH2</vt:lpstr>
      <vt:lpstr>v_75_SK</vt:lpstr>
      <vt:lpstr>v_75_SMEOL</vt:lpstr>
      <vt:lpstr>v_75_SMg</vt:lpstr>
      <vt:lpstr>v_75_SN_B</vt:lpstr>
      <vt:lpstr>v_75_SN2</vt:lpstr>
      <vt:lpstr>v_75_SNHx</vt:lpstr>
      <vt:lpstr>v_75_SNO2</vt:lpstr>
      <vt:lpstr>v_75_SNO3</vt:lpstr>
      <vt:lpstr>v_75_SO2</vt:lpstr>
      <vt:lpstr>v_75_SORPswitch</vt:lpstr>
      <vt:lpstr>v_75_SP_B</vt:lpstr>
      <vt:lpstr>v_75_SPFOA</vt:lpstr>
      <vt:lpstr>v_75_SPFOS</vt:lpstr>
      <vt:lpstr>v_75_SPO4</vt:lpstr>
      <vt:lpstr>v_75_SU</vt:lpstr>
      <vt:lpstr>v_75_SVFA</vt:lpstr>
      <vt:lpstr>v_75_XACP</vt:lpstr>
      <vt:lpstr>v_75_XAHO</vt:lpstr>
      <vt:lpstr>v_75_XALGAE</vt:lpstr>
      <vt:lpstr>v_75_XAMETO</vt:lpstr>
      <vt:lpstr>v_75_XAMX</vt:lpstr>
      <vt:lpstr>v_75_XAOB</vt:lpstr>
      <vt:lpstr>v_75_XB</vt:lpstr>
      <vt:lpstr>v_75_XB_e</vt:lpstr>
      <vt:lpstr>v_75_XBSH</vt:lpstr>
      <vt:lpstr>v_75_XCaCO3</vt:lpstr>
      <vt:lpstr>v_75_XCASTO</vt:lpstr>
      <vt:lpstr>v_75_XE</vt:lpstr>
      <vt:lpstr>v_75_XE_ana</vt:lpstr>
      <vt:lpstr>v_75_XHAO_H</vt:lpstr>
      <vt:lpstr>v_75_XHAO_H_P</vt:lpstr>
      <vt:lpstr>v_75_XHAO_H_P_old</vt:lpstr>
      <vt:lpstr>v_75_XHAO_L</vt:lpstr>
      <vt:lpstr>v_75_XHAO_L_P</vt:lpstr>
      <vt:lpstr>v_75_XHAO_L_P_old</vt:lpstr>
      <vt:lpstr>v_75_XHAO_old</vt:lpstr>
      <vt:lpstr>v_75_XHFO_H</vt:lpstr>
      <vt:lpstr>v_75_XHFO_H_P</vt:lpstr>
      <vt:lpstr>v_75_XHFO_H_P_old</vt:lpstr>
      <vt:lpstr>v_75_XHFO_L</vt:lpstr>
      <vt:lpstr>v_75_XHFO_L_P</vt:lpstr>
      <vt:lpstr>v_75_XHFO_L_P_old</vt:lpstr>
      <vt:lpstr>v_75_XHFO_old</vt:lpstr>
      <vt:lpstr>v_75_XHMETO</vt:lpstr>
      <vt:lpstr>v_75_XINORG</vt:lpstr>
      <vt:lpstr>v_75_XMEOLO</vt:lpstr>
      <vt:lpstr>v_75_XN_B</vt:lpstr>
      <vt:lpstr>v_75_XN_Be</vt:lpstr>
      <vt:lpstr>v_75_XN_U</vt:lpstr>
      <vt:lpstr>v_75_XNOB</vt:lpstr>
      <vt:lpstr>v_75_XOHO</vt:lpstr>
      <vt:lpstr>v_75_XP_B</vt:lpstr>
      <vt:lpstr>v_75_XP_Be</vt:lpstr>
      <vt:lpstr>v_75_XP_U</vt:lpstr>
      <vt:lpstr>v_75_XPFOA</vt:lpstr>
      <vt:lpstr>v_75_XPFOS</vt:lpstr>
      <vt:lpstr>v_75_XPHA_GAO</vt:lpstr>
      <vt:lpstr>v_75_XPHA_PAO</vt:lpstr>
      <vt:lpstr>v_75_XPP</vt:lpstr>
      <vt:lpstr>v_75_XSTO</vt:lpstr>
      <vt:lpstr>v_75_XSTR</vt:lpstr>
      <vt:lpstr>v_75_XU</vt:lpstr>
      <vt:lpstr>v_75_XVivi</vt:lpstr>
      <vt:lpstr>v_76_CB</vt:lpstr>
      <vt:lpstr>v_76_CU</vt:lpstr>
      <vt:lpstr>v_76_GCH4</vt:lpstr>
      <vt:lpstr>v_76_GCH4_atm</vt:lpstr>
      <vt:lpstr>v_76_GCO2</vt:lpstr>
      <vt:lpstr>v_76_GCO2_atm</vt:lpstr>
      <vt:lpstr>v_76_GH2</vt:lpstr>
      <vt:lpstr>v_76_GH2_atm</vt:lpstr>
      <vt:lpstr>v_76_GN2</vt:lpstr>
      <vt:lpstr>v_76_GN2_atm</vt:lpstr>
      <vt:lpstr>v_76_GNH3</vt:lpstr>
      <vt:lpstr>v_76_GNH3_atm</vt:lpstr>
      <vt:lpstr>v_76_GO2</vt:lpstr>
      <vt:lpstr>v_76_GO2_atm</vt:lpstr>
      <vt:lpstr>v_76_SALPHA</vt:lpstr>
      <vt:lpstr>v_76_SAN</vt:lpstr>
      <vt:lpstr>v_76_SB_mono</vt:lpstr>
      <vt:lpstr>v_76_SB_poly</vt:lpstr>
      <vt:lpstr>v_76_SCa</vt:lpstr>
      <vt:lpstr>v_76_SCAT</vt:lpstr>
      <vt:lpstr>v_76_SCH4</vt:lpstr>
      <vt:lpstr>v_76_SCO2</vt:lpstr>
      <vt:lpstr>v_76_SFe2</vt:lpstr>
      <vt:lpstr>v_76_SH</vt:lpstr>
      <vt:lpstr>v_76_SH2</vt:lpstr>
      <vt:lpstr>v_76_SK</vt:lpstr>
      <vt:lpstr>v_76_SMEOL</vt:lpstr>
      <vt:lpstr>v_76_SMg</vt:lpstr>
      <vt:lpstr>v_76_SN_B</vt:lpstr>
      <vt:lpstr>v_76_SN2</vt:lpstr>
      <vt:lpstr>v_76_SNHx</vt:lpstr>
      <vt:lpstr>v_76_SNO2</vt:lpstr>
      <vt:lpstr>v_76_SNO3</vt:lpstr>
      <vt:lpstr>v_76_SO2</vt:lpstr>
      <vt:lpstr>v_76_SORPswitch</vt:lpstr>
      <vt:lpstr>v_76_SP_B</vt:lpstr>
      <vt:lpstr>v_76_SPFOA</vt:lpstr>
      <vt:lpstr>v_76_SPFOS</vt:lpstr>
      <vt:lpstr>v_76_SPO4</vt:lpstr>
      <vt:lpstr>v_76_SU</vt:lpstr>
      <vt:lpstr>v_76_SVFA</vt:lpstr>
      <vt:lpstr>v_76_XACP</vt:lpstr>
      <vt:lpstr>v_76_XAHO</vt:lpstr>
      <vt:lpstr>v_76_XALGAE</vt:lpstr>
      <vt:lpstr>v_76_XAMETO</vt:lpstr>
      <vt:lpstr>v_76_XAMX</vt:lpstr>
      <vt:lpstr>v_76_XAOB</vt:lpstr>
      <vt:lpstr>v_76_XB</vt:lpstr>
      <vt:lpstr>v_76_XB_e</vt:lpstr>
      <vt:lpstr>v_76_XBSH</vt:lpstr>
      <vt:lpstr>v_76_XCaCO3</vt:lpstr>
      <vt:lpstr>v_76_XCASTO</vt:lpstr>
      <vt:lpstr>v_76_XE</vt:lpstr>
      <vt:lpstr>v_76_XE_ana</vt:lpstr>
      <vt:lpstr>v_76_XHAO_H</vt:lpstr>
      <vt:lpstr>v_76_XHAO_H_P</vt:lpstr>
      <vt:lpstr>v_76_XHAO_H_P_old</vt:lpstr>
      <vt:lpstr>v_76_XHAO_L</vt:lpstr>
      <vt:lpstr>v_76_XHAO_L_P</vt:lpstr>
      <vt:lpstr>v_76_XHAO_L_P_old</vt:lpstr>
      <vt:lpstr>v_76_XHAO_old</vt:lpstr>
      <vt:lpstr>v_76_XHFO_H</vt:lpstr>
      <vt:lpstr>v_76_XHFO_H_P</vt:lpstr>
      <vt:lpstr>v_76_XHFO_H_P_old</vt:lpstr>
      <vt:lpstr>v_76_XHFO_L</vt:lpstr>
      <vt:lpstr>v_76_XHFO_L_P</vt:lpstr>
      <vt:lpstr>v_76_XHFO_L_P_old</vt:lpstr>
      <vt:lpstr>v_76_XHFO_old</vt:lpstr>
      <vt:lpstr>v_76_XHMETO</vt:lpstr>
      <vt:lpstr>v_76_XINORG</vt:lpstr>
      <vt:lpstr>v_76_XMEOLO</vt:lpstr>
      <vt:lpstr>v_76_XN_B</vt:lpstr>
      <vt:lpstr>v_76_XN_Be</vt:lpstr>
      <vt:lpstr>v_76_XN_U</vt:lpstr>
      <vt:lpstr>v_76_XNOB</vt:lpstr>
      <vt:lpstr>v_76_XOHO</vt:lpstr>
      <vt:lpstr>v_76_XP_B</vt:lpstr>
      <vt:lpstr>v_76_XP_Be</vt:lpstr>
      <vt:lpstr>v_76_XP_U</vt:lpstr>
      <vt:lpstr>v_76_XPFOA</vt:lpstr>
      <vt:lpstr>v_76_XPFOS</vt:lpstr>
      <vt:lpstr>v_76_XPHA_GAO</vt:lpstr>
      <vt:lpstr>v_76_XPHA_PAO</vt:lpstr>
      <vt:lpstr>v_76_XPP</vt:lpstr>
      <vt:lpstr>v_76_XSTO</vt:lpstr>
      <vt:lpstr>v_76_XSTR</vt:lpstr>
      <vt:lpstr>v_76_XU</vt:lpstr>
      <vt:lpstr>v_76_XVivi</vt:lpstr>
      <vt:lpstr>v_77_CB</vt:lpstr>
      <vt:lpstr>v_77_CU</vt:lpstr>
      <vt:lpstr>v_77_GCH4</vt:lpstr>
      <vt:lpstr>v_77_GCH4_atm</vt:lpstr>
      <vt:lpstr>v_77_GCO2</vt:lpstr>
      <vt:lpstr>v_77_GCO2_atm</vt:lpstr>
      <vt:lpstr>v_77_GH2</vt:lpstr>
      <vt:lpstr>v_77_GH2_atm</vt:lpstr>
      <vt:lpstr>v_77_GN2</vt:lpstr>
      <vt:lpstr>v_77_GN2_atm</vt:lpstr>
      <vt:lpstr>v_77_GNH3</vt:lpstr>
      <vt:lpstr>v_77_GNH3_atm</vt:lpstr>
      <vt:lpstr>v_77_GO2</vt:lpstr>
      <vt:lpstr>v_77_GO2_atm</vt:lpstr>
      <vt:lpstr>v_77_SALPHA</vt:lpstr>
      <vt:lpstr>v_77_SAN</vt:lpstr>
      <vt:lpstr>v_77_SB_mono</vt:lpstr>
      <vt:lpstr>v_77_SB_poly</vt:lpstr>
      <vt:lpstr>v_77_SCa</vt:lpstr>
      <vt:lpstr>v_77_SCAT</vt:lpstr>
      <vt:lpstr>v_77_SCH4</vt:lpstr>
      <vt:lpstr>v_77_SCO2</vt:lpstr>
      <vt:lpstr>v_77_SFe2</vt:lpstr>
      <vt:lpstr>v_77_SH</vt:lpstr>
      <vt:lpstr>v_77_SH2</vt:lpstr>
      <vt:lpstr>v_77_SK</vt:lpstr>
      <vt:lpstr>v_77_SMEOL</vt:lpstr>
      <vt:lpstr>v_77_SMg</vt:lpstr>
      <vt:lpstr>v_77_SN_B</vt:lpstr>
      <vt:lpstr>v_77_SN2</vt:lpstr>
      <vt:lpstr>v_77_SNHx</vt:lpstr>
      <vt:lpstr>v_77_SNO2</vt:lpstr>
      <vt:lpstr>v_77_SNO3</vt:lpstr>
      <vt:lpstr>v_77_SO2</vt:lpstr>
      <vt:lpstr>v_77_SORPswitch</vt:lpstr>
      <vt:lpstr>v_77_SP_B</vt:lpstr>
      <vt:lpstr>v_77_SPFOA</vt:lpstr>
      <vt:lpstr>v_77_SPFOS</vt:lpstr>
      <vt:lpstr>v_77_SPO4</vt:lpstr>
      <vt:lpstr>v_77_SU</vt:lpstr>
      <vt:lpstr>v_77_SVFA</vt:lpstr>
      <vt:lpstr>v_77_XACP</vt:lpstr>
      <vt:lpstr>v_77_XAHO</vt:lpstr>
      <vt:lpstr>v_77_XALGAE</vt:lpstr>
      <vt:lpstr>v_77_XAMETO</vt:lpstr>
      <vt:lpstr>v_77_XAMX</vt:lpstr>
      <vt:lpstr>v_77_XAOB</vt:lpstr>
      <vt:lpstr>v_77_XB</vt:lpstr>
      <vt:lpstr>v_77_XB_e</vt:lpstr>
      <vt:lpstr>v_77_XBSH</vt:lpstr>
      <vt:lpstr>v_77_XCaCO3</vt:lpstr>
      <vt:lpstr>v_77_XCASTO</vt:lpstr>
      <vt:lpstr>v_77_XE</vt:lpstr>
      <vt:lpstr>v_77_XE_ana</vt:lpstr>
      <vt:lpstr>v_77_XHAO_H</vt:lpstr>
      <vt:lpstr>v_77_XHAO_H_P</vt:lpstr>
      <vt:lpstr>v_77_XHAO_H_P_old</vt:lpstr>
      <vt:lpstr>v_77_XHAO_L</vt:lpstr>
      <vt:lpstr>v_77_XHAO_L_P</vt:lpstr>
      <vt:lpstr>v_77_XHAO_L_P_old</vt:lpstr>
      <vt:lpstr>v_77_XHAO_old</vt:lpstr>
      <vt:lpstr>v_77_XHFO_H</vt:lpstr>
      <vt:lpstr>v_77_XHFO_H_P</vt:lpstr>
      <vt:lpstr>v_77_XHFO_H_P_old</vt:lpstr>
      <vt:lpstr>v_77_XHFO_L</vt:lpstr>
      <vt:lpstr>v_77_XHFO_L_P</vt:lpstr>
      <vt:lpstr>v_77_XHFO_L_P_old</vt:lpstr>
      <vt:lpstr>v_77_XHFO_old</vt:lpstr>
      <vt:lpstr>v_77_XHMETO</vt:lpstr>
      <vt:lpstr>v_77_XINORG</vt:lpstr>
      <vt:lpstr>v_77_XMEOLO</vt:lpstr>
      <vt:lpstr>v_77_XN_B</vt:lpstr>
      <vt:lpstr>v_77_XN_Be</vt:lpstr>
      <vt:lpstr>v_77_XN_U</vt:lpstr>
      <vt:lpstr>v_77_XNOB</vt:lpstr>
      <vt:lpstr>v_77_XOHO</vt:lpstr>
      <vt:lpstr>v_77_XP_B</vt:lpstr>
      <vt:lpstr>v_77_XP_Be</vt:lpstr>
      <vt:lpstr>v_77_XP_U</vt:lpstr>
      <vt:lpstr>v_77_XPFOA</vt:lpstr>
      <vt:lpstr>v_77_XPFOS</vt:lpstr>
      <vt:lpstr>v_77_XPHA_GAO</vt:lpstr>
      <vt:lpstr>v_77_XPHA_PAO</vt:lpstr>
      <vt:lpstr>v_77_XPP</vt:lpstr>
      <vt:lpstr>v_77_XSTO</vt:lpstr>
      <vt:lpstr>v_77_XSTR</vt:lpstr>
      <vt:lpstr>v_77_XU</vt:lpstr>
      <vt:lpstr>v_77_XVivi</vt:lpstr>
      <vt:lpstr>v_78_CB</vt:lpstr>
      <vt:lpstr>v_78_CU</vt:lpstr>
      <vt:lpstr>v_78_GCH4</vt:lpstr>
      <vt:lpstr>v_78_GCH4_atm</vt:lpstr>
      <vt:lpstr>v_78_GCO2</vt:lpstr>
      <vt:lpstr>v_78_GCO2_atm</vt:lpstr>
      <vt:lpstr>v_78_GH2</vt:lpstr>
      <vt:lpstr>v_78_GH2_atm</vt:lpstr>
      <vt:lpstr>v_78_GN2</vt:lpstr>
      <vt:lpstr>v_78_GN2_atm</vt:lpstr>
      <vt:lpstr>v_78_GNH3</vt:lpstr>
      <vt:lpstr>v_78_GNH3_atm</vt:lpstr>
      <vt:lpstr>v_78_GO2</vt:lpstr>
      <vt:lpstr>v_78_GO2_atm</vt:lpstr>
      <vt:lpstr>v_78_SALPHA</vt:lpstr>
      <vt:lpstr>v_78_SAN</vt:lpstr>
      <vt:lpstr>v_78_SB_mono</vt:lpstr>
      <vt:lpstr>v_78_SB_poly</vt:lpstr>
      <vt:lpstr>v_78_SCa</vt:lpstr>
      <vt:lpstr>v_78_SCAT</vt:lpstr>
      <vt:lpstr>v_78_SCH4</vt:lpstr>
      <vt:lpstr>v_78_SCO2</vt:lpstr>
      <vt:lpstr>v_78_SFe2</vt:lpstr>
      <vt:lpstr>v_78_SH</vt:lpstr>
      <vt:lpstr>v_78_SH2</vt:lpstr>
      <vt:lpstr>v_78_SK</vt:lpstr>
      <vt:lpstr>v_78_SMEOL</vt:lpstr>
      <vt:lpstr>v_78_SMg</vt:lpstr>
      <vt:lpstr>v_78_SN_B</vt:lpstr>
      <vt:lpstr>v_78_SN2</vt:lpstr>
      <vt:lpstr>v_78_SNHx</vt:lpstr>
      <vt:lpstr>v_78_SNO2</vt:lpstr>
      <vt:lpstr>v_78_SNO3</vt:lpstr>
      <vt:lpstr>v_78_SO2</vt:lpstr>
      <vt:lpstr>v_78_SORPswitch</vt:lpstr>
      <vt:lpstr>v_78_SP_B</vt:lpstr>
      <vt:lpstr>v_78_SPFOA</vt:lpstr>
      <vt:lpstr>v_78_SPFOS</vt:lpstr>
      <vt:lpstr>v_78_SPO4</vt:lpstr>
      <vt:lpstr>v_78_SU</vt:lpstr>
      <vt:lpstr>v_78_SVFA</vt:lpstr>
      <vt:lpstr>v_78_XACP</vt:lpstr>
      <vt:lpstr>v_78_XAHO</vt:lpstr>
      <vt:lpstr>v_78_XALGAE</vt:lpstr>
      <vt:lpstr>v_78_XAMETO</vt:lpstr>
      <vt:lpstr>v_78_XAMX</vt:lpstr>
      <vt:lpstr>v_78_XAOB</vt:lpstr>
      <vt:lpstr>v_78_XB</vt:lpstr>
      <vt:lpstr>v_78_XB_e</vt:lpstr>
      <vt:lpstr>v_78_XBSH</vt:lpstr>
      <vt:lpstr>v_78_XCaCO3</vt:lpstr>
      <vt:lpstr>v_78_XCASTO</vt:lpstr>
      <vt:lpstr>v_78_XE</vt:lpstr>
      <vt:lpstr>v_78_XE_ana</vt:lpstr>
      <vt:lpstr>v_78_XHAO_H</vt:lpstr>
      <vt:lpstr>v_78_XHAO_H_P</vt:lpstr>
      <vt:lpstr>v_78_XHAO_H_P_old</vt:lpstr>
      <vt:lpstr>v_78_XHAO_L</vt:lpstr>
      <vt:lpstr>v_78_XHAO_L_P</vt:lpstr>
      <vt:lpstr>v_78_XHAO_L_P_old</vt:lpstr>
      <vt:lpstr>v_78_XHAO_old</vt:lpstr>
      <vt:lpstr>v_78_XHFO_H</vt:lpstr>
      <vt:lpstr>v_78_XHFO_H_P</vt:lpstr>
      <vt:lpstr>v_78_XHFO_H_P_old</vt:lpstr>
      <vt:lpstr>v_78_XHFO_L</vt:lpstr>
      <vt:lpstr>v_78_XHFO_L_P</vt:lpstr>
      <vt:lpstr>v_78_XHFO_L_P_old</vt:lpstr>
      <vt:lpstr>v_78_XHFO_old</vt:lpstr>
      <vt:lpstr>v_78_XHMETO</vt:lpstr>
      <vt:lpstr>v_78_XINORG</vt:lpstr>
      <vt:lpstr>v_78_XMEOLO</vt:lpstr>
      <vt:lpstr>v_78_XN_B</vt:lpstr>
      <vt:lpstr>v_78_XN_Be</vt:lpstr>
      <vt:lpstr>v_78_XN_U</vt:lpstr>
      <vt:lpstr>v_78_XNOB</vt:lpstr>
      <vt:lpstr>v_78_XOHO</vt:lpstr>
      <vt:lpstr>v_78_XP_B</vt:lpstr>
      <vt:lpstr>v_78_XP_Be</vt:lpstr>
      <vt:lpstr>v_78_XP_U</vt:lpstr>
      <vt:lpstr>v_78_XPFOA</vt:lpstr>
      <vt:lpstr>v_78_XPFOS</vt:lpstr>
      <vt:lpstr>v_78_XPHA_GAO</vt:lpstr>
      <vt:lpstr>v_78_XPHA_PAO</vt:lpstr>
      <vt:lpstr>v_78_XPP</vt:lpstr>
      <vt:lpstr>v_78_XSTO</vt:lpstr>
      <vt:lpstr>v_78_XSTR</vt:lpstr>
      <vt:lpstr>v_78_XU</vt:lpstr>
      <vt:lpstr>v_78_XVivi</vt:lpstr>
      <vt:lpstr>v_79_CB</vt:lpstr>
      <vt:lpstr>v_79_CU</vt:lpstr>
      <vt:lpstr>v_79_GCH4</vt:lpstr>
      <vt:lpstr>v_79_GCH4_atm</vt:lpstr>
      <vt:lpstr>v_79_GCO2</vt:lpstr>
      <vt:lpstr>v_79_GCO2_atm</vt:lpstr>
      <vt:lpstr>v_79_GH2</vt:lpstr>
      <vt:lpstr>v_79_GH2_atm</vt:lpstr>
      <vt:lpstr>v_79_GN2</vt:lpstr>
      <vt:lpstr>v_79_GN2_atm</vt:lpstr>
      <vt:lpstr>v_79_GNH3</vt:lpstr>
      <vt:lpstr>v_79_GNH3_atm</vt:lpstr>
      <vt:lpstr>v_79_GO2</vt:lpstr>
      <vt:lpstr>v_79_GO2_atm</vt:lpstr>
      <vt:lpstr>v_79_SALPHA</vt:lpstr>
      <vt:lpstr>v_79_SAN</vt:lpstr>
      <vt:lpstr>v_79_SB_mono</vt:lpstr>
      <vt:lpstr>v_79_SB_poly</vt:lpstr>
      <vt:lpstr>v_79_SCa</vt:lpstr>
      <vt:lpstr>v_79_SCAT</vt:lpstr>
      <vt:lpstr>v_79_SCH4</vt:lpstr>
      <vt:lpstr>v_79_SCO2</vt:lpstr>
      <vt:lpstr>v_79_SFe2</vt:lpstr>
      <vt:lpstr>v_79_SH</vt:lpstr>
      <vt:lpstr>v_79_SH2</vt:lpstr>
      <vt:lpstr>v_79_SK</vt:lpstr>
      <vt:lpstr>v_79_SMEOL</vt:lpstr>
      <vt:lpstr>v_79_SMg</vt:lpstr>
      <vt:lpstr>v_79_SN_B</vt:lpstr>
      <vt:lpstr>v_79_SN2</vt:lpstr>
      <vt:lpstr>v_79_SNHx</vt:lpstr>
      <vt:lpstr>v_79_SNO2</vt:lpstr>
      <vt:lpstr>v_79_SNO3</vt:lpstr>
      <vt:lpstr>v_79_SO2</vt:lpstr>
      <vt:lpstr>v_79_SORPswitch</vt:lpstr>
      <vt:lpstr>v_79_SP_B</vt:lpstr>
      <vt:lpstr>v_79_SPFOA</vt:lpstr>
      <vt:lpstr>v_79_SPFOS</vt:lpstr>
      <vt:lpstr>v_79_SPO4</vt:lpstr>
      <vt:lpstr>v_79_SU</vt:lpstr>
      <vt:lpstr>v_79_SVFA</vt:lpstr>
      <vt:lpstr>v_79_XACP</vt:lpstr>
      <vt:lpstr>v_79_XAHO</vt:lpstr>
      <vt:lpstr>v_79_XALGAE</vt:lpstr>
      <vt:lpstr>v_79_XAMETO</vt:lpstr>
      <vt:lpstr>v_79_XAMX</vt:lpstr>
      <vt:lpstr>v_79_XAOB</vt:lpstr>
      <vt:lpstr>v_79_XB</vt:lpstr>
      <vt:lpstr>v_79_XB_e</vt:lpstr>
      <vt:lpstr>v_79_XBSH</vt:lpstr>
      <vt:lpstr>v_79_XCaCO3</vt:lpstr>
      <vt:lpstr>v_79_XCASTO</vt:lpstr>
      <vt:lpstr>v_79_XE</vt:lpstr>
      <vt:lpstr>v_79_XE_ana</vt:lpstr>
      <vt:lpstr>v_79_XHAO_H</vt:lpstr>
      <vt:lpstr>v_79_XHAO_H_P</vt:lpstr>
      <vt:lpstr>v_79_XHAO_H_P_old</vt:lpstr>
      <vt:lpstr>v_79_XHAO_L</vt:lpstr>
      <vt:lpstr>v_79_XHAO_L_P</vt:lpstr>
      <vt:lpstr>v_79_XHAO_L_P_old</vt:lpstr>
      <vt:lpstr>v_79_XHAO_old</vt:lpstr>
      <vt:lpstr>v_79_XHFO_H</vt:lpstr>
      <vt:lpstr>v_79_XHFO_H_P</vt:lpstr>
      <vt:lpstr>v_79_XHFO_H_P_old</vt:lpstr>
      <vt:lpstr>v_79_XHFO_L</vt:lpstr>
      <vt:lpstr>v_79_XHFO_L_P</vt:lpstr>
      <vt:lpstr>v_79_XHFO_L_P_old</vt:lpstr>
      <vt:lpstr>v_79_XHFO_old</vt:lpstr>
      <vt:lpstr>v_79_XHMETO</vt:lpstr>
      <vt:lpstr>v_79_XINORG</vt:lpstr>
      <vt:lpstr>v_79_XMEOLO</vt:lpstr>
      <vt:lpstr>v_79_XN_B</vt:lpstr>
      <vt:lpstr>v_79_XN_Be</vt:lpstr>
      <vt:lpstr>v_79_XN_U</vt:lpstr>
      <vt:lpstr>v_79_XNOB</vt:lpstr>
      <vt:lpstr>v_79_XOHO</vt:lpstr>
      <vt:lpstr>v_79_XP_B</vt:lpstr>
      <vt:lpstr>v_79_XP_Be</vt:lpstr>
      <vt:lpstr>v_79_XP_U</vt:lpstr>
      <vt:lpstr>v_79_XPFOA</vt:lpstr>
      <vt:lpstr>v_79_XPFOS</vt:lpstr>
      <vt:lpstr>v_79_XPHA_GAO</vt:lpstr>
      <vt:lpstr>v_79_XPHA_PAO</vt:lpstr>
      <vt:lpstr>v_79_XPP</vt:lpstr>
      <vt:lpstr>v_79_XSTO</vt:lpstr>
      <vt:lpstr>v_79_XSTR</vt:lpstr>
      <vt:lpstr>v_79_XU</vt:lpstr>
      <vt:lpstr>v_79_XVivi</vt:lpstr>
      <vt:lpstr>v_8_CB</vt:lpstr>
      <vt:lpstr>v_8_CU</vt:lpstr>
      <vt:lpstr>v_8_GCH4</vt:lpstr>
      <vt:lpstr>v_8_GCH4_atm</vt:lpstr>
      <vt:lpstr>v_8_GCO2</vt:lpstr>
      <vt:lpstr>v_8_GCO2_atm</vt:lpstr>
      <vt:lpstr>v_8_GH2</vt:lpstr>
      <vt:lpstr>v_8_GH2_atm</vt:lpstr>
      <vt:lpstr>v_8_GN2</vt:lpstr>
      <vt:lpstr>v_8_GN2_atm</vt:lpstr>
      <vt:lpstr>v_8_GNH3</vt:lpstr>
      <vt:lpstr>v_8_GNH3_atm</vt:lpstr>
      <vt:lpstr>v_8_GO2</vt:lpstr>
      <vt:lpstr>v_8_GO2_atm</vt:lpstr>
      <vt:lpstr>v_8_SALPHA</vt:lpstr>
      <vt:lpstr>v_8_SAN</vt:lpstr>
      <vt:lpstr>v_8_SB_mono</vt:lpstr>
      <vt:lpstr>v_8_SB_poly</vt:lpstr>
      <vt:lpstr>v_8_SCa</vt:lpstr>
      <vt:lpstr>v_8_SCAT</vt:lpstr>
      <vt:lpstr>v_8_SCH4</vt:lpstr>
      <vt:lpstr>v_8_SCO2</vt:lpstr>
      <vt:lpstr>v_8_SFe2</vt:lpstr>
      <vt:lpstr>v_8_SH</vt:lpstr>
      <vt:lpstr>v_8_SH2</vt:lpstr>
      <vt:lpstr>v_8_SK</vt:lpstr>
      <vt:lpstr>v_8_SMEOL</vt:lpstr>
      <vt:lpstr>v_8_SMg</vt:lpstr>
      <vt:lpstr>v_8_SN_B</vt:lpstr>
      <vt:lpstr>v_8_SN2</vt:lpstr>
      <vt:lpstr>v_8_SNHx</vt:lpstr>
      <vt:lpstr>v_8_SNO2</vt:lpstr>
      <vt:lpstr>v_8_SNO3</vt:lpstr>
      <vt:lpstr>v_8_SO2</vt:lpstr>
      <vt:lpstr>v_8_SORPswitch</vt:lpstr>
      <vt:lpstr>v_8_SP_B</vt:lpstr>
      <vt:lpstr>v_8_SPFOA</vt:lpstr>
      <vt:lpstr>v_8_SPFOS</vt:lpstr>
      <vt:lpstr>v_8_SPO4</vt:lpstr>
      <vt:lpstr>v_8_SU</vt:lpstr>
      <vt:lpstr>v_8_SVFA</vt:lpstr>
      <vt:lpstr>v_8_XACP</vt:lpstr>
      <vt:lpstr>v_8_XAHO</vt:lpstr>
      <vt:lpstr>v_8_XALGAE</vt:lpstr>
      <vt:lpstr>v_8_XAMETO</vt:lpstr>
      <vt:lpstr>v_8_XAMX</vt:lpstr>
      <vt:lpstr>v_8_XAOB</vt:lpstr>
      <vt:lpstr>v_8_XB</vt:lpstr>
      <vt:lpstr>v_8_XB_e</vt:lpstr>
      <vt:lpstr>v_8_XBSH</vt:lpstr>
      <vt:lpstr>v_8_XCaCO3</vt:lpstr>
      <vt:lpstr>v_8_XCASTO</vt:lpstr>
      <vt:lpstr>v_8_XE</vt:lpstr>
      <vt:lpstr>v_8_XE_ana</vt:lpstr>
      <vt:lpstr>v_8_XHAO_H</vt:lpstr>
      <vt:lpstr>v_8_XHAO_H_P</vt:lpstr>
      <vt:lpstr>v_8_XHAO_H_P_old</vt:lpstr>
      <vt:lpstr>v_8_XHAO_L</vt:lpstr>
      <vt:lpstr>v_8_XHAO_L_P</vt:lpstr>
      <vt:lpstr>v_8_XHAO_L_P_old</vt:lpstr>
      <vt:lpstr>v_8_XHAO_old</vt:lpstr>
      <vt:lpstr>v_8_XHFO_H</vt:lpstr>
      <vt:lpstr>v_8_XHFO_H_P</vt:lpstr>
      <vt:lpstr>v_8_XHFO_H_P_old</vt:lpstr>
      <vt:lpstr>v_8_XHFO_L</vt:lpstr>
      <vt:lpstr>v_8_XHFO_L_P</vt:lpstr>
      <vt:lpstr>v_8_XHFO_L_P_old</vt:lpstr>
      <vt:lpstr>v_8_XHFO_old</vt:lpstr>
      <vt:lpstr>v_8_XHMETO</vt:lpstr>
      <vt:lpstr>v_8_XINORG</vt:lpstr>
      <vt:lpstr>v_8_XMEOLO</vt:lpstr>
      <vt:lpstr>v_8_XN_B</vt:lpstr>
      <vt:lpstr>v_8_XN_Be</vt:lpstr>
      <vt:lpstr>v_8_XN_U</vt:lpstr>
      <vt:lpstr>v_8_XNOB</vt:lpstr>
      <vt:lpstr>v_8_XOHO</vt:lpstr>
      <vt:lpstr>v_8_XP_B</vt:lpstr>
      <vt:lpstr>v_8_XP_Be</vt:lpstr>
      <vt:lpstr>v_8_XP_U</vt:lpstr>
      <vt:lpstr>v_8_XPFOA</vt:lpstr>
      <vt:lpstr>v_8_XPFOS</vt:lpstr>
      <vt:lpstr>v_8_XPHA_GAO</vt:lpstr>
      <vt:lpstr>v_8_XPHA_PAO</vt:lpstr>
      <vt:lpstr>v_8_XPP</vt:lpstr>
      <vt:lpstr>v_8_XSTO</vt:lpstr>
      <vt:lpstr>v_8_XSTR</vt:lpstr>
      <vt:lpstr>v_8_XU</vt:lpstr>
      <vt:lpstr>v_8_XVivi</vt:lpstr>
      <vt:lpstr>v_80_CB</vt:lpstr>
      <vt:lpstr>v_80_CU</vt:lpstr>
      <vt:lpstr>v_80_GCH4</vt:lpstr>
      <vt:lpstr>v_80_GCH4_atm</vt:lpstr>
      <vt:lpstr>v_80_GCO2</vt:lpstr>
      <vt:lpstr>v_80_GCO2_atm</vt:lpstr>
      <vt:lpstr>v_80_GH2</vt:lpstr>
      <vt:lpstr>v_80_GH2_atm</vt:lpstr>
      <vt:lpstr>v_80_GN2</vt:lpstr>
      <vt:lpstr>v_80_GN2_atm</vt:lpstr>
      <vt:lpstr>v_80_GNH3</vt:lpstr>
      <vt:lpstr>v_80_GNH3_atm</vt:lpstr>
      <vt:lpstr>v_80_GO2</vt:lpstr>
      <vt:lpstr>v_80_GO2_atm</vt:lpstr>
      <vt:lpstr>v_80_SALPHA</vt:lpstr>
      <vt:lpstr>v_80_SAN</vt:lpstr>
      <vt:lpstr>v_80_SB_mono</vt:lpstr>
      <vt:lpstr>v_80_SB_poly</vt:lpstr>
      <vt:lpstr>v_80_SCa</vt:lpstr>
      <vt:lpstr>v_80_SCAT</vt:lpstr>
      <vt:lpstr>v_80_SCH4</vt:lpstr>
      <vt:lpstr>v_80_SCO2</vt:lpstr>
      <vt:lpstr>v_80_SFe2</vt:lpstr>
      <vt:lpstr>v_80_SH</vt:lpstr>
      <vt:lpstr>v_80_SH2</vt:lpstr>
      <vt:lpstr>v_80_SK</vt:lpstr>
      <vt:lpstr>v_80_SMEOL</vt:lpstr>
      <vt:lpstr>v_80_SMg</vt:lpstr>
      <vt:lpstr>v_80_SN_B</vt:lpstr>
      <vt:lpstr>v_80_SN2</vt:lpstr>
      <vt:lpstr>v_80_SNHx</vt:lpstr>
      <vt:lpstr>v_80_SNO2</vt:lpstr>
      <vt:lpstr>v_80_SNO3</vt:lpstr>
      <vt:lpstr>v_80_SO2</vt:lpstr>
      <vt:lpstr>v_80_SORPswitch</vt:lpstr>
      <vt:lpstr>v_80_SP_B</vt:lpstr>
      <vt:lpstr>v_80_SPFOA</vt:lpstr>
      <vt:lpstr>v_80_SPFOS</vt:lpstr>
      <vt:lpstr>v_80_SPO4</vt:lpstr>
      <vt:lpstr>v_80_SU</vt:lpstr>
      <vt:lpstr>v_80_SVFA</vt:lpstr>
      <vt:lpstr>v_80_XACP</vt:lpstr>
      <vt:lpstr>v_80_XAHO</vt:lpstr>
      <vt:lpstr>v_80_XALGAE</vt:lpstr>
      <vt:lpstr>v_80_XAMETO</vt:lpstr>
      <vt:lpstr>v_80_XAMX</vt:lpstr>
      <vt:lpstr>v_80_XAOB</vt:lpstr>
      <vt:lpstr>v_80_XB</vt:lpstr>
      <vt:lpstr>v_80_XB_e</vt:lpstr>
      <vt:lpstr>v_80_XBSH</vt:lpstr>
      <vt:lpstr>v_80_XCaCO3</vt:lpstr>
      <vt:lpstr>v_80_XCASTO</vt:lpstr>
      <vt:lpstr>v_80_XE</vt:lpstr>
      <vt:lpstr>v_80_XE_ana</vt:lpstr>
      <vt:lpstr>v_80_XHAO_H</vt:lpstr>
      <vt:lpstr>v_80_XHAO_H_P</vt:lpstr>
      <vt:lpstr>v_80_XHAO_H_P_old</vt:lpstr>
      <vt:lpstr>v_80_XHAO_L</vt:lpstr>
      <vt:lpstr>v_80_XHAO_L_P</vt:lpstr>
      <vt:lpstr>v_80_XHAO_L_P_old</vt:lpstr>
      <vt:lpstr>v_80_XHAO_old</vt:lpstr>
      <vt:lpstr>v_80_XHFO_H</vt:lpstr>
      <vt:lpstr>v_80_XHFO_H_P</vt:lpstr>
      <vt:lpstr>v_80_XHFO_H_P_old</vt:lpstr>
      <vt:lpstr>v_80_XHFO_L</vt:lpstr>
      <vt:lpstr>v_80_XHFO_L_P</vt:lpstr>
      <vt:lpstr>v_80_XHFO_L_P_old</vt:lpstr>
      <vt:lpstr>v_80_XHFO_old</vt:lpstr>
      <vt:lpstr>v_80_XHMETO</vt:lpstr>
      <vt:lpstr>v_80_XINORG</vt:lpstr>
      <vt:lpstr>v_80_XMEOLO</vt:lpstr>
      <vt:lpstr>v_80_XN_B</vt:lpstr>
      <vt:lpstr>v_80_XN_Be</vt:lpstr>
      <vt:lpstr>v_80_XN_U</vt:lpstr>
      <vt:lpstr>v_80_XNOB</vt:lpstr>
      <vt:lpstr>v_80_XOHO</vt:lpstr>
      <vt:lpstr>v_80_XP_B</vt:lpstr>
      <vt:lpstr>v_80_XP_Be</vt:lpstr>
      <vt:lpstr>v_80_XP_U</vt:lpstr>
      <vt:lpstr>v_80_XPFOA</vt:lpstr>
      <vt:lpstr>v_80_XPFOS</vt:lpstr>
      <vt:lpstr>v_80_XPHA_GAO</vt:lpstr>
      <vt:lpstr>v_80_XPHA_PAO</vt:lpstr>
      <vt:lpstr>v_80_XPP</vt:lpstr>
      <vt:lpstr>v_80_XSTO</vt:lpstr>
      <vt:lpstr>v_80_XSTR</vt:lpstr>
      <vt:lpstr>v_80_XU</vt:lpstr>
      <vt:lpstr>v_80_XVivi</vt:lpstr>
      <vt:lpstr>v_81_CB</vt:lpstr>
      <vt:lpstr>v_81_CU</vt:lpstr>
      <vt:lpstr>v_81_GCH4</vt:lpstr>
      <vt:lpstr>v_81_GCH4_atm</vt:lpstr>
      <vt:lpstr>v_81_GCO2</vt:lpstr>
      <vt:lpstr>v_81_GCO2_atm</vt:lpstr>
      <vt:lpstr>v_81_GH2</vt:lpstr>
      <vt:lpstr>v_81_GH2_atm</vt:lpstr>
      <vt:lpstr>v_81_GN2</vt:lpstr>
      <vt:lpstr>v_81_GN2_atm</vt:lpstr>
      <vt:lpstr>v_81_GNH3</vt:lpstr>
      <vt:lpstr>v_81_GNH3_atm</vt:lpstr>
      <vt:lpstr>v_81_GO2</vt:lpstr>
      <vt:lpstr>v_81_GO2_atm</vt:lpstr>
      <vt:lpstr>v_81_SALPHA</vt:lpstr>
      <vt:lpstr>v_81_SAN</vt:lpstr>
      <vt:lpstr>v_81_SB_mono</vt:lpstr>
      <vt:lpstr>v_81_SB_poly</vt:lpstr>
      <vt:lpstr>v_81_SCa</vt:lpstr>
      <vt:lpstr>v_81_SCAT</vt:lpstr>
      <vt:lpstr>v_81_SCH4</vt:lpstr>
      <vt:lpstr>v_81_SCO2</vt:lpstr>
      <vt:lpstr>v_81_SFe2</vt:lpstr>
      <vt:lpstr>v_81_SH</vt:lpstr>
      <vt:lpstr>v_81_SH2</vt:lpstr>
      <vt:lpstr>v_81_SK</vt:lpstr>
      <vt:lpstr>v_81_SMEOL</vt:lpstr>
      <vt:lpstr>v_81_SMg</vt:lpstr>
      <vt:lpstr>v_81_SN_B</vt:lpstr>
      <vt:lpstr>v_81_SN2</vt:lpstr>
      <vt:lpstr>v_81_SNHx</vt:lpstr>
      <vt:lpstr>v_81_SNO2</vt:lpstr>
      <vt:lpstr>v_81_SNO3</vt:lpstr>
      <vt:lpstr>v_81_SO2</vt:lpstr>
      <vt:lpstr>v_81_SORPswitch</vt:lpstr>
      <vt:lpstr>v_81_SP_B</vt:lpstr>
      <vt:lpstr>v_81_SPFOA</vt:lpstr>
      <vt:lpstr>v_81_SPFOS</vt:lpstr>
      <vt:lpstr>v_81_SPO4</vt:lpstr>
      <vt:lpstr>v_81_SU</vt:lpstr>
      <vt:lpstr>v_81_SVFA</vt:lpstr>
      <vt:lpstr>v_81_XACP</vt:lpstr>
      <vt:lpstr>v_81_XAHO</vt:lpstr>
      <vt:lpstr>v_81_XALGAE</vt:lpstr>
      <vt:lpstr>v_81_XAMETO</vt:lpstr>
      <vt:lpstr>v_81_XAMX</vt:lpstr>
      <vt:lpstr>v_81_XAOB</vt:lpstr>
      <vt:lpstr>v_81_XB</vt:lpstr>
      <vt:lpstr>v_81_XB_e</vt:lpstr>
      <vt:lpstr>v_81_XBSH</vt:lpstr>
      <vt:lpstr>v_81_XCaCO3</vt:lpstr>
      <vt:lpstr>v_81_XCASTO</vt:lpstr>
      <vt:lpstr>v_81_XE</vt:lpstr>
      <vt:lpstr>v_81_XE_ana</vt:lpstr>
      <vt:lpstr>v_81_XHAO_H</vt:lpstr>
      <vt:lpstr>v_81_XHAO_H_P</vt:lpstr>
      <vt:lpstr>v_81_XHAO_H_P_old</vt:lpstr>
      <vt:lpstr>v_81_XHAO_L</vt:lpstr>
      <vt:lpstr>v_81_XHAO_L_P</vt:lpstr>
      <vt:lpstr>v_81_XHAO_L_P_old</vt:lpstr>
      <vt:lpstr>v_81_XHAO_old</vt:lpstr>
      <vt:lpstr>v_81_XHFO_H</vt:lpstr>
      <vt:lpstr>v_81_XHFO_H_P</vt:lpstr>
      <vt:lpstr>v_81_XHFO_H_P_old</vt:lpstr>
      <vt:lpstr>v_81_XHFO_L</vt:lpstr>
      <vt:lpstr>v_81_XHFO_L_P</vt:lpstr>
      <vt:lpstr>v_81_XHFO_L_P_old</vt:lpstr>
      <vt:lpstr>v_81_XHFO_old</vt:lpstr>
      <vt:lpstr>v_81_XHMETO</vt:lpstr>
      <vt:lpstr>v_81_XINORG</vt:lpstr>
      <vt:lpstr>v_81_XMEOLO</vt:lpstr>
      <vt:lpstr>v_81_XN_B</vt:lpstr>
      <vt:lpstr>v_81_XN_Be</vt:lpstr>
      <vt:lpstr>v_81_XN_U</vt:lpstr>
      <vt:lpstr>v_81_XNOB</vt:lpstr>
      <vt:lpstr>v_81_XOHO</vt:lpstr>
      <vt:lpstr>v_81_XP_B</vt:lpstr>
      <vt:lpstr>v_81_XP_Be</vt:lpstr>
      <vt:lpstr>v_81_XP_U</vt:lpstr>
      <vt:lpstr>v_81_XPFOA</vt:lpstr>
      <vt:lpstr>v_81_XPFOS</vt:lpstr>
      <vt:lpstr>v_81_XPHA_GAO</vt:lpstr>
      <vt:lpstr>v_81_XPHA_PAO</vt:lpstr>
      <vt:lpstr>v_81_XPP</vt:lpstr>
      <vt:lpstr>v_81_XSTO</vt:lpstr>
      <vt:lpstr>v_81_XSTR</vt:lpstr>
      <vt:lpstr>v_81_XU</vt:lpstr>
      <vt:lpstr>v_81_XVivi</vt:lpstr>
      <vt:lpstr>v_82_CB</vt:lpstr>
      <vt:lpstr>v_82_CU</vt:lpstr>
      <vt:lpstr>v_82_GCH4</vt:lpstr>
      <vt:lpstr>v_82_GCH4_atm</vt:lpstr>
      <vt:lpstr>v_82_GCO2</vt:lpstr>
      <vt:lpstr>v_82_GCO2_atm</vt:lpstr>
      <vt:lpstr>v_82_GH2</vt:lpstr>
      <vt:lpstr>v_82_GH2_atm</vt:lpstr>
      <vt:lpstr>v_82_GN2</vt:lpstr>
      <vt:lpstr>v_82_GN2_atm</vt:lpstr>
      <vt:lpstr>v_82_GNH3</vt:lpstr>
      <vt:lpstr>v_82_GNH3_atm</vt:lpstr>
      <vt:lpstr>v_82_GO2</vt:lpstr>
      <vt:lpstr>v_82_GO2_atm</vt:lpstr>
      <vt:lpstr>v_82_SALPHA</vt:lpstr>
      <vt:lpstr>v_82_SAN</vt:lpstr>
      <vt:lpstr>v_82_SB_mono</vt:lpstr>
      <vt:lpstr>v_82_SB_poly</vt:lpstr>
      <vt:lpstr>v_82_SCa</vt:lpstr>
      <vt:lpstr>v_82_SCAT</vt:lpstr>
      <vt:lpstr>v_82_SCH4</vt:lpstr>
      <vt:lpstr>v_82_SCO2</vt:lpstr>
      <vt:lpstr>v_82_SFe2</vt:lpstr>
      <vt:lpstr>v_82_SH</vt:lpstr>
      <vt:lpstr>v_82_SH2</vt:lpstr>
      <vt:lpstr>v_82_SK</vt:lpstr>
      <vt:lpstr>v_82_SMEOL</vt:lpstr>
      <vt:lpstr>v_82_SMg</vt:lpstr>
      <vt:lpstr>v_82_SN_B</vt:lpstr>
      <vt:lpstr>v_82_SN2</vt:lpstr>
      <vt:lpstr>v_82_SNHx</vt:lpstr>
      <vt:lpstr>v_82_SNO2</vt:lpstr>
      <vt:lpstr>v_82_SNO3</vt:lpstr>
      <vt:lpstr>v_82_SO2</vt:lpstr>
      <vt:lpstr>v_82_SORPswitch</vt:lpstr>
      <vt:lpstr>v_82_SP_B</vt:lpstr>
      <vt:lpstr>v_82_SPFOA</vt:lpstr>
      <vt:lpstr>v_82_SPFOS</vt:lpstr>
      <vt:lpstr>v_82_SPO4</vt:lpstr>
      <vt:lpstr>v_82_SU</vt:lpstr>
      <vt:lpstr>v_82_SVFA</vt:lpstr>
      <vt:lpstr>v_82_XACP</vt:lpstr>
      <vt:lpstr>v_82_XAHO</vt:lpstr>
      <vt:lpstr>v_82_XALGAE</vt:lpstr>
      <vt:lpstr>v_82_XAMETO</vt:lpstr>
      <vt:lpstr>v_82_XAMX</vt:lpstr>
      <vt:lpstr>v_82_XAOB</vt:lpstr>
      <vt:lpstr>v_82_XB</vt:lpstr>
      <vt:lpstr>v_82_XB_e</vt:lpstr>
      <vt:lpstr>v_82_XBSH</vt:lpstr>
      <vt:lpstr>v_82_XCaCO3</vt:lpstr>
      <vt:lpstr>v_82_XCASTO</vt:lpstr>
      <vt:lpstr>v_82_XE</vt:lpstr>
      <vt:lpstr>v_82_XE_ana</vt:lpstr>
      <vt:lpstr>v_82_XHAO_H</vt:lpstr>
      <vt:lpstr>v_82_XHAO_H_P</vt:lpstr>
      <vt:lpstr>v_82_XHAO_H_P_old</vt:lpstr>
      <vt:lpstr>v_82_XHAO_L</vt:lpstr>
      <vt:lpstr>v_82_XHAO_L_P</vt:lpstr>
      <vt:lpstr>v_82_XHAO_L_P_old</vt:lpstr>
      <vt:lpstr>v_82_XHAO_old</vt:lpstr>
      <vt:lpstr>v_82_XHFO_H</vt:lpstr>
      <vt:lpstr>v_82_XHFO_H_P</vt:lpstr>
      <vt:lpstr>v_82_XHFO_H_P_old</vt:lpstr>
      <vt:lpstr>v_82_XHFO_L</vt:lpstr>
      <vt:lpstr>v_82_XHFO_L_P</vt:lpstr>
      <vt:lpstr>v_82_XHFO_L_P_old</vt:lpstr>
      <vt:lpstr>v_82_XHFO_old</vt:lpstr>
      <vt:lpstr>v_82_XHMETO</vt:lpstr>
      <vt:lpstr>v_82_XINORG</vt:lpstr>
      <vt:lpstr>v_82_XMEOLO</vt:lpstr>
      <vt:lpstr>v_82_XN_B</vt:lpstr>
      <vt:lpstr>v_82_XN_Be</vt:lpstr>
      <vt:lpstr>v_82_XN_U</vt:lpstr>
      <vt:lpstr>v_82_XNOB</vt:lpstr>
      <vt:lpstr>v_82_XOHO</vt:lpstr>
      <vt:lpstr>v_82_XP_B</vt:lpstr>
      <vt:lpstr>v_82_XP_Be</vt:lpstr>
      <vt:lpstr>v_82_XP_U</vt:lpstr>
      <vt:lpstr>v_82_XPFOA</vt:lpstr>
      <vt:lpstr>v_82_XPFOS</vt:lpstr>
      <vt:lpstr>v_82_XPHA_GAO</vt:lpstr>
      <vt:lpstr>v_82_XPHA_PAO</vt:lpstr>
      <vt:lpstr>v_82_XPP</vt:lpstr>
      <vt:lpstr>v_82_XSTO</vt:lpstr>
      <vt:lpstr>v_82_XSTR</vt:lpstr>
      <vt:lpstr>v_82_XU</vt:lpstr>
      <vt:lpstr>v_82_XVivi</vt:lpstr>
      <vt:lpstr>v_83_CB</vt:lpstr>
      <vt:lpstr>v_83_CU</vt:lpstr>
      <vt:lpstr>v_83_GCH4</vt:lpstr>
      <vt:lpstr>v_83_GCH4_atm</vt:lpstr>
      <vt:lpstr>v_83_GCO2</vt:lpstr>
      <vt:lpstr>v_83_GCO2_atm</vt:lpstr>
      <vt:lpstr>v_83_GH2</vt:lpstr>
      <vt:lpstr>v_83_GH2_atm</vt:lpstr>
      <vt:lpstr>v_83_GN2</vt:lpstr>
      <vt:lpstr>v_83_GN2_atm</vt:lpstr>
      <vt:lpstr>v_83_GNH3</vt:lpstr>
      <vt:lpstr>v_83_GNH3_atm</vt:lpstr>
      <vt:lpstr>v_83_GO2</vt:lpstr>
      <vt:lpstr>v_83_GO2_atm</vt:lpstr>
      <vt:lpstr>v_83_SALPHA</vt:lpstr>
      <vt:lpstr>v_83_SAN</vt:lpstr>
      <vt:lpstr>v_83_SB_mono</vt:lpstr>
      <vt:lpstr>v_83_SB_poly</vt:lpstr>
      <vt:lpstr>v_83_SCa</vt:lpstr>
      <vt:lpstr>v_83_SCAT</vt:lpstr>
      <vt:lpstr>v_83_SCH4</vt:lpstr>
      <vt:lpstr>v_83_SCO2</vt:lpstr>
      <vt:lpstr>v_83_SFe2</vt:lpstr>
      <vt:lpstr>v_83_SH</vt:lpstr>
      <vt:lpstr>v_83_SH2</vt:lpstr>
      <vt:lpstr>v_83_SK</vt:lpstr>
      <vt:lpstr>v_83_SMEOL</vt:lpstr>
      <vt:lpstr>v_83_SMg</vt:lpstr>
      <vt:lpstr>v_83_SN_B</vt:lpstr>
      <vt:lpstr>v_83_SN2</vt:lpstr>
      <vt:lpstr>v_83_SNHx</vt:lpstr>
      <vt:lpstr>v_83_SNO2</vt:lpstr>
      <vt:lpstr>v_83_SNO3</vt:lpstr>
      <vt:lpstr>v_83_SO2</vt:lpstr>
      <vt:lpstr>v_83_SORPswitch</vt:lpstr>
      <vt:lpstr>v_83_SP_B</vt:lpstr>
      <vt:lpstr>v_83_SPFOA</vt:lpstr>
      <vt:lpstr>v_83_SPFOS</vt:lpstr>
      <vt:lpstr>v_83_SPO4</vt:lpstr>
      <vt:lpstr>v_83_SU</vt:lpstr>
      <vt:lpstr>v_83_SVFA</vt:lpstr>
      <vt:lpstr>v_83_XACP</vt:lpstr>
      <vt:lpstr>v_83_XAHO</vt:lpstr>
      <vt:lpstr>v_83_XALGAE</vt:lpstr>
      <vt:lpstr>v_83_XAMETO</vt:lpstr>
      <vt:lpstr>v_83_XAMX</vt:lpstr>
      <vt:lpstr>v_83_XAOB</vt:lpstr>
      <vt:lpstr>v_83_XB</vt:lpstr>
      <vt:lpstr>v_83_XB_e</vt:lpstr>
      <vt:lpstr>v_83_XBSH</vt:lpstr>
      <vt:lpstr>v_83_XCaCO3</vt:lpstr>
      <vt:lpstr>v_83_XCASTO</vt:lpstr>
      <vt:lpstr>v_83_XE</vt:lpstr>
      <vt:lpstr>v_83_XE_ana</vt:lpstr>
      <vt:lpstr>v_83_XHAO_H</vt:lpstr>
      <vt:lpstr>v_83_XHAO_H_P</vt:lpstr>
      <vt:lpstr>v_83_XHAO_H_P_old</vt:lpstr>
      <vt:lpstr>v_83_XHAO_L</vt:lpstr>
      <vt:lpstr>v_83_XHAO_L_P</vt:lpstr>
      <vt:lpstr>v_83_XHAO_L_P_old</vt:lpstr>
      <vt:lpstr>v_83_XHAO_old</vt:lpstr>
      <vt:lpstr>v_83_XHFO_H</vt:lpstr>
      <vt:lpstr>v_83_XHFO_H_P</vt:lpstr>
      <vt:lpstr>v_83_XHFO_H_P_old</vt:lpstr>
      <vt:lpstr>v_83_XHFO_L</vt:lpstr>
      <vt:lpstr>v_83_XHFO_L_P</vt:lpstr>
      <vt:lpstr>v_83_XHFO_L_P_old</vt:lpstr>
      <vt:lpstr>v_83_XHFO_old</vt:lpstr>
      <vt:lpstr>v_83_XHMETO</vt:lpstr>
      <vt:lpstr>v_83_XINORG</vt:lpstr>
      <vt:lpstr>v_83_XMEOLO</vt:lpstr>
      <vt:lpstr>v_83_XN_B</vt:lpstr>
      <vt:lpstr>v_83_XN_Be</vt:lpstr>
      <vt:lpstr>v_83_XN_U</vt:lpstr>
      <vt:lpstr>v_83_XNOB</vt:lpstr>
      <vt:lpstr>v_83_XOHO</vt:lpstr>
      <vt:lpstr>v_83_XP_B</vt:lpstr>
      <vt:lpstr>v_83_XP_Be</vt:lpstr>
      <vt:lpstr>v_83_XP_U</vt:lpstr>
      <vt:lpstr>v_83_XPFOA</vt:lpstr>
      <vt:lpstr>v_83_XPFOS</vt:lpstr>
      <vt:lpstr>v_83_XPHA_GAO</vt:lpstr>
      <vt:lpstr>v_83_XPHA_PAO</vt:lpstr>
      <vt:lpstr>v_83_XPP</vt:lpstr>
      <vt:lpstr>v_83_XSTO</vt:lpstr>
      <vt:lpstr>v_83_XSTR</vt:lpstr>
      <vt:lpstr>v_83_XU</vt:lpstr>
      <vt:lpstr>v_83_XVivi</vt:lpstr>
      <vt:lpstr>v_84_CB</vt:lpstr>
      <vt:lpstr>v_84_CU</vt:lpstr>
      <vt:lpstr>v_84_GCH4</vt:lpstr>
      <vt:lpstr>v_84_GCH4_atm</vt:lpstr>
      <vt:lpstr>v_84_GCO2</vt:lpstr>
      <vt:lpstr>v_84_GCO2_atm</vt:lpstr>
      <vt:lpstr>v_84_GH2</vt:lpstr>
      <vt:lpstr>v_84_GH2_atm</vt:lpstr>
      <vt:lpstr>v_84_GN2</vt:lpstr>
      <vt:lpstr>v_84_GN2_atm</vt:lpstr>
      <vt:lpstr>v_84_GNH3</vt:lpstr>
      <vt:lpstr>v_84_GNH3_atm</vt:lpstr>
      <vt:lpstr>v_84_GO2</vt:lpstr>
      <vt:lpstr>v_84_GO2_atm</vt:lpstr>
      <vt:lpstr>v_84_SALPHA</vt:lpstr>
      <vt:lpstr>v_84_SAN</vt:lpstr>
      <vt:lpstr>v_84_SB_mono</vt:lpstr>
      <vt:lpstr>v_84_SB_poly</vt:lpstr>
      <vt:lpstr>v_84_SCa</vt:lpstr>
      <vt:lpstr>v_84_SCAT</vt:lpstr>
      <vt:lpstr>v_84_SCH4</vt:lpstr>
      <vt:lpstr>v_84_SCO2</vt:lpstr>
      <vt:lpstr>v_84_SFe2</vt:lpstr>
      <vt:lpstr>v_84_SH</vt:lpstr>
      <vt:lpstr>v_84_SH2</vt:lpstr>
      <vt:lpstr>v_84_SK</vt:lpstr>
      <vt:lpstr>v_84_SMEOL</vt:lpstr>
      <vt:lpstr>v_84_SMg</vt:lpstr>
      <vt:lpstr>v_84_SN_B</vt:lpstr>
      <vt:lpstr>v_84_SN2</vt:lpstr>
      <vt:lpstr>v_84_SNHx</vt:lpstr>
      <vt:lpstr>v_84_SNO2</vt:lpstr>
      <vt:lpstr>v_84_SNO3</vt:lpstr>
      <vt:lpstr>v_84_SO2</vt:lpstr>
      <vt:lpstr>v_84_SORPswitch</vt:lpstr>
      <vt:lpstr>v_84_SP_B</vt:lpstr>
      <vt:lpstr>v_84_SPFOA</vt:lpstr>
      <vt:lpstr>v_84_SPFOS</vt:lpstr>
      <vt:lpstr>v_84_SPO4</vt:lpstr>
      <vt:lpstr>v_84_SU</vt:lpstr>
      <vt:lpstr>v_84_SVFA</vt:lpstr>
      <vt:lpstr>v_84_XACP</vt:lpstr>
      <vt:lpstr>v_84_XAHO</vt:lpstr>
      <vt:lpstr>v_84_XALGAE</vt:lpstr>
      <vt:lpstr>v_84_XAMETO</vt:lpstr>
      <vt:lpstr>v_84_XAMX</vt:lpstr>
      <vt:lpstr>v_84_XAOB</vt:lpstr>
      <vt:lpstr>v_84_XB</vt:lpstr>
      <vt:lpstr>v_84_XB_e</vt:lpstr>
      <vt:lpstr>v_84_XBSH</vt:lpstr>
      <vt:lpstr>v_84_XCaCO3</vt:lpstr>
      <vt:lpstr>v_84_XCASTO</vt:lpstr>
      <vt:lpstr>v_84_XE</vt:lpstr>
      <vt:lpstr>v_84_XE_ana</vt:lpstr>
      <vt:lpstr>v_84_XHAO_H</vt:lpstr>
      <vt:lpstr>v_84_XHAO_H_P</vt:lpstr>
      <vt:lpstr>v_84_XHAO_H_P_old</vt:lpstr>
      <vt:lpstr>v_84_XHAO_L</vt:lpstr>
      <vt:lpstr>v_84_XHAO_L_P</vt:lpstr>
      <vt:lpstr>v_84_XHAO_L_P_old</vt:lpstr>
      <vt:lpstr>v_84_XHAO_old</vt:lpstr>
      <vt:lpstr>v_84_XHFO_H</vt:lpstr>
      <vt:lpstr>v_84_XHFO_H_P</vt:lpstr>
      <vt:lpstr>v_84_XHFO_H_P_old</vt:lpstr>
      <vt:lpstr>v_84_XHFO_L</vt:lpstr>
      <vt:lpstr>v_84_XHFO_L_P</vt:lpstr>
      <vt:lpstr>v_84_XHFO_L_P_old</vt:lpstr>
      <vt:lpstr>v_84_XHFO_old</vt:lpstr>
      <vt:lpstr>v_84_XHMETO</vt:lpstr>
      <vt:lpstr>v_84_XINORG</vt:lpstr>
      <vt:lpstr>v_84_XMEOLO</vt:lpstr>
      <vt:lpstr>v_84_XN_B</vt:lpstr>
      <vt:lpstr>v_84_XN_Be</vt:lpstr>
      <vt:lpstr>v_84_XN_U</vt:lpstr>
      <vt:lpstr>v_84_XNOB</vt:lpstr>
      <vt:lpstr>v_84_XOHO</vt:lpstr>
      <vt:lpstr>v_84_XP_B</vt:lpstr>
      <vt:lpstr>v_84_XP_Be</vt:lpstr>
      <vt:lpstr>v_84_XP_U</vt:lpstr>
      <vt:lpstr>v_84_XPFOA</vt:lpstr>
      <vt:lpstr>v_84_XPFOS</vt:lpstr>
      <vt:lpstr>v_84_XPHA_GAO</vt:lpstr>
      <vt:lpstr>v_84_XPHA_PAO</vt:lpstr>
      <vt:lpstr>v_84_XPP</vt:lpstr>
      <vt:lpstr>v_84_XSTO</vt:lpstr>
      <vt:lpstr>v_84_XSTR</vt:lpstr>
      <vt:lpstr>v_84_XU</vt:lpstr>
      <vt:lpstr>v_84_XVivi</vt:lpstr>
      <vt:lpstr>v_85_CB</vt:lpstr>
      <vt:lpstr>v_85_CU</vt:lpstr>
      <vt:lpstr>v_85_GCH4</vt:lpstr>
      <vt:lpstr>v_85_GCH4_atm</vt:lpstr>
      <vt:lpstr>v_85_GCO2</vt:lpstr>
      <vt:lpstr>v_85_GCO2_atm</vt:lpstr>
      <vt:lpstr>v_85_GH2</vt:lpstr>
      <vt:lpstr>v_85_GH2_atm</vt:lpstr>
      <vt:lpstr>v_85_GN2</vt:lpstr>
      <vt:lpstr>v_85_GN2_atm</vt:lpstr>
      <vt:lpstr>v_85_GNH3</vt:lpstr>
      <vt:lpstr>v_85_GNH3_atm</vt:lpstr>
      <vt:lpstr>v_85_GO2</vt:lpstr>
      <vt:lpstr>v_85_GO2_atm</vt:lpstr>
      <vt:lpstr>v_85_SALPHA</vt:lpstr>
      <vt:lpstr>v_85_SAN</vt:lpstr>
      <vt:lpstr>v_85_SB_mono</vt:lpstr>
      <vt:lpstr>v_85_SB_poly</vt:lpstr>
      <vt:lpstr>v_85_SCa</vt:lpstr>
      <vt:lpstr>v_85_SCAT</vt:lpstr>
      <vt:lpstr>v_85_SCH4</vt:lpstr>
      <vt:lpstr>v_85_SCO2</vt:lpstr>
      <vt:lpstr>v_85_SFe2</vt:lpstr>
      <vt:lpstr>v_85_SH</vt:lpstr>
      <vt:lpstr>v_85_SH2</vt:lpstr>
      <vt:lpstr>v_85_SK</vt:lpstr>
      <vt:lpstr>v_85_SMEOL</vt:lpstr>
      <vt:lpstr>v_85_SMg</vt:lpstr>
      <vt:lpstr>v_85_SN_B</vt:lpstr>
      <vt:lpstr>v_85_SN2</vt:lpstr>
      <vt:lpstr>v_85_SNHx</vt:lpstr>
      <vt:lpstr>v_85_SNO2</vt:lpstr>
      <vt:lpstr>v_85_SNO3</vt:lpstr>
      <vt:lpstr>v_85_SO2</vt:lpstr>
      <vt:lpstr>v_85_SORPswitch</vt:lpstr>
      <vt:lpstr>v_85_SP_B</vt:lpstr>
      <vt:lpstr>v_85_SPFOA</vt:lpstr>
      <vt:lpstr>v_85_SPFOS</vt:lpstr>
      <vt:lpstr>v_85_SPO4</vt:lpstr>
      <vt:lpstr>v_85_SU</vt:lpstr>
      <vt:lpstr>v_85_SVFA</vt:lpstr>
      <vt:lpstr>v_85_XACP</vt:lpstr>
      <vt:lpstr>v_85_XAHO</vt:lpstr>
      <vt:lpstr>v_85_XALGAE</vt:lpstr>
      <vt:lpstr>v_85_XAMETO</vt:lpstr>
      <vt:lpstr>v_85_XAMX</vt:lpstr>
      <vt:lpstr>v_85_XAOB</vt:lpstr>
      <vt:lpstr>v_85_XB</vt:lpstr>
      <vt:lpstr>v_85_XB_e</vt:lpstr>
      <vt:lpstr>v_85_XBSH</vt:lpstr>
      <vt:lpstr>v_85_XCaCO3</vt:lpstr>
      <vt:lpstr>v_85_XCASTO</vt:lpstr>
      <vt:lpstr>v_85_XE</vt:lpstr>
      <vt:lpstr>v_85_XE_ana</vt:lpstr>
      <vt:lpstr>v_85_XHAO_H</vt:lpstr>
      <vt:lpstr>v_85_XHAO_H_P</vt:lpstr>
      <vt:lpstr>v_85_XHAO_H_P_old</vt:lpstr>
      <vt:lpstr>v_85_XHAO_L</vt:lpstr>
      <vt:lpstr>v_85_XHAO_L_P</vt:lpstr>
      <vt:lpstr>v_85_XHAO_L_P_old</vt:lpstr>
      <vt:lpstr>v_85_XHAO_old</vt:lpstr>
      <vt:lpstr>v_85_XHFO_H</vt:lpstr>
      <vt:lpstr>v_85_XHFO_H_P</vt:lpstr>
      <vt:lpstr>v_85_XHFO_H_P_old</vt:lpstr>
      <vt:lpstr>v_85_XHFO_L</vt:lpstr>
      <vt:lpstr>v_85_XHFO_L_P</vt:lpstr>
      <vt:lpstr>v_85_XHFO_L_P_old</vt:lpstr>
      <vt:lpstr>v_85_XHFO_old</vt:lpstr>
      <vt:lpstr>v_85_XHMETO</vt:lpstr>
      <vt:lpstr>v_85_XINORG</vt:lpstr>
      <vt:lpstr>v_85_XMEOLO</vt:lpstr>
      <vt:lpstr>v_85_XN_B</vt:lpstr>
      <vt:lpstr>v_85_XN_Be</vt:lpstr>
      <vt:lpstr>v_85_XN_U</vt:lpstr>
      <vt:lpstr>v_85_XNOB</vt:lpstr>
      <vt:lpstr>v_85_XOHO</vt:lpstr>
      <vt:lpstr>v_85_XP_B</vt:lpstr>
      <vt:lpstr>v_85_XP_Be</vt:lpstr>
      <vt:lpstr>v_85_XP_U</vt:lpstr>
      <vt:lpstr>v_85_XPFOA</vt:lpstr>
      <vt:lpstr>v_85_XPFOS</vt:lpstr>
      <vt:lpstr>v_85_XPHA_GAO</vt:lpstr>
      <vt:lpstr>v_85_XPHA_PAO</vt:lpstr>
      <vt:lpstr>v_85_XPP</vt:lpstr>
      <vt:lpstr>v_85_XSTO</vt:lpstr>
      <vt:lpstr>v_85_XSTR</vt:lpstr>
      <vt:lpstr>v_85_XU</vt:lpstr>
      <vt:lpstr>v_85_XVivi</vt:lpstr>
      <vt:lpstr>v_86_CB</vt:lpstr>
      <vt:lpstr>v_86_CU</vt:lpstr>
      <vt:lpstr>v_86_GCH4</vt:lpstr>
      <vt:lpstr>v_86_GCH4_atm</vt:lpstr>
      <vt:lpstr>v_86_GCO2</vt:lpstr>
      <vt:lpstr>v_86_GCO2_atm</vt:lpstr>
      <vt:lpstr>v_86_GH2</vt:lpstr>
      <vt:lpstr>v_86_GH2_atm</vt:lpstr>
      <vt:lpstr>v_86_GN2</vt:lpstr>
      <vt:lpstr>v_86_GN2_atm</vt:lpstr>
      <vt:lpstr>v_86_GNH3</vt:lpstr>
      <vt:lpstr>v_86_GNH3_atm</vt:lpstr>
      <vt:lpstr>v_86_GO2</vt:lpstr>
      <vt:lpstr>v_86_GO2_atm</vt:lpstr>
      <vt:lpstr>v_86_SALPHA</vt:lpstr>
      <vt:lpstr>v_86_SAN</vt:lpstr>
      <vt:lpstr>v_86_SB_mono</vt:lpstr>
      <vt:lpstr>v_86_SB_poly</vt:lpstr>
      <vt:lpstr>v_86_SCa</vt:lpstr>
      <vt:lpstr>v_86_SCAT</vt:lpstr>
      <vt:lpstr>v_86_SCH4</vt:lpstr>
      <vt:lpstr>v_86_SCO2</vt:lpstr>
      <vt:lpstr>v_86_SFe2</vt:lpstr>
      <vt:lpstr>v_86_SH</vt:lpstr>
      <vt:lpstr>v_86_SH2</vt:lpstr>
      <vt:lpstr>v_86_SK</vt:lpstr>
      <vt:lpstr>v_86_SMEOL</vt:lpstr>
      <vt:lpstr>v_86_SMg</vt:lpstr>
      <vt:lpstr>v_86_SN_B</vt:lpstr>
      <vt:lpstr>v_86_SN2</vt:lpstr>
      <vt:lpstr>v_86_SNHx</vt:lpstr>
      <vt:lpstr>v_86_SNO2</vt:lpstr>
      <vt:lpstr>v_86_SNO3</vt:lpstr>
      <vt:lpstr>v_86_SO2</vt:lpstr>
      <vt:lpstr>v_86_SORPswitch</vt:lpstr>
      <vt:lpstr>v_86_SP_B</vt:lpstr>
      <vt:lpstr>v_86_SPFOA</vt:lpstr>
      <vt:lpstr>v_86_SPFOS</vt:lpstr>
      <vt:lpstr>v_86_SPO4</vt:lpstr>
      <vt:lpstr>v_86_SU</vt:lpstr>
      <vt:lpstr>v_86_SVFA</vt:lpstr>
      <vt:lpstr>v_86_XACP</vt:lpstr>
      <vt:lpstr>v_86_XAHO</vt:lpstr>
      <vt:lpstr>v_86_XALGAE</vt:lpstr>
      <vt:lpstr>v_86_XAMETO</vt:lpstr>
      <vt:lpstr>v_86_XAMX</vt:lpstr>
      <vt:lpstr>v_86_XAOB</vt:lpstr>
      <vt:lpstr>v_86_XB</vt:lpstr>
      <vt:lpstr>v_86_XB_e</vt:lpstr>
      <vt:lpstr>v_86_XBSH</vt:lpstr>
      <vt:lpstr>v_86_XCaCO3</vt:lpstr>
      <vt:lpstr>v_86_XCASTO</vt:lpstr>
      <vt:lpstr>v_86_XE</vt:lpstr>
      <vt:lpstr>v_86_XE_ana</vt:lpstr>
      <vt:lpstr>v_86_XHAO_H</vt:lpstr>
      <vt:lpstr>v_86_XHAO_H_P</vt:lpstr>
      <vt:lpstr>v_86_XHAO_H_P_old</vt:lpstr>
      <vt:lpstr>v_86_XHAO_L</vt:lpstr>
      <vt:lpstr>v_86_XHAO_L_P</vt:lpstr>
      <vt:lpstr>v_86_XHAO_L_P_old</vt:lpstr>
      <vt:lpstr>v_86_XHAO_old</vt:lpstr>
      <vt:lpstr>v_86_XHFO_H</vt:lpstr>
      <vt:lpstr>v_86_XHFO_H_P</vt:lpstr>
      <vt:lpstr>v_86_XHFO_H_P_old</vt:lpstr>
      <vt:lpstr>v_86_XHFO_L</vt:lpstr>
      <vt:lpstr>v_86_XHFO_L_P</vt:lpstr>
      <vt:lpstr>v_86_XHFO_L_P_old</vt:lpstr>
      <vt:lpstr>v_86_XHFO_old</vt:lpstr>
      <vt:lpstr>v_86_XHMETO</vt:lpstr>
      <vt:lpstr>v_86_XINORG</vt:lpstr>
      <vt:lpstr>v_86_XMEOLO</vt:lpstr>
      <vt:lpstr>v_86_XN_B</vt:lpstr>
      <vt:lpstr>v_86_XN_Be</vt:lpstr>
      <vt:lpstr>v_86_XN_U</vt:lpstr>
      <vt:lpstr>v_86_XNOB</vt:lpstr>
      <vt:lpstr>v_86_XOHO</vt:lpstr>
      <vt:lpstr>v_86_XP_B</vt:lpstr>
      <vt:lpstr>v_86_XP_Be</vt:lpstr>
      <vt:lpstr>v_86_XP_U</vt:lpstr>
      <vt:lpstr>v_86_XPFOA</vt:lpstr>
      <vt:lpstr>v_86_XPFOS</vt:lpstr>
      <vt:lpstr>v_86_XPHA_GAO</vt:lpstr>
      <vt:lpstr>v_86_XPHA_PAO</vt:lpstr>
      <vt:lpstr>v_86_XPP</vt:lpstr>
      <vt:lpstr>v_86_XSTO</vt:lpstr>
      <vt:lpstr>v_86_XSTR</vt:lpstr>
      <vt:lpstr>v_86_XU</vt:lpstr>
      <vt:lpstr>v_86_XVivi</vt:lpstr>
      <vt:lpstr>v_87_CB</vt:lpstr>
      <vt:lpstr>v_87_CU</vt:lpstr>
      <vt:lpstr>v_87_GCH4</vt:lpstr>
      <vt:lpstr>v_87_GCH4_atm</vt:lpstr>
      <vt:lpstr>v_87_GCO2</vt:lpstr>
      <vt:lpstr>v_87_GCO2_atm</vt:lpstr>
      <vt:lpstr>v_87_GH2</vt:lpstr>
      <vt:lpstr>v_87_GH2_atm</vt:lpstr>
      <vt:lpstr>v_87_GN2</vt:lpstr>
      <vt:lpstr>v_87_GN2_atm</vt:lpstr>
      <vt:lpstr>v_87_GNH3</vt:lpstr>
      <vt:lpstr>v_87_GNH3_atm</vt:lpstr>
      <vt:lpstr>v_87_GO2</vt:lpstr>
      <vt:lpstr>v_87_GO2_atm</vt:lpstr>
      <vt:lpstr>v_87_SALPHA</vt:lpstr>
      <vt:lpstr>v_87_SAN</vt:lpstr>
      <vt:lpstr>v_87_SB_mono</vt:lpstr>
      <vt:lpstr>v_87_SB_poly</vt:lpstr>
      <vt:lpstr>v_87_SCa</vt:lpstr>
      <vt:lpstr>v_87_SCAT</vt:lpstr>
      <vt:lpstr>v_87_SCH4</vt:lpstr>
      <vt:lpstr>v_87_SCO2</vt:lpstr>
      <vt:lpstr>v_87_SFe2</vt:lpstr>
      <vt:lpstr>v_87_SH</vt:lpstr>
      <vt:lpstr>v_87_SH2</vt:lpstr>
      <vt:lpstr>v_87_SK</vt:lpstr>
      <vt:lpstr>v_87_SMEOL</vt:lpstr>
      <vt:lpstr>v_87_SMg</vt:lpstr>
      <vt:lpstr>v_87_SN_B</vt:lpstr>
      <vt:lpstr>v_87_SN2</vt:lpstr>
      <vt:lpstr>v_87_SNHx</vt:lpstr>
      <vt:lpstr>v_87_SNO2</vt:lpstr>
      <vt:lpstr>v_87_SNO3</vt:lpstr>
      <vt:lpstr>v_87_SO2</vt:lpstr>
      <vt:lpstr>v_87_SORPswitch</vt:lpstr>
      <vt:lpstr>v_87_SP_B</vt:lpstr>
      <vt:lpstr>v_87_SPFOA</vt:lpstr>
      <vt:lpstr>v_87_SPFOS</vt:lpstr>
      <vt:lpstr>v_87_SPO4</vt:lpstr>
      <vt:lpstr>v_87_SU</vt:lpstr>
      <vt:lpstr>v_87_SVFA</vt:lpstr>
      <vt:lpstr>v_87_XACP</vt:lpstr>
      <vt:lpstr>v_87_XAHO</vt:lpstr>
      <vt:lpstr>v_87_XALGAE</vt:lpstr>
      <vt:lpstr>v_87_XAMETO</vt:lpstr>
      <vt:lpstr>v_87_XAMX</vt:lpstr>
      <vt:lpstr>v_87_XAOB</vt:lpstr>
      <vt:lpstr>v_87_XB</vt:lpstr>
      <vt:lpstr>v_87_XB_e</vt:lpstr>
      <vt:lpstr>v_87_XBSH</vt:lpstr>
      <vt:lpstr>v_87_XCaCO3</vt:lpstr>
      <vt:lpstr>v_87_XCASTO</vt:lpstr>
      <vt:lpstr>v_87_XE</vt:lpstr>
      <vt:lpstr>v_87_XE_ana</vt:lpstr>
      <vt:lpstr>v_87_XHAO_H</vt:lpstr>
      <vt:lpstr>v_87_XHAO_H_P</vt:lpstr>
      <vt:lpstr>v_87_XHAO_H_P_old</vt:lpstr>
      <vt:lpstr>v_87_XHAO_L</vt:lpstr>
      <vt:lpstr>v_87_XHAO_L_P</vt:lpstr>
      <vt:lpstr>v_87_XHAO_L_P_old</vt:lpstr>
      <vt:lpstr>v_87_XHAO_old</vt:lpstr>
      <vt:lpstr>v_87_XHFO_H</vt:lpstr>
      <vt:lpstr>v_87_XHFO_H_P</vt:lpstr>
      <vt:lpstr>v_87_XHFO_H_P_old</vt:lpstr>
      <vt:lpstr>v_87_XHFO_L</vt:lpstr>
      <vt:lpstr>v_87_XHFO_L_P</vt:lpstr>
      <vt:lpstr>v_87_XHFO_L_P_old</vt:lpstr>
      <vt:lpstr>v_87_XHFO_old</vt:lpstr>
      <vt:lpstr>v_87_XHMETO</vt:lpstr>
      <vt:lpstr>v_87_XINORG</vt:lpstr>
      <vt:lpstr>v_87_XMEOLO</vt:lpstr>
      <vt:lpstr>v_87_XN_B</vt:lpstr>
      <vt:lpstr>v_87_XN_Be</vt:lpstr>
      <vt:lpstr>v_87_XN_U</vt:lpstr>
      <vt:lpstr>v_87_XNOB</vt:lpstr>
      <vt:lpstr>v_87_XOHO</vt:lpstr>
      <vt:lpstr>v_87_XP_B</vt:lpstr>
      <vt:lpstr>v_87_XP_Be</vt:lpstr>
      <vt:lpstr>v_87_XP_U</vt:lpstr>
      <vt:lpstr>v_87_XPFOA</vt:lpstr>
      <vt:lpstr>v_87_XPFOS</vt:lpstr>
      <vt:lpstr>v_87_XPHA_GAO</vt:lpstr>
      <vt:lpstr>v_87_XPHA_PAO</vt:lpstr>
      <vt:lpstr>v_87_XPP</vt:lpstr>
      <vt:lpstr>v_87_XSTO</vt:lpstr>
      <vt:lpstr>v_87_XSTR</vt:lpstr>
      <vt:lpstr>v_87_XU</vt:lpstr>
      <vt:lpstr>v_87_XVivi</vt:lpstr>
      <vt:lpstr>v_88_CB</vt:lpstr>
      <vt:lpstr>v_88_CU</vt:lpstr>
      <vt:lpstr>v_88_GCH4</vt:lpstr>
      <vt:lpstr>v_88_GCH4_atm</vt:lpstr>
      <vt:lpstr>v_88_GCO2</vt:lpstr>
      <vt:lpstr>v_88_GCO2_atm</vt:lpstr>
      <vt:lpstr>v_88_GH2</vt:lpstr>
      <vt:lpstr>v_88_GH2_atm</vt:lpstr>
      <vt:lpstr>v_88_GN2</vt:lpstr>
      <vt:lpstr>v_88_GN2_atm</vt:lpstr>
      <vt:lpstr>v_88_GNH3</vt:lpstr>
      <vt:lpstr>v_88_GNH3_atm</vt:lpstr>
      <vt:lpstr>v_88_GO2</vt:lpstr>
      <vt:lpstr>v_88_GO2_atm</vt:lpstr>
      <vt:lpstr>v_88_SALPHA</vt:lpstr>
      <vt:lpstr>v_88_SAN</vt:lpstr>
      <vt:lpstr>v_88_SB_mono</vt:lpstr>
      <vt:lpstr>v_88_SB_poly</vt:lpstr>
      <vt:lpstr>v_88_SCa</vt:lpstr>
      <vt:lpstr>v_88_SCAT</vt:lpstr>
      <vt:lpstr>v_88_SCH4</vt:lpstr>
      <vt:lpstr>v_88_SCO2</vt:lpstr>
      <vt:lpstr>v_88_SFe2</vt:lpstr>
      <vt:lpstr>v_88_SH</vt:lpstr>
      <vt:lpstr>v_88_SH2</vt:lpstr>
      <vt:lpstr>v_88_SK</vt:lpstr>
      <vt:lpstr>v_88_SMEOL</vt:lpstr>
      <vt:lpstr>v_88_SMg</vt:lpstr>
      <vt:lpstr>v_88_SN_B</vt:lpstr>
      <vt:lpstr>v_88_SN2</vt:lpstr>
      <vt:lpstr>v_88_SNHx</vt:lpstr>
      <vt:lpstr>v_88_SNO2</vt:lpstr>
      <vt:lpstr>v_88_SNO3</vt:lpstr>
      <vt:lpstr>v_88_SO2</vt:lpstr>
      <vt:lpstr>v_88_SORPswitch</vt:lpstr>
      <vt:lpstr>v_88_SP_B</vt:lpstr>
      <vt:lpstr>v_88_SPFOA</vt:lpstr>
      <vt:lpstr>v_88_SPFOS</vt:lpstr>
      <vt:lpstr>v_88_SPO4</vt:lpstr>
      <vt:lpstr>v_88_SU</vt:lpstr>
      <vt:lpstr>v_88_SVFA</vt:lpstr>
      <vt:lpstr>v_88_XACP</vt:lpstr>
      <vt:lpstr>v_88_XAHO</vt:lpstr>
      <vt:lpstr>v_88_XALGAE</vt:lpstr>
      <vt:lpstr>v_88_XAMETO</vt:lpstr>
      <vt:lpstr>v_88_XAMX</vt:lpstr>
      <vt:lpstr>v_88_XAOB</vt:lpstr>
      <vt:lpstr>v_88_XB</vt:lpstr>
      <vt:lpstr>v_88_XB_e</vt:lpstr>
      <vt:lpstr>v_88_XBSH</vt:lpstr>
      <vt:lpstr>v_88_XCaCO3</vt:lpstr>
      <vt:lpstr>v_88_XCASTO</vt:lpstr>
      <vt:lpstr>v_88_XE</vt:lpstr>
      <vt:lpstr>v_88_XE_ana</vt:lpstr>
      <vt:lpstr>v_88_XHAO_H</vt:lpstr>
      <vt:lpstr>v_88_XHAO_H_P</vt:lpstr>
      <vt:lpstr>v_88_XHAO_H_P_old</vt:lpstr>
      <vt:lpstr>v_88_XHAO_L</vt:lpstr>
      <vt:lpstr>v_88_XHAO_L_P</vt:lpstr>
      <vt:lpstr>v_88_XHAO_L_P_old</vt:lpstr>
      <vt:lpstr>v_88_XHAO_old</vt:lpstr>
      <vt:lpstr>v_88_XHFO_H</vt:lpstr>
      <vt:lpstr>v_88_XHFO_H_P</vt:lpstr>
      <vt:lpstr>v_88_XHFO_H_P_old</vt:lpstr>
      <vt:lpstr>v_88_XHFO_L</vt:lpstr>
      <vt:lpstr>v_88_XHFO_L_P</vt:lpstr>
      <vt:lpstr>v_88_XHFO_L_P_old</vt:lpstr>
      <vt:lpstr>v_88_XHFO_old</vt:lpstr>
      <vt:lpstr>v_88_XHMETO</vt:lpstr>
      <vt:lpstr>v_88_XINORG</vt:lpstr>
      <vt:lpstr>v_88_XMEOLO</vt:lpstr>
      <vt:lpstr>v_88_XN_B</vt:lpstr>
      <vt:lpstr>v_88_XN_Be</vt:lpstr>
      <vt:lpstr>v_88_XN_U</vt:lpstr>
      <vt:lpstr>v_88_XNOB</vt:lpstr>
      <vt:lpstr>v_88_XOHO</vt:lpstr>
      <vt:lpstr>v_88_XP_B</vt:lpstr>
      <vt:lpstr>v_88_XP_Be</vt:lpstr>
      <vt:lpstr>v_88_XP_U</vt:lpstr>
      <vt:lpstr>v_88_XPFOA</vt:lpstr>
      <vt:lpstr>v_88_XPFOS</vt:lpstr>
      <vt:lpstr>v_88_XPHA_GAO</vt:lpstr>
      <vt:lpstr>v_88_XPHA_PAO</vt:lpstr>
      <vt:lpstr>v_88_XPP</vt:lpstr>
      <vt:lpstr>v_88_XSTO</vt:lpstr>
      <vt:lpstr>v_88_XSTR</vt:lpstr>
      <vt:lpstr>v_88_XU</vt:lpstr>
      <vt:lpstr>v_88_XVivi</vt:lpstr>
      <vt:lpstr>v_89_CB</vt:lpstr>
      <vt:lpstr>v_89_CU</vt:lpstr>
      <vt:lpstr>v_89_GCH4</vt:lpstr>
      <vt:lpstr>v_89_GCH4_atm</vt:lpstr>
      <vt:lpstr>v_89_GCO2</vt:lpstr>
      <vt:lpstr>v_89_GCO2_atm</vt:lpstr>
      <vt:lpstr>v_89_GH2</vt:lpstr>
      <vt:lpstr>v_89_GH2_atm</vt:lpstr>
      <vt:lpstr>v_89_GN2</vt:lpstr>
      <vt:lpstr>v_89_GN2_atm</vt:lpstr>
      <vt:lpstr>v_89_GNH3</vt:lpstr>
      <vt:lpstr>v_89_GNH3_atm</vt:lpstr>
      <vt:lpstr>v_89_GO2</vt:lpstr>
      <vt:lpstr>v_89_GO2_atm</vt:lpstr>
      <vt:lpstr>v_89_SALPHA</vt:lpstr>
      <vt:lpstr>v_89_SAN</vt:lpstr>
      <vt:lpstr>v_89_SB_mono</vt:lpstr>
      <vt:lpstr>v_89_SB_poly</vt:lpstr>
      <vt:lpstr>v_89_SCa</vt:lpstr>
      <vt:lpstr>v_89_SCAT</vt:lpstr>
      <vt:lpstr>v_89_SCH4</vt:lpstr>
      <vt:lpstr>v_89_SCO2</vt:lpstr>
      <vt:lpstr>v_89_SFe2</vt:lpstr>
      <vt:lpstr>v_89_SH</vt:lpstr>
      <vt:lpstr>v_89_SH2</vt:lpstr>
      <vt:lpstr>v_89_SK</vt:lpstr>
      <vt:lpstr>v_89_SMEOL</vt:lpstr>
      <vt:lpstr>v_89_SMg</vt:lpstr>
      <vt:lpstr>v_89_SN_B</vt:lpstr>
      <vt:lpstr>v_89_SN2</vt:lpstr>
      <vt:lpstr>v_89_SNHx</vt:lpstr>
      <vt:lpstr>v_89_SNO2</vt:lpstr>
      <vt:lpstr>v_89_SNO3</vt:lpstr>
      <vt:lpstr>v_89_SO2</vt:lpstr>
      <vt:lpstr>v_89_SORPswitch</vt:lpstr>
      <vt:lpstr>v_89_SP_B</vt:lpstr>
      <vt:lpstr>v_89_SPFOA</vt:lpstr>
      <vt:lpstr>v_89_SPFOS</vt:lpstr>
      <vt:lpstr>v_89_SPO4</vt:lpstr>
      <vt:lpstr>v_89_SU</vt:lpstr>
      <vt:lpstr>v_89_SVFA</vt:lpstr>
      <vt:lpstr>v_89_XACP</vt:lpstr>
      <vt:lpstr>v_89_XAHO</vt:lpstr>
      <vt:lpstr>v_89_XALGAE</vt:lpstr>
      <vt:lpstr>v_89_XAMETO</vt:lpstr>
      <vt:lpstr>v_89_XAMX</vt:lpstr>
      <vt:lpstr>v_89_XAOB</vt:lpstr>
      <vt:lpstr>v_89_XB</vt:lpstr>
      <vt:lpstr>v_89_XB_e</vt:lpstr>
      <vt:lpstr>v_89_XBSH</vt:lpstr>
      <vt:lpstr>v_89_XCaCO3</vt:lpstr>
      <vt:lpstr>v_89_XCASTO</vt:lpstr>
      <vt:lpstr>v_89_XE</vt:lpstr>
      <vt:lpstr>v_89_XE_ana</vt:lpstr>
      <vt:lpstr>v_89_XHAO_H</vt:lpstr>
      <vt:lpstr>v_89_XHAO_H_P</vt:lpstr>
      <vt:lpstr>v_89_XHAO_H_P_old</vt:lpstr>
      <vt:lpstr>v_89_XHAO_L</vt:lpstr>
      <vt:lpstr>v_89_XHAO_L_P</vt:lpstr>
      <vt:lpstr>v_89_XHAO_L_P_old</vt:lpstr>
      <vt:lpstr>v_89_XHAO_old</vt:lpstr>
      <vt:lpstr>v_89_XHFO_H</vt:lpstr>
      <vt:lpstr>v_89_XHFO_H_P</vt:lpstr>
      <vt:lpstr>v_89_XHFO_H_P_old</vt:lpstr>
      <vt:lpstr>v_89_XHFO_L</vt:lpstr>
      <vt:lpstr>v_89_XHFO_L_P</vt:lpstr>
      <vt:lpstr>v_89_XHFO_L_P_old</vt:lpstr>
      <vt:lpstr>v_89_XHFO_old</vt:lpstr>
      <vt:lpstr>v_89_XHMETO</vt:lpstr>
      <vt:lpstr>v_89_XINORG</vt:lpstr>
      <vt:lpstr>v_89_XMEOLO</vt:lpstr>
      <vt:lpstr>v_89_XN_B</vt:lpstr>
      <vt:lpstr>v_89_XN_Be</vt:lpstr>
      <vt:lpstr>v_89_XN_U</vt:lpstr>
      <vt:lpstr>v_89_XNOB</vt:lpstr>
      <vt:lpstr>v_89_XOHO</vt:lpstr>
      <vt:lpstr>v_89_XP_B</vt:lpstr>
      <vt:lpstr>v_89_XP_Be</vt:lpstr>
      <vt:lpstr>v_89_XP_U</vt:lpstr>
      <vt:lpstr>v_89_XPFOA</vt:lpstr>
      <vt:lpstr>v_89_XPFOS</vt:lpstr>
      <vt:lpstr>v_89_XPHA_GAO</vt:lpstr>
      <vt:lpstr>v_89_XPHA_PAO</vt:lpstr>
      <vt:lpstr>v_89_XPP</vt:lpstr>
      <vt:lpstr>v_89_XSTO</vt:lpstr>
      <vt:lpstr>v_89_XSTR</vt:lpstr>
      <vt:lpstr>v_89_XU</vt:lpstr>
      <vt:lpstr>v_89_XVivi</vt:lpstr>
      <vt:lpstr>v_9_CB</vt:lpstr>
      <vt:lpstr>v_9_CU</vt:lpstr>
      <vt:lpstr>v_9_GCH4</vt:lpstr>
      <vt:lpstr>v_9_GCH4_atm</vt:lpstr>
      <vt:lpstr>v_9_GCO2</vt:lpstr>
      <vt:lpstr>v_9_GCO2_atm</vt:lpstr>
      <vt:lpstr>v_9_GH2</vt:lpstr>
      <vt:lpstr>v_9_GH2_atm</vt:lpstr>
      <vt:lpstr>v_9_GN2</vt:lpstr>
      <vt:lpstr>v_9_GN2_atm</vt:lpstr>
      <vt:lpstr>v_9_GNH3</vt:lpstr>
      <vt:lpstr>v_9_GNH3_atm</vt:lpstr>
      <vt:lpstr>v_9_GO2</vt:lpstr>
      <vt:lpstr>v_9_GO2_atm</vt:lpstr>
      <vt:lpstr>v_9_SALPHA</vt:lpstr>
      <vt:lpstr>v_9_SAN</vt:lpstr>
      <vt:lpstr>v_9_SB_mono</vt:lpstr>
      <vt:lpstr>v_9_SB_poly</vt:lpstr>
      <vt:lpstr>v_9_SCa</vt:lpstr>
      <vt:lpstr>v_9_SCAT</vt:lpstr>
      <vt:lpstr>v_9_SCH4</vt:lpstr>
      <vt:lpstr>v_9_SCO2</vt:lpstr>
      <vt:lpstr>v_9_SFe2</vt:lpstr>
      <vt:lpstr>v_9_SH</vt:lpstr>
      <vt:lpstr>v_9_SH2</vt:lpstr>
      <vt:lpstr>v_9_SK</vt:lpstr>
      <vt:lpstr>v_9_SMEOL</vt:lpstr>
      <vt:lpstr>v_9_SMg</vt:lpstr>
      <vt:lpstr>v_9_SN_B</vt:lpstr>
      <vt:lpstr>v_9_SN2</vt:lpstr>
      <vt:lpstr>v_9_SNHx</vt:lpstr>
      <vt:lpstr>v_9_SNO2</vt:lpstr>
      <vt:lpstr>v_9_SNO3</vt:lpstr>
      <vt:lpstr>v_9_SO2</vt:lpstr>
      <vt:lpstr>v_9_SORPswitch</vt:lpstr>
      <vt:lpstr>v_9_SP_B</vt:lpstr>
      <vt:lpstr>v_9_SPFOA</vt:lpstr>
      <vt:lpstr>v_9_SPFOS</vt:lpstr>
      <vt:lpstr>v_9_SPO4</vt:lpstr>
      <vt:lpstr>v_9_SU</vt:lpstr>
      <vt:lpstr>v_9_SVFA</vt:lpstr>
      <vt:lpstr>v_9_XACP</vt:lpstr>
      <vt:lpstr>v_9_XAHO</vt:lpstr>
      <vt:lpstr>v_9_XALGAE</vt:lpstr>
      <vt:lpstr>v_9_XAMETO</vt:lpstr>
      <vt:lpstr>v_9_XAMX</vt:lpstr>
      <vt:lpstr>v_9_XAOB</vt:lpstr>
      <vt:lpstr>v_9_XB</vt:lpstr>
      <vt:lpstr>v_9_XB_e</vt:lpstr>
      <vt:lpstr>v_9_XBSH</vt:lpstr>
      <vt:lpstr>v_9_XCaCO3</vt:lpstr>
      <vt:lpstr>v_9_XCASTO</vt:lpstr>
      <vt:lpstr>v_9_XE</vt:lpstr>
      <vt:lpstr>v_9_XE_ana</vt:lpstr>
      <vt:lpstr>v_9_XHAO_H</vt:lpstr>
      <vt:lpstr>v_9_XHAO_H_P</vt:lpstr>
      <vt:lpstr>v_9_XHAO_H_P_old</vt:lpstr>
      <vt:lpstr>v_9_XHAO_L</vt:lpstr>
      <vt:lpstr>v_9_XHAO_L_P</vt:lpstr>
      <vt:lpstr>v_9_XHAO_L_P_old</vt:lpstr>
      <vt:lpstr>v_9_XHAO_old</vt:lpstr>
      <vt:lpstr>v_9_XHFO_H</vt:lpstr>
      <vt:lpstr>v_9_XHFO_H_P</vt:lpstr>
      <vt:lpstr>v_9_XHFO_H_P_old</vt:lpstr>
      <vt:lpstr>v_9_XHFO_L</vt:lpstr>
      <vt:lpstr>v_9_XHFO_L_P</vt:lpstr>
      <vt:lpstr>v_9_XHFO_L_P_old</vt:lpstr>
      <vt:lpstr>v_9_XHFO_old</vt:lpstr>
      <vt:lpstr>v_9_XHMETO</vt:lpstr>
      <vt:lpstr>v_9_XINORG</vt:lpstr>
      <vt:lpstr>v_9_XMEOLO</vt:lpstr>
      <vt:lpstr>v_9_XN_B</vt:lpstr>
      <vt:lpstr>v_9_XN_Be</vt:lpstr>
      <vt:lpstr>v_9_XN_U</vt:lpstr>
      <vt:lpstr>v_9_XNOB</vt:lpstr>
      <vt:lpstr>v_9_XOHO</vt:lpstr>
      <vt:lpstr>v_9_XP_B</vt:lpstr>
      <vt:lpstr>v_9_XP_Be</vt:lpstr>
      <vt:lpstr>v_9_XP_U</vt:lpstr>
      <vt:lpstr>v_9_XPFOA</vt:lpstr>
      <vt:lpstr>v_9_XPFOS</vt:lpstr>
      <vt:lpstr>v_9_XPHA_GAO</vt:lpstr>
      <vt:lpstr>v_9_XPHA_PAO</vt:lpstr>
      <vt:lpstr>v_9_XPP</vt:lpstr>
      <vt:lpstr>v_9_XSTO</vt:lpstr>
      <vt:lpstr>v_9_XSTR</vt:lpstr>
      <vt:lpstr>v_9_XU</vt:lpstr>
      <vt:lpstr>v_9_XVivi</vt:lpstr>
      <vt:lpstr>v_90_CB</vt:lpstr>
      <vt:lpstr>v_90_CU</vt:lpstr>
      <vt:lpstr>v_90_GCH4</vt:lpstr>
      <vt:lpstr>v_90_GCH4_atm</vt:lpstr>
      <vt:lpstr>v_90_GCO2</vt:lpstr>
      <vt:lpstr>v_90_GCO2_atm</vt:lpstr>
      <vt:lpstr>v_90_GH2</vt:lpstr>
      <vt:lpstr>v_90_GH2_atm</vt:lpstr>
      <vt:lpstr>v_90_GN2</vt:lpstr>
      <vt:lpstr>v_90_GN2_atm</vt:lpstr>
      <vt:lpstr>v_90_GNH3</vt:lpstr>
      <vt:lpstr>v_90_GNH3_atm</vt:lpstr>
      <vt:lpstr>v_90_GO2</vt:lpstr>
      <vt:lpstr>v_90_GO2_atm</vt:lpstr>
      <vt:lpstr>v_90_SALPHA</vt:lpstr>
      <vt:lpstr>v_90_SAN</vt:lpstr>
      <vt:lpstr>v_90_SB_mono</vt:lpstr>
      <vt:lpstr>v_90_SB_poly</vt:lpstr>
      <vt:lpstr>v_90_SCa</vt:lpstr>
      <vt:lpstr>v_90_SCAT</vt:lpstr>
      <vt:lpstr>v_90_SCH4</vt:lpstr>
      <vt:lpstr>v_90_SCO2</vt:lpstr>
      <vt:lpstr>v_90_SFe2</vt:lpstr>
      <vt:lpstr>v_90_SH</vt:lpstr>
      <vt:lpstr>v_90_SH2</vt:lpstr>
      <vt:lpstr>v_90_SK</vt:lpstr>
      <vt:lpstr>v_90_SMEOL</vt:lpstr>
      <vt:lpstr>v_90_SMg</vt:lpstr>
      <vt:lpstr>v_90_SN_B</vt:lpstr>
      <vt:lpstr>v_90_SN2</vt:lpstr>
      <vt:lpstr>v_90_SNHx</vt:lpstr>
      <vt:lpstr>v_90_SNO2</vt:lpstr>
      <vt:lpstr>v_90_SNO3</vt:lpstr>
      <vt:lpstr>v_90_SO2</vt:lpstr>
      <vt:lpstr>v_90_SORPswitch</vt:lpstr>
      <vt:lpstr>v_90_SP_B</vt:lpstr>
      <vt:lpstr>v_90_SPFOA</vt:lpstr>
      <vt:lpstr>v_90_SPFOS</vt:lpstr>
      <vt:lpstr>v_90_SPO4</vt:lpstr>
      <vt:lpstr>v_90_SU</vt:lpstr>
      <vt:lpstr>v_90_SVFA</vt:lpstr>
      <vt:lpstr>v_90_XACP</vt:lpstr>
      <vt:lpstr>v_90_XAHO</vt:lpstr>
      <vt:lpstr>v_90_XALGAE</vt:lpstr>
      <vt:lpstr>v_90_XAMETO</vt:lpstr>
      <vt:lpstr>v_90_XAMX</vt:lpstr>
      <vt:lpstr>v_90_XAOB</vt:lpstr>
      <vt:lpstr>v_90_XB</vt:lpstr>
      <vt:lpstr>v_90_XB_e</vt:lpstr>
      <vt:lpstr>v_90_XBSH</vt:lpstr>
      <vt:lpstr>v_90_XCaCO3</vt:lpstr>
      <vt:lpstr>v_90_XCASTO</vt:lpstr>
      <vt:lpstr>v_90_XE</vt:lpstr>
      <vt:lpstr>v_90_XE_ana</vt:lpstr>
      <vt:lpstr>v_90_XHAO_H</vt:lpstr>
      <vt:lpstr>v_90_XHAO_H_P</vt:lpstr>
      <vt:lpstr>v_90_XHAO_H_P_old</vt:lpstr>
      <vt:lpstr>v_90_XHAO_L</vt:lpstr>
      <vt:lpstr>v_90_XHAO_L_P</vt:lpstr>
      <vt:lpstr>v_90_XHAO_L_P_old</vt:lpstr>
      <vt:lpstr>v_90_XHAO_old</vt:lpstr>
      <vt:lpstr>v_90_XHFO_H</vt:lpstr>
      <vt:lpstr>v_90_XHFO_H_P</vt:lpstr>
      <vt:lpstr>v_90_XHFO_H_P_old</vt:lpstr>
      <vt:lpstr>v_90_XHFO_L</vt:lpstr>
      <vt:lpstr>v_90_XHFO_L_P</vt:lpstr>
      <vt:lpstr>v_90_XHFO_L_P_old</vt:lpstr>
      <vt:lpstr>v_90_XHFO_old</vt:lpstr>
      <vt:lpstr>v_90_XHMETO</vt:lpstr>
      <vt:lpstr>v_90_XINORG</vt:lpstr>
      <vt:lpstr>v_90_XMEOLO</vt:lpstr>
      <vt:lpstr>v_90_XN_B</vt:lpstr>
      <vt:lpstr>v_90_XN_Be</vt:lpstr>
      <vt:lpstr>v_90_XN_U</vt:lpstr>
      <vt:lpstr>v_90_XNOB</vt:lpstr>
      <vt:lpstr>v_90_XOHO</vt:lpstr>
      <vt:lpstr>v_90_XP_B</vt:lpstr>
      <vt:lpstr>v_90_XP_Be</vt:lpstr>
      <vt:lpstr>v_90_XP_U</vt:lpstr>
      <vt:lpstr>v_90_XPFOA</vt:lpstr>
      <vt:lpstr>v_90_XPFOS</vt:lpstr>
      <vt:lpstr>v_90_XPHA_GAO</vt:lpstr>
      <vt:lpstr>v_90_XPHA_PAO</vt:lpstr>
      <vt:lpstr>v_90_XPP</vt:lpstr>
      <vt:lpstr>v_90_XSTO</vt:lpstr>
      <vt:lpstr>v_90_XSTR</vt:lpstr>
      <vt:lpstr>v_90_XU</vt:lpstr>
      <vt:lpstr>v_90_XVivi</vt:lpstr>
      <vt:lpstr>v_91_CB</vt:lpstr>
      <vt:lpstr>v_91_CU</vt:lpstr>
      <vt:lpstr>v_91_GCH4</vt:lpstr>
      <vt:lpstr>v_91_GCH4_atm</vt:lpstr>
      <vt:lpstr>v_91_GCO2</vt:lpstr>
      <vt:lpstr>v_91_GCO2_atm</vt:lpstr>
      <vt:lpstr>v_91_GH2</vt:lpstr>
      <vt:lpstr>v_91_GH2_atm</vt:lpstr>
      <vt:lpstr>v_91_GN2</vt:lpstr>
      <vt:lpstr>v_91_GN2_atm</vt:lpstr>
      <vt:lpstr>v_91_GNH3</vt:lpstr>
      <vt:lpstr>v_91_GNH3_atm</vt:lpstr>
      <vt:lpstr>v_91_GO2</vt:lpstr>
      <vt:lpstr>v_91_GO2_atm</vt:lpstr>
      <vt:lpstr>v_91_SALPHA</vt:lpstr>
      <vt:lpstr>v_91_SAN</vt:lpstr>
      <vt:lpstr>v_91_SB_mono</vt:lpstr>
      <vt:lpstr>v_91_SB_poly</vt:lpstr>
      <vt:lpstr>v_91_SCa</vt:lpstr>
      <vt:lpstr>v_91_SCAT</vt:lpstr>
      <vt:lpstr>v_91_SCH4</vt:lpstr>
      <vt:lpstr>v_91_SCO2</vt:lpstr>
      <vt:lpstr>v_91_SFe2</vt:lpstr>
      <vt:lpstr>v_91_SH</vt:lpstr>
      <vt:lpstr>v_91_SH2</vt:lpstr>
      <vt:lpstr>v_91_SK</vt:lpstr>
      <vt:lpstr>v_91_SMEOL</vt:lpstr>
      <vt:lpstr>v_91_SMg</vt:lpstr>
      <vt:lpstr>v_91_SN_B</vt:lpstr>
      <vt:lpstr>v_91_SN2</vt:lpstr>
      <vt:lpstr>v_91_SNHx</vt:lpstr>
      <vt:lpstr>v_91_SNO2</vt:lpstr>
      <vt:lpstr>v_91_SNO3</vt:lpstr>
      <vt:lpstr>v_91_SO2</vt:lpstr>
      <vt:lpstr>v_91_SORPswitch</vt:lpstr>
      <vt:lpstr>v_91_SP_B</vt:lpstr>
      <vt:lpstr>v_91_SPFOA</vt:lpstr>
      <vt:lpstr>v_91_SPFOS</vt:lpstr>
      <vt:lpstr>v_91_SPO4</vt:lpstr>
      <vt:lpstr>v_91_SU</vt:lpstr>
      <vt:lpstr>v_91_SVFA</vt:lpstr>
      <vt:lpstr>v_91_XACP</vt:lpstr>
      <vt:lpstr>v_91_XAHO</vt:lpstr>
      <vt:lpstr>v_91_XALGAE</vt:lpstr>
      <vt:lpstr>v_91_XAMETO</vt:lpstr>
      <vt:lpstr>v_91_XAMX</vt:lpstr>
      <vt:lpstr>v_91_XAOB</vt:lpstr>
      <vt:lpstr>v_91_XB</vt:lpstr>
      <vt:lpstr>v_91_XB_e</vt:lpstr>
      <vt:lpstr>v_91_XBSH</vt:lpstr>
      <vt:lpstr>v_91_XCaCO3</vt:lpstr>
      <vt:lpstr>v_91_XCASTO</vt:lpstr>
      <vt:lpstr>v_91_XE</vt:lpstr>
      <vt:lpstr>v_91_XE_ana</vt:lpstr>
      <vt:lpstr>v_91_XHAO_H</vt:lpstr>
      <vt:lpstr>v_91_XHAO_H_P</vt:lpstr>
      <vt:lpstr>v_91_XHAO_H_P_old</vt:lpstr>
      <vt:lpstr>v_91_XHAO_L</vt:lpstr>
      <vt:lpstr>v_91_XHAO_L_P</vt:lpstr>
      <vt:lpstr>v_91_XHAO_L_P_old</vt:lpstr>
      <vt:lpstr>v_91_XHAO_old</vt:lpstr>
      <vt:lpstr>v_91_XHFO_H</vt:lpstr>
      <vt:lpstr>v_91_XHFO_H_P</vt:lpstr>
      <vt:lpstr>v_91_XHFO_H_P_old</vt:lpstr>
      <vt:lpstr>v_91_XHFO_L</vt:lpstr>
      <vt:lpstr>v_91_XHFO_L_P</vt:lpstr>
      <vt:lpstr>v_91_XHFO_L_P_old</vt:lpstr>
      <vt:lpstr>v_91_XHFO_old</vt:lpstr>
      <vt:lpstr>v_91_XHMETO</vt:lpstr>
      <vt:lpstr>v_91_XINORG</vt:lpstr>
      <vt:lpstr>v_91_XMEOLO</vt:lpstr>
      <vt:lpstr>v_91_XN_B</vt:lpstr>
      <vt:lpstr>v_91_XN_Be</vt:lpstr>
      <vt:lpstr>v_91_XN_U</vt:lpstr>
      <vt:lpstr>v_91_XNOB</vt:lpstr>
      <vt:lpstr>v_91_XOHO</vt:lpstr>
      <vt:lpstr>v_91_XP_B</vt:lpstr>
      <vt:lpstr>v_91_XP_Be</vt:lpstr>
      <vt:lpstr>v_91_XP_U</vt:lpstr>
      <vt:lpstr>v_91_XPFOA</vt:lpstr>
      <vt:lpstr>v_91_XPFOS</vt:lpstr>
      <vt:lpstr>v_91_XPHA_GAO</vt:lpstr>
      <vt:lpstr>v_91_XPHA_PAO</vt:lpstr>
      <vt:lpstr>v_91_XPP</vt:lpstr>
      <vt:lpstr>v_91_XSTO</vt:lpstr>
      <vt:lpstr>v_91_XSTR</vt:lpstr>
      <vt:lpstr>v_91_XU</vt:lpstr>
      <vt:lpstr>v_91_XVivi</vt:lpstr>
      <vt:lpstr>v_92_CB</vt:lpstr>
      <vt:lpstr>v_92_CU</vt:lpstr>
      <vt:lpstr>v_92_GCH4</vt:lpstr>
      <vt:lpstr>v_92_GCH4_atm</vt:lpstr>
      <vt:lpstr>v_92_GCO2</vt:lpstr>
      <vt:lpstr>v_92_GCO2_atm</vt:lpstr>
      <vt:lpstr>v_92_GH2</vt:lpstr>
      <vt:lpstr>v_92_GH2_atm</vt:lpstr>
      <vt:lpstr>v_92_GN2</vt:lpstr>
      <vt:lpstr>v_92_GN2_atm</vt:lpstr>
      <vt:lpstr>v_92_GNH3</vt:lpstr>
      <vt:lpstr>v_92_GNH3_atm</vt:lpstr>
      <vt:lpstr>v_92_GO2</vt:lpstr>
      <vt:lpstr>v_92_GO2_atm</vt:lpstr>
      <vt:lpstr>v_92_SALPHA</vt:lpstr>
      <vt:lpstr>v_92_SAN</vt:lpstr>
      <vt:lpstr>v_92_SB_mono</vt:lpstr>
      <vt:lpstr>v_92_SB_poly</vt:lpstr>
      <vt:lpstr>v_92_SCa</vt:lpstr>
      <vt:lpstr>v_92_SCAT</vt:lpstr>
      <vt:lpstr>v_92_SCH4</vt:lpstr>
      <vt:lpstr>v_92_SCO2</vt:lpstr>
      <vt:lpstr>v_92_SFe2</vt:lpstr>
      <vt:lpstr>v_92_SH</vt:lpstr>
      <vt:lpstr>v_92_SH2</vt:lpstr>
      <vt:lpstr>v_92_SK</vt:lpstr>
      <vt:lpstr>v_92_SMEOL</vt:lpstr>
      <vt:lpstr>v_92_SMg</vt:lpstr>
      <vt:lpstr>v_92_SN_B</vt:lpstr>
      <vt:lpstr>v_92_SN2</vt:lpstr>
      <vt:lpstr>v_92_SNHx</vt:lpstr>
      <vt:lpstr>v_92_SNO2</vt:lpstr>
      <vt:lpstr>v_92_SNO3</vt:lpstr>
      <vt:lpstr>v_92_SO2</vt:lpstr>
      <vt:lpstr>v_92_SORPswitch</vt:lpstr>
      <vt:lpstr>v_92_SP_B</vt:lpstr>
      <vt:lpstr>v_92_SPFOA</vt:lpstr>
      <vt:lpstr>v_92_SPFOS</vt:lpstr>
      <vt:lpstr>v_92_SPO4</vt:lpstr>
      <vt:lpstr>v_92_SU</vt:lpstr>
      <vt:lpstr>v_92_SVFA</vt:lpstr>
      <vt:lpstr>v_92_XACP</vt:lpstr>
      <vt:lpstr>v_92_XAHO</vt:lpstr>
      <vt:lpstr>v_92_XALGAE</vt:lpstr>
      <vt:lpstr>v_92_XAMETO</vt:lpstr>
      <vt:lpstr>v_92_XAMX</vt:lpstr>
      <vt:lpstr>v_92_XAOB</vt:lpstr>
      <vt:lpstr>v_92_XB</vt:lpstr>
      <vt:lpstr>v_92_XB_e</vt:lpstr>
      <vt:lpstr>v_92_XBSH</vt:lpstr>
      <vt:lpstr>v_92_XCaCO3</vt:lpstr>
      <vt:lpstr>v_92_XCASTO</vt:lpstr>
      <vt:lpstr>v_92_XE</vt:lpstr>
      <vt:lpstr>v_92_XE_ana</vt:lpstr>
      <vt:lpstr>v_92_XHAO_H</vt:lpstr>
      <vt:lpstr>v_92_XHAO_H_P</vt:lpstr>
      <vt:lpstr>v_92_XHAO_H_P_old</vt:lpstr>
      <vt:lpstr>v_92_XHAO_L</vt:lpstr>
      <vt:lpstr>v_92_XHAO_L_P</vt:lpstr>
      <vt:lpstr>v_92_XHAO_L_P_old</vt:lpstr>
      <vt:lpstr>v_92_XHAO_old</vt:lpstr>
      <vt:lpstr>v_92_XHFO_H</vt:lpstr>
      <vt:lpstr>v_92_XHFO_H_P</vt:lpstr>
      <vt:lpstr>v_92_XHFO_H_P_old</vt:lpstr>
      <vt:lpstr>v_92_XHFO_L</vt:lpstr>
      <vt:lpstr>v_92_XHFO_L_P</vt:lpstr>
      <vt:lpstr>v_92_XHFO_L_P_old</vt:lpstr>
      <vt:lpstr>v_92_XHFO_old</vt:lpstr>
      <vt:lpstr>v_92_XHMETO</vt:lpstr>
      <vt:lpstr>v_92_XINORG</vt:lpstr>
      <vt:lpstr>v_92_XMEOLO</vt:lpstr>
      <vt:lpstr>v_92_XN_B</vt:lpstr>
      <vt:lpstr>v_92_XN_Be</vt:lpstr>
      <vt:lpstr>v_92_XN_U</vt:lpstr>
      <vt:lpstr>v_92_XNOB</vt:lpstr>
      <vt:lpstr>v_92_XOHO</vt:lpstr>
      <vt:lpstr>v_92_XP_B</vt:lpstr>
      <vt:lpstr>v_92_XP_Be</vt:lpstr>
      <vt:lpstr>v_92_XP_U</vt:lpstr>
      <vt:lpstr>v_92_XPFOA</vt:lpstr>
      <vt:lpstr>v_92_XPFOS</vt:lpstr>
      <vt:lpstr>v_92_XPHA_GAO</vt:lpstr>
      <vt:lpstr>v_92_XPHA_PAO</vt:lpstr>
      <vt:lpstr>v_92_XPP</vt:lpstr>
      <vt:lpstr>v_92_XSTO</vt:lpstr>
      <vt:lpstr>v_92_XSTR</vt:lpstr>
      <vt:lpstr>v_92_XU</vt:lpstr>
      <vt:lpstr>v_92_XVivi</vt:lpstr>
      <vt:lpstr>v_93_CB</vt:lpstr>
      <vt:lpstr>v_93_CU</vt:lpstr>
      <vt:lpstr>v_93_GCH4</vt:lpstr>
      <vt:lpstr>v_93_GCH4_atm</vt:lpstr>
      <vt:lpstr>v_93_GCO2</vt:lpstr>
      <vt:lpstr>v_93_GCO2_atm</vt:lpstr>
      <vt:lpstr>v_93_GH2</vt:lpstr>
      <vt:lpstr>v_93_GH2_atm</vt:lpstr>
      <vt:lpstr>v_93_GN2</vt:lpstr>
      <vt:lpstr>v_93_GN2_atm</vt:lpstr>
      <vt:lpstr>v_93_GNH3</vt:lpstr>
      <vt:lpstr>v_93_GNH3_atm</vt:lpstr>
      <vt:lpstr>v_93_GO2</vt:lpstr>
      <vt:lpstr>v_93_GO2_atm</vt:lpstr>
      <vt:lpstr>v_93_SALPHA</vt:lpstr>
      <vt:lpstr>v_93_SAN</vt:lpstr>
      <vt:lpstr>v_93_SB_mono</vt:lpstr>
      <vt:lpstr>v_93_SB_poly</vt:lpstr>
      <vt:lpstr>v_93_SCa</vt:lpstr>
      <vt:lpstr>v_93_SCAT</vt:lpstr>
      <vt:lpstr>v_93_SCH4</vt:lpstr>
      <vt:lpstr>v_93_SCO2</vt:lpstr>
      <vt:lpstr>v_93_SFe2</vt:lpstr>
      <vt:lpstr>v_93_SH</vt:lpstr>
      <vt:lpstr>v_93_SH2</vt:lpstr>
      <vt:lpstr>v_93_SK</vt:lpstr>
      <vt:lpstr>v_93_SMEOL</vt:lpstr>
      <vt:lpstr>v_93_SMg</vt:lpstr>
      <vt:lpstr>v_93_SN_B</vt:lpstr>
      <vt:lpstr>v_93_SN2</vt:lpstr>
      <vt:lpstr>v_93_SNHx</vt:lpstr>
      <vt:lpstr>v_93_SNO2</vt:lpstr>
      <vt:lpstr>v_93_SNO3</vt:lpstr>
      <vt:lpstr>v_93_SO2</vt:lpstr>
      <vt:lpstr>v_93_SORPswitch</vt:lpstr>
      <vt:lpstr>v_93_SP_B</vt:lpstr>
      <vt:lpstr>v_93_SPFOA</vt:lpstr>
      <vt:lpstr>v_93_SPFOS</vt:lpstr>
      <vt:lpstr>v_93_SPO4</vt:lpstr>
      <vt:lpstr>v_93_SU</vt:lpstr>
      <vt:lpstr>v_93_SVFA</vt:lpstr>
      <vt:lpstr>v_93_XACP</vt:lpstr>
      <vt:lpstr>v_93_XAHO</vt:lpstr>
      <vt:lpstr>v_93_XALGAE</vt:lpstr>
      <vt:lpstr>v_93_XAMETO</vt:lpstr>
      <vt:lpstr>v_93_XAMX</vt:lpstr>
      <vt:lpstr>v_93_XAOB</vt:lpstr>
      <vt:lpstr>v_93_XB</vt:lpstr>
      <vt:lpstr>v_93_XB_e</vt:lpstr>
      <vt:lpstr>v_93_XBSH</vt:lpstr>
      <vt:lpstr>v_93_XCaCO3</vt:lpstr>
      <vt:lpstr>v_93_XCASTO</vt:lpstr>
      <vt:lpstr>v_93_XE</vt:lpstr>
      <vt:lpstr>v_93_XE_ana</vt:lpstr>
      <vt:lpstr>v_93_XHAO_H</vt:lpstr>
      <vt:lpstr>v_93_XHAO_H_P</vt:lpstr>
      <vt:lpstr>v_93_XHAO_H_P_old</vt:lpstr>
      <vt:lpstr>v_93_XHAO_L</vt:lpstr>
      <vt:lpstr>v_93_XHAO_L_P</vt:lpstr>
      <vt:lpstr>v_93_XHAO_L_P_old</vt:lpstr>
      <vt:lpstr>v_93_XHAO_old</vt:lpstr>
      <vt:lpstr>v_93_XHFO_H</vt:lpstr>
      <vt:lpstr>v_93_XHFO_H_P</vt:lpstr>
      <vt:lpstr>v_93_XHFO_H_P_old</vt:lpstr>
      <vt:lpstr>v_93_XHFO_L</vt:lpstr>
      <vt:lpstr>v_93_XHFO_L_P</vt:lpstr>
      <vt:lpstr>v_93_XHFO_L_P_old</vt:lpstr>
      <vt:lpstr>v_93_XHFO_old</vt:lpstr>
      <vt:lpstr>v_93_XHMETO</vt:lpstr>
      <vt:lpstr>v_93_XINORG</vt:lpstr>
      <vt:lpstr>v_93_XMEOLO</vt:lpstr>
      <vt:lpstr>v_93_XN_B</vt:lpstr>
      <vt:lpstr>v_93_XN_Be</vt:lpstr>
      <vt:lpstr>v_93_XN_U</vt:lpstr>
      <vt:lpstr>v_93_XNOB</vt:lpstr>
      <vt:lpstr>v_93_XOHO</vt:lpstr>
      <vt:lpstr>v_93_XP_B</vt:lpstr>
      <vt:lpstr>v_93_XP_Be</vt:lpstr>
      <vt:lpstr>v_93_XP_U</vt:lpstr>
      <vt:lpstr>v_93_XPFOA</vt:lpstr>
      <vt:lpstr>v_93_XPFOS</vt:lpstr>
      <vt:lpstr>v_93_XPHA_GAO</vt:lpstr>
      <vt:lpstr>v_93_XPHA_PAO</vt:lpstr>
      <vt:lpstr>v_93_XPP</vt:lpstr>
      <vt:lpstr>v_93_XSTO</vt:lpstr>
      <vt:lpstr>v_93_XSTR</vt:lpstr>
      <vt:lpstr>v_93_XU</vt:lpstr>
      <vt:lpstr>v_93_XVivi</vt:lpstr>
      <vt:lpstr>v_94_CB</vt:lpstr>
      <vt:lpstr>v_94_CU</vt:lpstr>
      <vt:lpstr>v_94_GCH4</vt:lpstr>
      <vt:lpstr>v_94_GCH4_atm</vt:lpstr>
      <vt:lpstr>v_94_GCO2</vt:lpstr>
      <vt:lpstr>v_94_GCO2_atm</vt:lpstr>
      <vt:lpstr>v_94_GH2</vt:lpstr>
      <vt:lpstr>v_94_GH2_atm</vt:lpstr>
      <vt:lpstr>v_94_GN2</vt:lpstr>
      <vt:lpstr>v_94_GN2_atm</vt:lpstr>
      <vt:lpstr>v_94_GNH3</vt:lpstr>
      <vt:lpstr>v_94_GNH3_atm</vt:lpstr>
      <vt:lpstr>v_94_GO2</vt:lpstr>
      <vt:lpstr>v_94_GO2_atm</vt:lpstr>
      <vt:lpstr>v_94_SALPHA</vt:lpstr>
      <vt:lpstr>v_94_SAN</vt:lpstr>
      <vt:lpstr>v_94_SB_mono</vt:lpstr>
      <vt:lpstr>v_94_SB_poly</vt:lpstr>
      <vt:lpstr>v_94_SCa</vt:lpstr>
      <vt:lpstr>v_94_SCAT</vt:lpstr>
      <vt:lpstr>v_94_SCH4</vt:lpstr>
      <vt:lpstr>v_94_SCO2</vt:lpstr>
      <vt:lpstr>v_94_SFe2</vt:lpstr>
      <vt:lpstr>v_94_SH</vt:lpstr>
      <vt:lpstr>v_94_SH2</vt:lpstr>
      <vt:lpstr>v_94_SK</vt:lpstr>
      <vt:lpstr>v_94_SMEOL</vt:lpstr>
      <vt:lpstr>v_94_SMg</vt:lpstr>
      <vt:lpstr>v_94_SN_B</vt:lpstr>
      <vt:lpstr>v_94_SN2</vt:lpstr>
      <vt:lpstr>v_94_SNHx</vt:lpstr>
      <vt:lpstr>v_94_SNO2</vt:lpstr>
      <vt:lpstr>v_94_SNO3</vt:lpstr>
      <vt:lpstr>v_94_SO2</vt:lpstr>
      <vt:lpstr>v_94_SORPswitch</vt:lpstr>
      <vt:lpstr>v_94_SP_B</vt:lpstr>
      <vt:lpstr>v_94_SPFOA</vt:lpstr>
      <vt:lpstr>v_94_SPFOS</vt:lpstr>
      <vt:lpstr>v_94_SPO4</vt:lpstr>
      <vt:lpstr>v_94_SU</vt:lpstr>
      <vt:lpstr>v_94_SVFA</vt:lpstr>
      <vt:lpstr>v_94_XACP</vt:lpstr>
      <vt:lpstr>v_94_XAHO</vt:lpstr>
      <vt:lpstr>v_94_XALGAE</vt:lpstr>
      <vt:lpstr>v_94_XAMETO</vt:lpstr>
      <vt:lpstr>v_94_XAMX</vt:lpstr>
      <vt:lpstr>v_94_XAOB</vt:lpstr>
      <vt:lpstr>v_94_XB</vt:lpstr>
      <vt:lpstr>v_94_XB_e</vt:lpstr>
      <vt:lpstr>v_94_XBSH</vt:lpstr>
      <vt:lpstr>v_94_XCaCO3</vt:lpstr>
      <vt:lpstr>v_94_XCASTO</vt:lpstr>
      <vt:lpstr>v_94_XE</vt:lpstr>
      <vt:lpstr>v_94_XE_ana</vt:lpstr>
      <vt:lpstr>v_94_XHAO_H</vt:lpstr>
      <vt:lpstr>v_94_XHAO_H_P</vt:lpstr>
      <vt:lpstr>v_94_XHAO_H_P_old</vt:lpstr>
      <vt:lpstr>v_94_XHAO_L</vt:lpstr>
      <vt:lpstr>v_94_XHAO_L_P</vt:lpstr>
      <vt:lpstr>v_94_XHAO_L_P_old</vt:lpstr>
      <vt:lpstr>v_94_XHAO_old</vt:lpstr>
      <vt:lpstr>v_94_XHFO_H</vt:lpstr>
      <vt:lpstr>v_94_XHFO_H_P</vt:lpstr>
      <vt:lpstr>v_94_XHFO_H_P_old</vt:lpstr>
      <vt:lpstr>v_94_XHFO_L</vt:lpstr>
      <vt:lpstr>v_94_XHFO_L_P</vt:lpstr>
      <vt:lpstr>v_94_XHFO_L_P_old</vt:lpstr>
      <vt:lpstr>v_94_XHFO_old</vt:lpstr>
      <vt:lpstr>v_94_XHMETO</vt:lpstr>
      <vt:lpstr>v_94_XINORG</vt:lpstr>
      <vt:lpstr>v_94_XMEOLO</vt:lpstr>
      <vt:lpstr>v_94_XN_B</vt:lpstr>
      <vt:lpstr>v_94_XN_Be</vt:lpstr>
      <vt:lpstr>v_94_XN_U</vt:lpstr>
      <vt:lpstr>v_94_XNOB</vt:lpstr>
      <vt:lpstr>v_94_XOHO</vt:lpstr>
      <vt:lpstr>v_94_XP_B</vt:lpstr>
      <vt:lpstr>v_94_XP_Be</vt:lpstr>
      <vt:lpstr>v_94_XP_U</vt:lpstr>
      <vt:lpstr>v_94_XPFOA</vt:lpstr>
      <vt:lpstr>v_94_XPFOS</vt:lpstr>
      <vt:lpstr>v_94_XPHA_GAO</vt:lpstr>
      <vt:lpstr>v_94_XPHA_PAO</vt:lpstr>
      <vt:lpstr>v_94_XPP</vt:lpstr>
      <vt:lpstr>v_94_XSTO</vt:lpstr>
      <vt:lpstr>v_94_XSTR</vt:lpstr>
      <vt:lpstr>v_94_XU</vt:lpstr>
      <vt:lpstr>v_94_XVivi</vt:lpstr>
      <vt:lpstr>v_95_CB</vt:lpstr>
      <vt:lpstr>v_95_CU</vt:lpstr>
      <vt:lpstr>v_95_GCH4</vt:lpstr>
      <vt:lpstr>v_95_GCH4_atm</vt:lpstr>
      <vt:lpstr>v_95_GCO2</vt:lpstr>
      <vt:lpstr>v_95_GCO2_atm</vt:lpstr>
      <vt:lpstr>v_95_GH2</vt:lpstr>
      <vt:lpstr>v_95_GH2_atm</vt:lpstr>
      <vt:lpstr>v_95_GN2</vt:lpstr>
      <vt:lpstr>v_95_GN2_atm</vt:lpstr>
      <vt:lpstr>v_95_GNH3</vt:lpstr>
      <vt:lpstr>v_95_GNH3_atm</vt:lpstr>
      <vt:lpstr>v_95_GO2</vt:lpstr>
      <vt:lpstr>v_95_GO2_atm</vt:lpstr>
      <vt:lpstr>v_95_SALPHA</vt:lpstr>
      <vt:lpstr>v_95_SAN</vt:lpstr>
      <vt:lpstr>v_95_SB_mono</vt:lpstr>
      <vt:lpstr>v_95_SB_poly</vt:lpstr>
      <vt:lpstr>v_95_SCa</vt:lpstr>
      <vt:lpstr>v_95_SCAT</vt:lpstr>
      <vt:lpstr>v_95_SCH4</vt:lpstr>
      <vt:lpstr>v_95_SCO2</vt:lpstr>
      <vt:lpstr>v_95_SFe2</vt:lpstr>
      <vt:lpstr>v_95_SH</vt:lpstr>
      <vt:lpstr>v_95_SH2</vt:lpstr>
      <vt:lpstr>v_95_SK</vt:lpstr>
      <vt:lpstr>v_95_SMEOL</vt:lpstr>
      <vt:lpstr>v_95_SMg</vt:lpstr>
      <vt:lpstr>v_95_SN_B</vt:lpstr>
      <vt:lpstr>v_95_SN2</vt:lpstr>
      <vt:lpstr>v_95_SNHx</vt:lpstr>
      <vt:lpstr>v_95_SNO2</vt:lpstr>
      <vt:lpstr>v_95_SNO3</vt:lpstr>
      <vt:lpstr>v_95_SO2</vt:lpstr>
      <vt:lpstr>v_95_SORPswitch</vt:lpstr>
      <vt:lpstr>v_95_SP_B</vt:lpstr>
      <vt:lpstr>v_95_SPFOA</vt:lpstr>
      <vt:lpstr>v_95_SPFOS</vt:lpstr>
      <vt:lpstr>v_95_SPO4</vt:lpstr>
      <vt:lpstr>v_95_SU</vt:lpstr>
      <vt:lpstr>v_95_SVFA</vt:lpstr>
      <vt:lpstr>v_95_XACP</vt:lpstr>
      <vt:lpstr>v_95_XAHO</vt:lpstr>
      <vt:lpstr>v_95_XALGAE</vt:lpstr>
      <vt:lpstr>v_95_XAMETO</vt:lpstr>
      <vt:lpstr>v_95_XAMX</vt:lpstr>
      <vt:lpstr>v_95_XAOB</vt:lpstr>
      <vt:lpstr>v_95_XB</vt:lpstr>
      <vt:lpstr>v_95_XB_e</vt:lpstr>
      <vt:lpstr>v_95_XBSH</vt:lpstr>
      <vt:lpstr>v_95_XCaCO3</vt:lpstr>
      <vt:lpstr>v_95_XCASTO</vt:lpstr>
      <vt:lpstr>v_95_XE</vt:lpstr>
      <vt:lpstr>v_95_XE_ana</vt:lpstr>
      <vt:lpstr>v_95_XHAO_H</vt:lpstr>
      <vt:lpstr>v_95_XHAO_H_P</vt:lpstr>
      <vt:lpstr>v_95_XHAO_H_P_old</vt:lpstr>
      <vt:lpstr>v_95_XHAO_L</vt:lpstr>
      <vt:lpstr>v_95_XHAO_L_P</vt:lpstr>
      <vt:lpstr>v_95_XHAO_L_P_old</vt:lpstr>
      <vt:lpstr>v_95_XHAO_old</vt:lpstr>
      <vt:lpstr>v_95_XHFO_H</vt:lpstr>
      <vt:lpstr>v_95_XHFO_H_P</vt:lpstr>
      <vt:lpstr>v_95_XHFO_H_P_old</vt:lpstr>
      <vt:lpstr>v_95_XHFO_L</vt:lpstr>
      <vt:lpstr>v_95_XHFO_L_P</vt:lpstr>
      <vt:lpstr>v_95_XHFO_L_P_old</vt:lpstr>
      <vt:lpstr>v_95_XHFO_old</vt:lpstr>
      <vt:lpstr>v_95_XHMETO</vt:lpstr>
      <vt:lpstr>v_95_XINORG</vt:lpstr>
      <vt:lpstr>v_95_XMEOLO</vt:lpstr>
      <vt:lpstr>v_95_XN_B</vt:lpstr>
      <vt:lpstr>v_95_XN_Be</vt:lpstr>
      <vt:lpstr>v_95_XN_U</vt:lpstr>
      <vt:lpstr>v_95_XNOB</vt:lpstr>
      <vt:lpstr>v_95_XOHO</vt:lpstr>
      <vt:lpstr>v_95_XP_B</vt:lpstr>
      <vt:lpstr>v_95_XP_Be</vt:lpstr>
      <vt:lpstr>v_95_XP_U</vt:lpstr>
      <vt:lpstr>v_95_XPFOA</vt:lpstr>
      <vt:lpstr>v_95_XPFOS</vt:lpstr>
      <vt:lpstr>v_95_XPHA_GAO</vt:lpstr>
      <vt:lpstr>v_95_XPHA_PAO</vt:lpstr>
      <vt:lpstr>v_95_XPP</vt:lpstr>
      <vt:lpstr>v_95_XSTO</vt:lpstr>
      <vt:lpstr>v_95_XSTR</vt:lpstr>
      <vt:lpstr>v_95_XU</vt:lpstr>
      <vt:lpstr>v_95_XVivi</vt:lpstr>
      <vt:lpstr>v_96_CB</vt:lpstr>
      <vt:lpstr>v_96_CU</vt:lpstr>
      <vt:lpstr>v_96_GCH4</vt:lpstr>
      <vt:lpstr>v_96_GCH4_atm</vt:lpstr>
      <vt:lpstr>v_96_GCO2</vt:lpstr>
      <vt:lpstr>v_96_GCO2_atm</vt:lpstr>
      <vt:lpstr>v_96_GH2</vt:lpstr>
      <vt:lpstr>v_96_GH2_atm</vt:lpstr>
      <vt:lpstr>v_96_GN2</vt:lpstr>
      <vt:lpstr>v_96_GN2_atm</vt:lpstr>
      <vt:lpstr>v_96_GNH3</vt:lpstr>
      <vt:lpstr>v_96_GNH3_atm</vt:lpstr>
      <vt:lpstr>v_96_GO2</vt:lpstr>
      <vt:lpstr>v_96_GO2_atm</vt:lpstr>
      <vt:lpstr>v_96_SALPHA</vt:lpstr>
      <vt:lpstr>v_96_SAN</vt:lpstr>
      <vt:lpstr>v_96_SB_mono</vt:lpstr>
      <vt:lpstr>v_96_SB_poly</vt:lpstr>
      <vt:lpstr>v_96_SCa</vt:lpstr>
      <vt:lpstr>v_96_SCAT</vt:lpstr>
      <vt:lpstr>v_96_SCH4</vt:lpstr>
      <vt:lpstr>v_96_SCO2</vt:lpstr>
      <vt:lpstr>v_96_SFe2</vt:lpstr>
      <vt:lpstr>v_96_SH</vt:lpstr>
      <vt:lpstr>v_96_SH2</vt:lpstr>
      <vt:lpstr>v_96_SK</vt:lpstr>
      <vt:lpstr>v_96_SMEOL</vt:lpstr>
      <vt:lpstr>v_96_SMg</vt:lpstr>
      <vt:lpstr>v_96_SN_B</vt:lpstr>
      <vt:lpstr>v_96_SN2</vt:lpstr>
      <vt:lpstr>v_96_SNHx</vt:lpstr>
      <vt:lpstr>v_96_SNO2</vt:lpstr>
      <vt:lpstr>v_96_SNO3</vt:lpstr>
      <vt:lpstr>v_96_SO2</vt:lpstr>
      <vt:lpstr>v_96_SORPswitch</vt:lpstr>
      <vt:lpstr>v_96_SP_B</vt:lpstr>
      <vt:lpstr>v_96_SPFOA</vt:lpstr>
      <vt:lpstr>v_96_SPFOS</vt:lpstr>
      <vt:lpstr>v_96_SPO4</vt:lpstr>
      <vt:lpstr>v_96_SU</vt:lpstr>
      <vt:lpstr>v_96_SVFA</vt:lpstr>
      <vt:lpstr>v_96_XACP</vt:lpstr>
      <vt:lpstr>v_96_XAHO</vt:lpstr>
      <vt:lpstr>v_96_XALGAE</vt:lpstr>
      <vt:lpstr>v_96_XAMETO</vt:lpstr>
      <vt:lpstr>v_96_XAMX</vt:lpstr>
      <vt:lpstr>v_96_XAOB</vt:lpstr>
      <vt:lpstr>v_96_XB</vt:lpstr>
      <vt:lpstr>v_96_XB_e</vt:lpstr>
      <vt:lpstr>v_96_XBSH</vt:lpstr>
      <vt:lpstr>v_96_XCaCO3</vt:lpstr>
      <vt:lpstr>v_96_XCASTO</vt:lpstr>
      <vt:lpstr>v_96_XE</vt:lpstr>
      <vt:lpstr>v_96_XE_ana</vt:lpstr>
      <vt:lpstr>v_96_XHAO_H</vt:lpstr>
      <vt:lpstr>v_96_XHAO_H_P</vt:lpstr>
      <vt:lpstr>v_96_XHAO_H_P_old</vt:lpstr>
      <vt:lpstr>v_96_XHAO_L</vt:lpstr>
      <vt:lpstr>v_96_XHAO_L_P</vt:lpstr>
      <vt:lpstr>v_96_XHAO_L_P_old</vt:lpstr>
      <vt:lpstr>v_96_XHAO_old</vt:lpstr>
      <vt:lpstr>v_96_XHFO_H</vt:lpstr>
      <vt:lpstr>v_96_XHFO_H_P</vt:lpstr>
      <vt:lpstr>v_96_XHFO_H_P_old</vt:lpstr>
      <vt:lpstr>v_96_XHFO_L</vt:lpstr>
      <vt:lpstr>v_96_XHFO_L_P</vt:lpstr>
      <vt:lpstr>v_96_XHFO_L_P_old</vt:lpstr>
      <vt:lpstr>v_96_XHFO_old</vt:lpstr>
      <vt:lpstr>v_96_XHMETO</vt:lpstr>
      <vt:lpstr>v_96_XINORG</vt:lpstr>
      <vt:lpstr>v_96_XMEOLO</vt:lpstr>
      <vt:lpstr>v_96_XN_B</vt:lpstr>
      <vt:lpstr>v_96_XN_Be</vt:lpstr>
      <vt:lpstr>v_96_XN_U</vt:lpstr>
      <vt:lpstr>v_96_XNOB</vt:lpstr>
      <vt:lpstr>v_96_XOHO</vt:lpstr>
      <vt:lpstr>v_96_XP_B</vt:lpstr>
      <vt:lpstr>v_96_XP_Be</vt:lpstr>
      <vt:lpstr>v_96_XP_U</vt:lpstr>
      <vt:lpstr>v_96_XPFOA</vt:lpstr>
      <vt:lpstr>v_96_XPFOS</vt:lpstr>
      <vt:lpstr>v_96_XPHA_GAO</vt:lpstr>
      <vt:lpstr>v_96_XPHA_PAO</vt:lpstr>
      <vt:lpstr>v_96_XPP</vt:lpstr>
      <vt:lpstr>v_96_XSTO</vt:lpstr>
      <vt:lpstr>v_96_XSTR</vt:lpstr>
      <vt:lpstr>v_96_XU</vt:lpstr>
      <vt:lpstr>v_96_XVivi</vt:lpstr>
      <vt:lpstr>v_97_CB</vt:lpstr>
      <vt:lpstr>v_97_CU</vt:lpstr>
      <vt:lpstr>v_97_GCH4</vt:lpstr>
      <vt:lpstr>v_97_GCH4_atm</vt:lpstr>
      <vt:lpstr>v_97_GCO2</vt:lpstr>
      <vt:lpstr>v_97_GCO2_atm</vt:lpstr>
      <vt:lpstr>v_97_GH2</vt:lpstr>
      <vt:lpstr>v_97_GH2_atm</vt:lpstr>
      <vt:lpstr>v_97_GN2</vt:lpstr>
      <vt:lpstr>v_97_GN2_atm</vt:lpstr>
      <vt:lpstr>v_97_GNH3</vt:lpstr>
      <vt:lpstr>v_97_GNH3_atm</vt:lpstr>
      <vt:lpstr>v_97_GO2</vt:lpstr>
      <vt:lpstr>v_97_GO2_atm</vt:lpstr>
      <vt:lpstr>v_97_SALPHA</vt:lpstr>
      <vt:lpstr>v_97_SAN</vt:lpstr>
      <vt:lpstr>v_97_SB_mono</vt:lpstr>
      <vt:lpstr>v_97_SB_poly</vt:lpstr>
      <vt:lpstr>v_97_SCa</vt:lpstr>
      <vt:lpstr>v_97_SCAT</vt:lpstr>
      <vt:lpstr>v_97_SCH4</vt:lpstr>
      <vt:lpstr>v_97_SCO2</vt:lpstr>
      <vt:lpstr>v_97_SFe2</vt:lpstr>
      <vt:lpstr>v_97_SH</vt:lpstr>
      <vt:lpstr>v_97_SH2</vt:lpstr>
      <vt:lpstr>v_97_SK</vt:lpstr>
      <vt:lpstr>v_97_SMEOL</vt:lpstr>
      <vt:lpstr>v_97_SMg</vt:lpstr>
      <vt:lpstr>v_97_SN_B</vt:lpstr>
      <vt:lpstr>v_97_SN2</vt:lpstr>
      <vt:lpstr>v_97_SNHx</vt:lpstr>
      <vt:lpstr>v_97_SNO2</vt:lpstr>
      <vt:lpstr>v_97_SNO3</vt:lpstr>
      <vt:lpstr>v_97_SO2</vt:lpstr>
      <vt:lpstr>v_97_SORPswitch</vt:lpstr>
      <vt:lpstr>v_97_SP_B</vt:lpstr>
      <vt:lpstr>v_97_SPFOA</vt:lpstr>
      <vt:lpstr>v_97_SPFOS</vt:lpstr>
      <vt:lpstr>v_97_SPO4</vt:lpstr>
      <vt:lpstr>v_97_SU</vt:lpstr>
      <vt:lpstr>v_97_SVFA</vt:lpstr>
      <vt:lpstr>v_97_XACP</vt:lpstr>
      <vt:lpstr>v_97_XAHO</vt:lpstr>
      <vt:lpstr>v_97_XALGAE</vt:lpstr>
      <vt:lpstr>v_97_XAMETO</vt:lpstr>
      <vt:lpstr>v_97_XAMX</vt:lpstr>
      <vt:lpstr>v_97_XAOB</vt:lpstr>
      <vt:lpstr>v_97_XB</vt:lpstr>
      <vt:lpstr>v_97_XB_e</vt:lpstr>
      <vt:lpstr>v_97_XBSH</vt:lpstr>
      <vt:lpstr>v_97_XCaCO3</vt:lpstr>
      <vt:lpstr>v_97_XCASTO</vt:lpstr>
      <vt:lpstr>v_97_XE</vt:lpstr>
      <vt:lpstr>v_97_XE_ana</vt:lpstr>
      <vt:lpstr>v_97_XHAO_H</vt:lpstr>
      <vt:lpstr>v_97_XHAO_H_P</vt:lpstr>
      <vt:lpstr>v_97_XHAO_H_P_old</vt:lpstr>
      <vt:lpstr>v_97_XHAO_L</vt:lpstr>
      <vt:lpstr>v_97_XHAO_L_P</vt:lpstr>
      <vt:lpstr>v_97_XHAO_L_P_old</vt:lpstr>
      <vt:lpstr>v_97_XHAO_old</vt:lpstr>
      <vt:lpstr>v_97_XHFO_H</vt:lpstr>
      <vt:lpstr>v_97_XHFO_H_P</vt:lpstr>
      <vt:lpstr>v_97_XHFO_H_P_old</vt:lpstr>
      <vt:lpstr>v_97_XHFO_L</vt:lpstr>
      <vt:lpstr>v_97_XHFO_L_P</vt:lpstr>
      <vt:lpstr>v_97_XHFO_L_P_old</vt:lpstr>
      <vt:lpstr>v_97_XHFO_old</vt:lpstr>
      <vt:lpstr>v_97_XHMETO</vt:lpstr>
      <vt:lpstr>v_97_XINORG</vt:lpstr>
      <vt:lpstr>v_97_XMEOLO</vt:lpstr>
      <vt:lpstr>v_97_XN_B</vt:lpstr>
      <vt:lpstr>v_97_XN_Be</vt:lpstr>
      <vt:lpstr>v_97_XN_U</vt:lpstr>
      <vt:lpstr>v_97_XNOB</vt:lpstr>
      <vt:lpstr>v_97_XOHO</vt:lpstr>
      <vt:lpstr>v_97_XP_B</vt:lpstr>
      <vt:lpstr>v_97_XP_Be</vt:lpstr>
      <vt:lpstr>v_97_XP_U</vt:lpstr>
      <vt:lpstr>v_97_XPFOA</vt:lpstr>
      <vt:lpstr>v_97_XPFOS</vt:lpstr>
      <vt:lpstr>v_97_XPHA_GAO</vt:lpstr>
      <vt:lpstr>v_97_XPHA_PAO</vt:lpstr>
      <vt:lpstr>v_97_XPP</vt:lpstr>
      <vt:lpstr>v_97_XSTO</vt:lpstr>
      <vt:lpstr>v_97_XSTR</vt:lpstr>
      <vt:lpstr>v_97_XU</vt:lpstr>
      <vt:lpstr>v_97_XVivi</vt:lpstr>
      <vt:lpstr>v_98_CB</vt:lpstr>
      <vt:lpstr>v_98_CU</vt:lpstr>
      <vt:lpstr>v_98_GCH4</vt:lpstr>
      <vt:lpstr>v_98_GCH4_atm</vt:lpstr>
      <vt:lpstr>v_98_GCO2</vt:lpstr>
      <vt:lpstr>v_98_GCO2_atm</vt:lpstr>
      <vt:lpstr>v_98_GH2</vt:lpstr>
      <vt:lpstr>v_98_GH2_atm</vt:lpstr>
      <vt:lpstr>v_98_GN2</vt:lpstr>
      <vt:lpstr>v_98_GN2_atm</vt:lpstr>
      <vt:lpstr>v_98_GNH3</vt:lpstr>
      <vt:lpstr>v_98_GNH3_atm</vt:lpstr>
      <vt:lpstr>v_98_GO2</vt:lpstr>
      <vt:lpstr>v_98_GO2_atm</vt:lpstr>
      <vt:lpstr>v_98_SALPHA</vt:lpstr>
      <vt:lpstr>v_98_SAN</vt:lpstr>
      <vt:lpstr>v_98_SB_mono</vt:lpstr>
      <vt:lpstr>v_98_SB_poly</vt:lpstr>
      <vt:lpstr>v_98_SCa</vt:lpstr>
      <vt:lpstr>v_98_SCAT</vt:lpstr>
      <vt:lpstr>v_98_SCH4</vt:lpstr>
      <vt:lpstr>v_98_SCO2</vt:lpstr>
      <vt:lpstr>v_98_SFe2</vt:lpstr>
      <vt:lpstr>v_98_SH</vt:lpstr>
      <vt:lpstr>v_98_SH2</vt:lpstr>
      <vt:lpstr>v_98_SK</vt:lpstr>
      <vt:lpstr>v_98_SMEOL</vt:lpstr>
      <vt:lpstr>v_98_SMg</vt:lpstr>
      <vt:lpstr>v_98_SN_B</vt:lpstr>
      <vt:lpstr>v_98_SN2</vt:lpstr>
      <vt:lpstr>v_98_SNHx</vt:lpstr>
      <vt:lpstr>v_98_SNO2</vt:lpstr>
      <vt:lpstr>v_98_SNO3</vt:lpstr>
      <vt:lpstr>v_98_SO2</vt:lpstr>
      <vt:lpstr>v_98_SORPswitch</vt:lpstr>
      <vt:lpstr>v_98_SP_B</vt:lpstr>
      <vt:lpstr>v_98_SPFOA</vt:lpstr>
      <vt:lpstr>v_98_SPFOS</vt:lpstr>
      <vt:lpstr>v_98_SPO4</vt:lpstr>
      <vt:lpstr>v_98_SU</vt:lpstr>
      <vt:lpstr>v_98_SVFA</vt:lpstr>
      <vt:lpstr>v_98_XACP</vt:lpstr>
      <vt:lpstr>v_98_XAHO</vt:lpstr>
      <vt:lpstr>v_98_XALGAE</vt:lpstr>
      <vt:lpstr>v_98_XAMETO</vt:lpstr>
      <vt:lpstr>v_98_XAMX</vt:lpstr>
      <vt:lpstr>v_98_XAOB</vt:lpstr>
      <vt:lpstr>v_98_XB</vt:lpstr>
      <vt:lpstr>v_98_XB_e</vt:lpstr>
      <vt:lpstr>v_98_XBSH</vt:lpstr>
      <vt:lpstr>v_98_XCaCO3</vt:lpstr>
      <vt:lpstr>v_98_XCASTO</vt:lpstr>
      <vt:lpstr>v_98_XE</vt:lpstr>
      <vt:lpstr>v_98_XE_ana</vt:lpstr>
      <vt:lpstr>v_98_XHAO_H</vt:lpstr>
      <vt:lpstr>v_98_XHAO_H_P</vt:lpstr>
      <vt:lpstr>v_98_XHAO_H_P_old</vt:lpstr>
      <vt:lpstr>v_98_XHAO_L</vt:lpstr>
      <vt:lpstr>v_98_XHAO_L_P</vt:lpstr>
      <vt:lpstr>v_98_XHAO_L_P_old</vt:lpstr>
      <vt:lpstr>v_98_XHAO_old</vt:lpstr>
      <vt:lpstr>v_98_XHFO_H</vt:lpstr>
      <vt:lpstr>v_98_XHFO_H_P</vt:lpstr>
      <vt:lpstr>v_98_XHFO_H_P_old</vt:lpstr>
      <vt:lpstr>v_98_XHFO_L</vt:lpstr>
      <vt:lpstr>v_98_XHFO_L_P</vt:lpstr>
      <vt:lpstr>v_98_XHFO_L_P_old</vt:lpstr>
      <vt:lpstr>v_98_XHFO_old</vt:lpstr>
      <vt:lpstr>v_98_XHMETO</vt:lpstr>
      <vt:lpstr>v_98_XINORG</vt:lpstr>
      <vt:lpstr>v_98_XMEOLO</vt:lpstr>
      <vt:lpstr>v_98_XN_B</vt:lpstr>
      <vt:lpstr>v_98_XN_Be</vt:lpstr>
      <vt:lpstr>v_98_XN_U</vt:lpstr>
      <vt:lpstr>v_98_XNOB</vt:lpstr>
      <vt:lpstr>v_98_XOHO</vt:lpstr>
      <vt:lpstr>v_98_XP_B</vt:lpstr>
      <vt:lpstr>v_98_XP_Be</vt:lpstr>
      <vt:lpstr>v_98_XP_U</vt:lpstr>
      <vt:lpstr>v_98_XPFOA</vt:lpstr>
      <vt:lpstr>v_98_XPFOS</vt:lpstr>
      <vt:lpstr>v_98_XPHA_GAO</vt:lpstr>
      <vt:lpstr>v_98_XPHA_PAO</vt:lpstr>
      <vt:lpstr>v_98_XPP</vt:lpstr>
      <vt:lpstr>v_98_XSTO</vt:lpstr>
      <vt:lpstr>v_98_XSTR</vt:lpstr>
      <vt:lpstr>v_98_XU</vt:lpstr>
      <vt:lpstr>v_98_XVivi</vt:lpstr>
      <vt:lpstr>v_99_CB</vt:lpstr>
      <vt:lpstr>v_99_CU</vt:lpstr>
      <vt:lpstr>v_99_GCH4</vt:lpstr>
      <vt:lpstr>v_99_GCH4_atm</vt:lpstr>
      <vt:lpstr>v_99_GCO2</vt:lpstr>
      <vt:lpstr>v_99_GCO2_atm</vt:lpstr>
      <vt:lpstr>v_99_GH2</vt:lpstr>
      <vt:lpstr>v_99_GH2_atm</vt:lpstr>
      <vt:lpstr>v_99_GN2</vt:lpstr>
      <vt:lpstr>v_99_GN2_atm</vt:lpstr>
      <vt:lpstr>v_99_GNH3</vt:lpstr>
      <vt:lpstr>v_99_GNH3_atm</vt:lpstr>
      <vt:lpstr>v_99_GO2</vt:lpstr>
      <vt:lpstr>v_99_GO2_atm</vt:lpstr>
      <vt:lpstr>v_99_SALPHA</vt:lpstr>
      <vt:lpstr>v_99_SAN</vt:lpstr>
      <vt:lpstr>v_99_SB_mono</vt:lpstr>
      <vt:lpstr>v_99_SB_poly</vt:lpstr>
      <vt:lpstr>v_99_SCa</vt:lpstr>
      <vt:lpstr>v_99_SCAT</vt:lpstr>
      <vt:lpstr>v_99_SCH4</vt:lpstr>
      <vt:lpstr>v_99_SCO2</vt:lpstr>
      <vt:lpstr>v_99_SFe2</vt:lpstr>
      <vt:lpstr>v_99_SH</vt:lpstr>
      <vt:lpstr>v_99_SH2</vt:lpstr>
      <vt:lpstr>v_99_SK</vt:lpstr>
      <vt:lpstr>v_99_SMEOL</vt:lpstr>
      <vt:lpstr>v_99_SMg</vt:lpstr>
      <vt:lpstr>v_99_SN_B</vt:lpstr>
      <vt:lpstr>v_99_SN2</vt:lpstr>
      <vt:lpstr>v_99_SNHx</vt:lpstr>
      <vt:lpstr>v_99_SNO2</vt:lpstr>
      <vt:lpstr>v_99_SNO3</vt:lpstr>
      <vt:lpstr>v_99_SO2</vt:lpstr>
      <vt:lpstr>v_99_SORPswitch</vt:lpstr>
      <vt:lpstr>v_99_SP_B</vt:lpstr>
      <vt:lpstr>v_99_SPFOA</vt:lpstr>
      <vt:lpstr>v_99_SPFOS</vt:lpstr>
      <vt:lpstr>v_99_SPO4</vt:lpstr>
      <vt:lpstr>v_99_SU</vt:lpstr>
      <vt:lpstr>v_99_SVFA</vt:lpstr>
      <vt:lpstr>v_99_XACP</vt:lpstr>
      <vt:lpstr>v_99_XAHO</vt:lpstr>
      <vt:lpstr>v_99_XALGAE</vt:lpstr>
      <vt:lpstr>v_99_XAMETO</vt:lpstr>
      <vt:lpstr>v_99_XAMX</vt:lpstr>
      <vt:lpstr>v_99_XAOB</vt:lpstr>
      <vt:lpstr>v_99_XB</vt:lpstr>
      <vt:lpstr>v_99_XB_e</vt:lpstr>
      <vt:lpstr>v_99_XBSH</vt:lpstr>
      <vt:lpstr>v_99_XCaCO3</vt:lpstr>
      <vt:lpstr>v_99_XCASTO</vt:lpstr>
      <vt:lpstr>v_99_XE</vt:lpstr>
      <vt:lpstr>v_99_XE_ana</vt:lpstr>
      <vt:lpstr>v_99_XHAO_H</vt:lpstr>
      <vt:lpstr>v_99_XHAO_H_P</vt:lpstr>
      <vt:lpstr>v_99_XHAO_H_P_old</vt:lpstr>
      <vt:lpstr>v_99_XHAO_L</vt:lpstr>
      <vt:lpstr>v_99_XHAO_L_P</vt:lpstr>
      <vt:lpstr>v_99_XHAO_L_P_old</vt:lpstr>
      <vt:lpstr>v_99_XHAO_old</vt:lpstr>
      <vt:lpstr>v_99_XHFO_H</vt:lpstr>
      <vt:lpstr>v_99_XHFO_H_P</vt:lpstr>
      <vt:lpstr>v_99_XHFO_H_P_old</vt:lpstr>
      <vt:lpstr>v_99_XHFO_L</vt:lpstr>
      <vt:lpstr>v_99_XHFO_L_P</vt:lpstr>
      <vt:lpstr>v_99_XHFO_L_P_old</vt:lpstr>
      <vt:lpstr>v_99_XHFO_old</vt:lpstr>
      <vt:lpstr>v_99_XHMETO</vt:lpstr>
      <vt:lpstr>v_99_XINORG</vt:lpstr>
      <vt:lpstr>v_99_XMEOLO</vt:lpstr>
      <vt:lpstr>v_99_XN_B</vt:lpstr>
      <vt:lpstr>v_99_XN_Be</vt:lpstr>
      <vt:lpstr>v_99_XN_U</vt:lpstr>
      <vt:lpstr>v_99_XNOB</vt:lpstr>
      <vt:lpstr>v_99_XOHO</vt:lpstr>
      <vt:lpstr>v_99_XP_B</vt:lpstr>
      <vt:lpstr>v_99_XP_Be</vt:lpstr>
      <vt:lpstr>v_99_XP_U</vt:lpstr>
      <vt:lpstr>v_99_XPFOA</vt:lpstr>
      <vt:lpstr>v_99_XPFOS</vt:lpstr>
      <vt:lpstr>v_99_XPHA_GAO</vt:lpstr>
      <vt:lpstr>v_99_XPHA_PAO</vt:lpstr>
      <vt:lpstr>v_99_XPP</vt:lpstr>
      <vt:lpstr>v_99_XSTO</vt:lpstr>
      <vt:lpstr>v_99_XSTR</vt:lpstr>
      <vt:lpstr>v_99_XU</vt:lpstr>
      <vt:lpstr>v_99_XVivi</vt:lpstr>
      <vt:lpstr>V_mol_N</vt:lpstr>
      <vt:lpstr>X_ACP</vt:lpstr>
      <vt:lpstr>X_AHO</vt:lpstr>
      <vt:lpstr>X_ALGAE</vt:lpstr>
      <vt:lpstr>X_AMETO</vt:lpstr>
      <vt:lpstr>X_AMX</vt:lpstr>
      <vt:lpstr>X_AOB</vt:lpstr>
      <vt:lpstr>X_B</vt:lpstr>
      <vt:lpstr>X_B_e</vt:lpstr>
      <vt:lpstr>X_BIO</vt:lpstr>
      <vt:lpstr>X_BOD_5</vt:lpstr>
      <vt:lpstr>X_BOD_ult</vt:lpstr>
      <vt:lpstr>X_BSH</vt:lpstr>
      <vt:lpstr>X_CaCO3</vt:lpstr>
      <vt:lpstr>X_CASTO</vt:lpstr>
      <vt:lpstr>X_COD</vt:lpstr>
      <vt:lpstr>X_CsbCOD</vt:lpstr>
      <vt:lpstr>X_DM</vt:lpstr>
      <vt:lpstr>X_E</vt:lpstr>
      <vt:lpstr>X_E_ana</vt:lpstr>
      <vt:lpstr>X_GAO</vt:lpstr>
      <vt:lpstr>X_HAO</vt:lpstr>
      <vt:lpstr>X_HAO_H</vt:lpstr>
      <vt:lpstr>X_HAO_H_P</vt:lpstr>
      <vt:lpstr>X_HAO_H_P_old</vt:lpstr>
      <vt:lpstr>X_HAO_ISS</vt:lpstr>
      <vt:lpstr>X_HAO_L</vt:lpstr>
      <vt:lpstr>X_HAO_L_P</vt:lpstr>
      <vt:lpstr>X_HAO_L_P_old</vt:lpstr>
      <vt:lpstr>X_HAO_old</vt:lpstr>
      <vt:lpstr>X_HAO_P</vt:lpstr>
      <vt:lpstr>X_HAO_TSS</vt:lpstr>
      <vt:lpstr>X_HET</vt:lpstr>
      <vt:lpstr>X_HET_HYD_lim</vt:lpstr>
      <vt:lpstr>X_HFO</vt:lpstr>
      <vt:lpstr>X_HFO_H</vt:lpstr>
      <vt:lpstr>X_HFO_H_P</vt:lpstr>
      <vt:lpstr>X_HFO_H_P_old</vt:lpstr>
      <vt:lpstr>X_HFO_ISS</vt:lpstr>
      <vt:lpstr>X_HFO_L</vt:lpstr>
      <vt:lpstr>X_HFO_L_P</vt:lpstr>
      <vt:lpstr>X_HFO_L_P_old</vt:lpstr>
      <vt:lpstr>X_HFO_old</vt:lpstr>
      <vt:lpstr>X_HFO_P</vt:lpstr>
      <vt:lpstr>X_HFO_TSS</vt:lpstr>
      <vt:lpstr>X_HMETO</vt:lpstr>
      <vt:lpstr>X_INORG</vt:lpstr>
      <vt:lpstr>X_ISS</vt:lpstr>
      <vt:lpstr>X_KN</vt:lpstr>
      <vt:lpstr>X_Me_H2O_TSS</vt:lpstr>
      <vt:lpstr>X_Me_H2O_VSS</vt:lpstr>
      <vt:lpstr>X_Me_ISS</vt:lpstr>
      <vt:lpstr>X_Me_TSS</vt:lpstr>
      <vt:lpstr>X_MEOLO</vt:lpstr>
      <vt:lpstr>X_N_B</vt:lpstr>
      <vt:lpstr>X_N_Be</vt:lpstr>
      <vt:lpstr>X_N_U</vt:lpstr>
      <vt:lpstr>X_NOB</vt:lpstr>
      <vt:lpstr>X_OHO</vt:lpstr>
      <vt:lpstr>X_P</vt:lpstr>
      <vt:lpstr>X_P_B</vt:lpstr>
      <vt:lpstr>X_P_Be</vt:lpstr>
      <vt:lpstr>X_P_U</vt:lpstr>
      <vt:lpstr>X_PAO</vt:lpstr>
      <vt:lpstr>X_PFOA</vt:lpstr>
      <vt:lpstr>X_PFOS</vt:lpstr>
      <vt:lpstr>X_PHA_CASTO</vt:lpstr>
      <vt:lpstr>X_PHA_GAO</vt:lpstr>
      <vt:lpstr>X_PHA_PAO</vt:lpstr>
      <vt:lpstr>X_PP</vt:lpstr>
      <vt:lpstr>X_PP_PAO_min</vt:lpstr>
      <vt:lpstr>X_precip</vt:lpstr>
      <vt:lpstr>X_STC</vt:lpstr>
      <vt:lpstr>X_STO</vt:lpstr>
      <vt:lpstr>X_STR</vt:lpstr>
      <vt:lpstr>X_TSS</vt:lpstr>
      <vt:lpstr>X_U</vt:lpstr>
      <vt:lpstr>X_Vivi</vt:lpstr>
      <vt:lpstr>X_VS</vt:lpstr>
      <vt:lpstr>X_VS_ult</vt:lpstr>
      <vt:lpstr>X_VSS</vt:lpstr>
      <vt:lpstr>X_VSS_BIO</vt:lpstr>
      <vt:lpstr>X_VSS_EPS</vt:lpstr>
      <vt:lpstr>Y_AHO_XSTO_ox</vt:lpstr>
      <vt:lpstr>Y_AMETO</vt:lpstr>
      <vt:lpstr>Y_AMX_NO2</vt:lpstr>
      <vt:lpstr>Y_AMX_NO3</vt:lpstr>
      <vt:lpstr>Y_AOB</vt:lpstr>
      <vt:lpstr>Y_BOD_ult</vt:lpstr>
      <vt:lpstr>Y_CASTO_H2_ana_high</vt:lpstr>
      <vt:lpstr>Y_CASTO_H2_ana_low</vt:lpstr>
      <vt:lpstr>Y_CASTO_SB_ana</vt:lpstr>
      <vt:lpstr>Y_CASTO_STC_anox</vt:lpstr>
      <vt:lpstr>Y_CASTO_STC_ox</vt:lpstr>
      <vt:lpstr>y_fdi</vt:lpstr>
      <vt:lpstr>y_fmono</vt:lpstr>
      <vt:lpstr>y_ftri</vt:lpstr>
      <vt:lpstr>Y_GAO_PHA_anox</vt:lpstr>
      <vt:lpstr>Y_GAO_PHA_ox</vt:lpstr>
      <vt:lpstr>Y_HMETO</vt:lpstr>
      <vt:lpstr>Y_MEOLO</vt:lpstr>
      <vt:lpstr>Y_NOB</vt:lpstr>
      <vt:lpstr>Y_OHO_H2_ana_high</vt:lpstr>
      <vt:lpstr>Y_OHO_H2_ana_low</vt:lpstr>
      <vt:lpstr>Y_OHO_SB_poly_ana</vt:lpstr>
      <vt:lpstr>Y_OHO_SB_poly_anox</vt:lpstr>
      <vt:lpstr>Y_OHO_SB_poly_ox</vt:lpstr>
      <vt:lpstr>Y_OHO_SMEOL_ox</vt:lpstr>
      <vt:lpstr>Y_OHO_VFA_anox</vt:lpstr>
      <vt:lpstr>Y_OHO_VFA_ox</vt:lpstr>
      <vt:lpstr>y_ORP_GAO_Half_T</vt:lpstr>
      <vt:lpstr>Y_PAO_PHA_anox</vt:lpstr>
      <vt:lpstr>Y_PAO_PHA_ox</vt:lpstr>
      <vt:lpstr>Y_PP_CASTO_anox</vt:lpstr>
      <vt:lpstr>Y_PP_CASTO_ox</vt:lpstr>
      <vt:lpstr>α_pred</vt:lpstr>
      <vt:lpstr>Δ_atm</vt:lpstr>
      <vt:lpstr>ε__</vt:lpstr>
      <vt:lpstr>η_b_ana</vt:lpstr>
      <vt:lpstr>η_b_anox</vt:lpstr>
      <vt:lpstr>η_bCASTO_ana</vt:lpstr>
      <vt:lpstr>η_bCASTO_anox</vt:lpstr>
      <vt:lpstr>η_bPHA_ana</vt:lpstr>
      <vt:lpstr>η_bPP_aer</vt:lpstr>
      <vt:lpstr>η_bPP_anox</vt:lpstr>
      <vt:lpstr>η_bSTC_anox</vt:lpstr>
      <vt:lpstr>η_CASTO_anox</vt:lpstr>
      <vt:lpstr>η_EPS_ana</vt:lpstr>
      <vt:lpstr>η_EPS_anox</vt:lpstr>
      <vt:lpstr>η_FLOC_Process</vt:lpstr>
      <vt:lpstr>η_H2O</vt:lpstr>
      <vt:lpstr>η_HYD_ana</vt:lpstr>
      <vt:lpstr>η_HYD_anox</vt:lpstr>
      <vt:lpstr>η_OHO_anox</vt:lpstr>
      <vt:lpstr>η_OHO_anox_NO2red</vt:lpstr>
      <vt:lpstr>η_STO_AHO_ana</vt:lpstr>
      <vt:lpstr>η_STO_AHO_anox</vt:lpstr>
      <vt:lpstr>θ_µ_AHO</vt:lpstr>
      <vt:lpstr>θ_µ_ALGAE</vt:lpstr>
      <vt:lpstr>θ_µ_AMETO</vt:lpstr>
      <vt:lpstr>θ_µ_AMX</vt:lpstr>
      <vt:lpstr>θ_µ_AOB</vt:lpstr>
      <vt:lpstr>θ_µ_CASTO</vt:lpstr>
      <vt:lpstr>θ_µ_HMETO</vt:lpstr>
      <vt:lpstr>θ_µ_MEOLO</vt:lpstr>
      <vt:lpstr>θ_µ_NOB</vt:lpstr>
      <vt:lpstr>θ_µ_OHO</vt:lpstr>
      <vt:lpstr>θ_µ_PAO_lim</vt:lpstr>
      <vt:lpstr>θ_b_AHO</vt:lpstr>
      <vt:lpstr>θ_b_ALGAE</vt:lpstr>
      <vt:lpstr>θ_b_AMETO</vt:lpstr>
      <vt:lpstr>θ_b_AMX</vt:lpstr>
      <vt:lpstr>θ_b_AOB</vt:lpstr>
      <vt:lpstr>θ_b_CASTO</vt:lpstr>
      <vt:lpstr>θ_b_HMETO</vt:lpstr>
      <vt:lpstr>θ_b_MEOLO</vt:lpstr>
      <vt:lpstr>θ_b_NOB</vt:lpstr>
      <vt:lpstr>θ_b_OHO</vt:lpstr>
      <vt:lpstr>θ_b_PP_ana</vt:lpstr>
      <vt:lpstr>θ_b_STC</vt:lpstr>
      <vt:lpstr>θ_FERM_OHO</vt:lpstr>
      <vt:lpstr>θ_FERM_PAO</vt:lpstr>
      <vt:lpstr>θ_q_AMMON</vt:lpstr>
      <vt:lpstr>θ_q_ASSIM</vt:lpstr>
      <vt:lpstr>θ_q_Fe2_OX</vt:lpstr>
      <vt:lpstr>θ_q_FLOC</vt:lpstr>
      <vt:lpstr>θ_q_FLOC_HAO</vt:lpstr>
      <vt:lpstr>θ_q_FLOC_HFO</vt:lpstr>
      <vt:lpstr>θ_q_GAO_PHA</vt:lpstr>
      <vt:lpstr>θ_q_HFO_RED</vt:lpstr>
      <vt:lpstr>θ_q_HYD</vt:lpstr>
      <vt:lpstr>θ_q_PAO_PHA</vt:lpstr>
      <vt:lpstr>θ_q_PAO_PP</vt:lpstr>
      <vt:lpstr>θ_q_SPB</vt:lpstr>
      <vt:lpstr>θ_q_XE</vt:lpstr>
      <vt:lpstr>θ_q_XU</vt:lpstr>
      <vt:lpstr>κ__</vt:lpstr>
      <vt:lpstr>λ_H</vt:lpstr>
      <vt:lpstr>ρ__</vt:lpstr>
      <vt:lpstr>ρ_air</vt:lpstr>
      <vt:lpstr>ρ_H2O</vt:lpstr>
      <vt:lpstr>σ_H2O</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Dynamita</dc:creator>
  <cp:lastModifiedBy>Helene Hauduc</cp:lastModifiedBy>
  <cp:lastPrinted>2014-02-20T12:15:16Z</cp:lastPrinted>
  <dcterms:created xsi:type="dcterms:W3CDTF">2006-09-16T00:00:00Z</dcterms:created>
  <dcterms:modified xsi:type="dcterms:W3CDTF">2025-01-06T14:44:24Z</dcterms:modified>
</cp:coreProperties>
</file>